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Mode opératoire" sheetId="1" r:id="rId4"/>
    <sheet name="Fiche identité" sheetId="2" r:id="rId5"/>
    <sheet name="Mode d'emploi" sheetId="3" r:id="rId6"/>
    <sheet name="Synthèse détaillée" sheetId="4" r:id="rId7"/>
    <sheet name="Synthèse globale" sheetId="5" r:id="rId8"/>
    <sheet name="BDD" sheetId="6" r:id="rId9"/>
    <sheet name="Suppl" sheetId="7" r:id="rId10"/>
    <sheet name="V1_Quest" sheetId="8" r:id="rId11"/>
    <sheet name="V1_Stratégie" sheetId="9" r:id="rId12"/>
    <sheet name="V2_Quest" sheetId="10" r:id="rId13"/>
    <sheet name="V2_Innovation" sheetId="11" r:id="rId14"/>
    <sheet name="V3_Quest" sheetId="12" r:id="rId15"/>
    <sheet name="V3_ Risques&amp;Conformité" sheetId="13" r:id="rId16"/>
    <sheet name="V4_Quest" sheetId="14" r:id="rId17"/>
    <sheet name="V4_RSE" sheetId="15" r:id="rId18"/>
    <sheet name="V5_Quest" sheetId="16" r:id="rId19"/>
    <sheet name="V5_Données&amp;IA" sheetId="17" r:id="rId20"/>
    <sheet name="V6_Quest" sheetId="18" r:id="rId21"/>
    <sheet name="V6_Architecture" sheetId="19" r:id="rId22"/>
    <sheet name="V7_Quest" sheetId="20" r:id="rId23"/>
    <sheet name="V7_Portefeuille" sheetId="21" r:id="rId24"/>
    <sheet name="V8_Quest" sheetId="22" r:id="rId25"/>
    <sheet name="V8_Projets" sheetId="23" r:id="rId26"/>
    <sheet name="V9_Quest" sheetId="24" r:id="rId27"/>
    <sheet name="V9_ Services" sheetId="25" r:id="rId28"/>
    <sheet name="V10_Quest" sheetId="26" r:id="rId29"/>
    <sheet name="V10_RH" sheetId="27" r:id="rId30"/>
    <sheet name="V11_Quest" sheetId="28" r:id="rId31"/>
    <sheet name="V11_Presta&amp;Fournisseurs" sheetId="29" r:id="rId32"/>
    <sheet name="V12_Quest" sheetId="30" r:id="rId33"/>
    <sheet name="V12_Budget&amp;Perf." sheetId="31" r:id="rId34"/>
    <sheet name="V13_Quest" sheetId="32" r:id="rId35"/>
    <sheet name="V13_Marketing&amp;Comm." sheetId="33" r:id="rId36"/>
    <sheet name="Template_Quest" sheetId="34" r:id="rId37"/>
  </sheets>
</workbook>
</file>

<file path=xl/comments1.xml><?xml version="1.0" encoding="utf-8"?>
<comments xmlns="http://schemas.openxmlformats.org/spreadsheetml/2006/main">
  <authors>
    <author>tc={5DCC42A8-99DD-44BF-87FD-3C19142D14A3}</author>
  </authors>
  <commentList>
    <comment ref="J105" authorId="0">
      <text>
        <r>
          <rPr>
            <sz val="11"/>
            <color indexed="8"/>
            <rFont val="Helvetica Neue"/>
          </rPr>
          <t>tc={5DCC42A8-99DD-44BF-87FD-3C19142D14A3}:
[Commentaire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Erreur en page 47 : pas écrit dans le résumé</t>
        </r>
      </text>
    </comment>
  </commentList>
</comments>
</file>

<file path=xl/sharedStrings.xml><?xml version="1.0" encoding="utf-8"?>
<sst xmlns="http://schemas.openxmlformats.org/spreadsheetml/2006/main" uniqueCount="2588">
  <si>
    <t>MAGNUM</t>
  </si>
  <si>
    <t>Outil d'évalution de maturité et d'audit de la gouvernance du numérique</t>
  </si>
  <si>
    <t>Le résultat de l'évaluation reste de la responsabilité pleine de l'auditeur. Les associations mettant à disposition l'outil de calcul du Magnum ne sont pas responsables des calculs affichés et des décisions qui pourraient en découler.</t>
  </si>
  <si>
    <t>Fiche d'identité de la mission</t>
  </si>
  <si>
    <t>Nom de la société</t>
  </si>
  <si>
    <t>Secteur d'activité</t>
  </si>
  <si>
    <t>Evaluateur</t>
  </si>
  <si>
    <t>Questionnaire rempli le</t>
  </si>
  <si>
    <t>Personne(s) rencontrée(s)</t>
  </si>
  <si>
    <t>Synthèse détaillée</t>
  </si>
  <si>
    <t>Vecteur</t>
  </si>
  <si>
    <t>Bonne pratique</t>
  </si>
  <si>
    <t>C1</t>
  </si>
  <si>
    <t>C2</t>
  </si>
  <si>
    <t>C3</t>
  </si>
  <si>
    <t>C4</t>
  </si>
  <si>
    <t>C5</t>
  </si>
  <si>
    <t>C6</t>
  </si>
  <si>
    <t>C7</t>
  </si>
  <si>
    <t>C8</t>
  </si>
  <si>
    <t>Evaluation BP</t>
  </si>
  <si>
    <t xml:space="preserve">Commentaire(s) </t>
  </si>
  <si>
    <t xml:space="preserve">Evaluation maturité </t>
  </si>
  <si>
    <r>
      <rPr>
        <b val="1"/>
        <sz val="14"/>
        <color indexed="28"/>
        <rFont val="Aptos"/>
      </rPr>
      <t xml:space="preserve">% de </t>
    </r>
    <r>
      <rPr>
        <b val="1"/>
        <sz val="13"/>
        <color indexed="28"/>
        <rFont val="Aptos"/>
      </rPr>
      <t>complétude</t>
    </r>
  </si>
  <si>
    <t>VOLET 1  -  STRATEGIE</t>
  </si>
  <si>
    <t>111</t>
  </si>
  <si>
    <t>1 : La DSI participe à l'élaboration de la stratégie de l'entreprise.</t>
  </si>
  <si>
    <t>NE</t>
  </si>
  <si>
    <t>N/A</t>
  </si>
  <si>
    <r>
      <rPr>
        <b val="1"/>
        <sz val="11"/>
        <color indexed="13"/>
        <rFont val="Aptos"/>
      </rPr>
      <t>Evaluation globale du Vecteur 1</t>
    </r>
  </si>
  <si>
    <t>121</t>
  </si>
  <si>
    <t xml:space="preserve">2 : Le volet numérique du plan stratégique intègre les cibles métiers et technologiques ainsi que la planification des ressources nécessaires à leur atteinte. </t>
  </si>
  <si>
    <t>131</t>
  </si>
  <si>
    <t>Vecteur 1</t>
  </si>
  <si>
    <t>3 : Le volet numérique est communiqué conjointement avec le plan stratégique de l’organisation pour en faciliter la compréhension et susciter l’adhésion des métiers.</t>
  </si>
  <si>
    <t>141</t>
  </si>
  <si>
    <r>
      <rPr>
        <sz val="16"/>
        <color indexed="13"/>
        <rFont val="Aptos"/>
      </rPr>
      <t>Stratégies</t>
    </r>
  </si>
  <si>
    <t xml:space="preserve">4 : Des indicateurs financiers et non financiers sont définis afin de mesurer la contribution du numérique à la stratégie de l’organisation. </t>
  </si>
  <si>
    <t>151</t>
  </si>
  <si>
    <t>5 : Une instance de pilotage stratégique du SI est mise en place au niveau de la direction générale afin de valider le volet numérique du plan stratégique, rendre les arbitrages nécessaires et assurer le suivi de sa mise en œuvre.</t>
  </si>
  <si>
    <t>211</t>
  </si>
  <si>
    <t>1 : Une vision globale de l’innovation portée par la direction générale est diffusée au sein de l’organisation.</t>
  </si>
  <si>
    <r>
      <rPr>
        <b val="1"/>
        <sz val="11"/>
        <color indexed="13"/>
        <rFont val="Aptos"/>
      </rPr>
      <t>Evaluation globale du Vecteur 2</t>
    </r>
  </si>
  <si>
    <t>221</t>
  </si>
  <si>
    <t>2 : Les efforts d'innovation sont encadrés par une politique d'innovation et une gouvernance adaptées.</t>
  </si>
  <si>
    <t>231</t>
  </si>
  <si>
    <t>Vecteur 2</t>
  </si>
  <si>
    <t>3 : La veille est organisée pour éclairer les efforts d’innovation et la stratégie de l’organisation.</t>
  </si>
  <si>
    <t>241</t>
  </si>
  <si>
    <r>
      <rPr>
        <sz val="16"/>
        <color indexed="13"/>
        <rFont val="Aptos"/>
      </rPr>
      <t>Innovation</t>
    </r>
  </si>
  <si>
    <t xml:space="preserve">4 : L’organisation est structurée de façon à prendre en compte et à traiter les initiatives d’innovation de manière agile.  </t>
  </si>
  <si>
    <t>251</t>
  </si>
  <si>
    <t>5 : La performance du processus d'innovation fait l’objet d’un suivi dans une logique d'amélioration continue.</t>
  </si>
  <si>
    <t>261</t>
  </si>
  <si>
    <t>6 : L’innovation fait l’objet d’une communication clairement définie.</t>
  </si>
  <si>
    <t>311</t>
  </si>
  <si>
    <t>1 : Il existe un processus itératif de gestion standardisé et intégré des risques numériques, incluant les pratiques et les procédures pour communiquer, consulter, établir le contexte, identifier, analyser, évaluer, traiter, piloter et réviser les risques. Ce processus est intégré à la gestion des risques de l'organisation.</t>
  </si>
  <si>
    <r>
      <rPr>
        <sz val="10"/>
        <color indexed="8"/>
        <rFont val="Aptos"/>
      </rPr>
      <t>NE</t>
    </r>
  </si>
  <si>
    <r>
      <rPr>
        <sz val="11"/>
        <color indexed="8"/>
        <rFont val="Aptos"/>
      </rPr>
      <t>N/A</t>
    </r>
  </si>
  <si>
    <r>
      <rPr>
        <b val="1"/>
        <sz val="11"/>
        <color indexed="13"/>
        <rFont val="Aptos"/>
      </rPr>
      <t>Evaluation globale du Vecteur 3</t>
    </r>
  </si>
  <si>
    <t>321</t>
  </si>
  <si>
    <t xml:space="preserve">2 : La DSI procède à une identification et à une évaluation des risques numériques conjointement avec l'ensemble des directions concernées en prenant en compte les enjeux majeurs pour l’organisation. </t>
  </si>
  <si>
    <t>331</t>
  </si>
  <si>
    <t>Vecteur 3</t>
  </si>
  <si>
    <t>3 : L’organisation réalise et communique régulièrement une évaluation de l’efficacité des contrôles SI, en regard des enjeux stratégiques, financiers, commerciaux, réglementaires, industriels ou d’innovation.</t>
  </si>
  <si>
    <t>341</t>
  </si>
  <si>
    <t>4 : La DSI a défini et a mis en œuvre des dispositifs de protection de l'organisation contre les cyberattaques (rançongiciels, fuite de données, etc.)</t>
  </si>
  <si>
    <t>351</t>
  </si>
  <si>
    <r>
      <rPr>
        <sz val="16"/>
        <color indexed="13"/>
        <rFont val="Aptos"/>
      </rPr>
      <t>Risques &amp; conformité</t>
    </r>
  </si>
  <si>
    <t>5 : La DSI a défini et mis en œuvre une stratégie relative à la protection des infrastructures numériques et elle en contrôle la bonne exécution.</t>
  </si>
  <si>
    <t>361</t>
  </si>
  <si>
    <t xml:space="preserve">6 : L'organisation est capable de réagir, efficacement et dans les délais impartis, à des incidents majeurs ayant un impact significatif sur les métiers et sur l'activité de l'organisation. </t>
  </si>
  <si>
    <t>371</t>
  </si>
  <si>
    <t xml:space="preserve">7 : Les données de l'organisation sont protégées avec un niveau de sécurité adapté et leur qualité permet d'alimenter sans risque les systèmes numériques. </t>
  </si>
  <si>
    <t>381</t>
  </si>
  <si>
    <t>8 : La DSI assure la conformité aux réglementations numériques et contribue au dispositif de gestion de la conformité réglementaire, contractuelle ainsi que la conformité aux référentiels internes de l’organisation.</t>
  </si>
  <si>
    <t>411</t>
  </si>
  <si>
    <t xml:space="preserve">1 : Une gouvernance RSE incluant les sujets numériques est mise en place au niveau de l'organisation. </t>
  </si>
  <si>
    <r>
      <rPr>
        <b val="1"/>
        <sz val="11"/>
        <color indexed="13"/>
        <rFont val="Aptos"/>
      </rPr>
      <t>Evaluation globale du Vecteur 4</t>
    </r>
  </si>
  <si>
    <t>421</t>
  </si>
  <si>
    <t>Vecteur 4</t>
  </si>
  <si>
    <t>2 : L’organisation  met en œuvre un programme structuré de sensibilisation et de formation à la RSE et au numérique responsable, soutenu par des référents identifiés. Elle en mesure l’impact par des actions régulières.</t>
  </si>
  <si>
    <t>431</t>
  </si>
  <si>
    <r>
      <rPr>
        <sz val="16"/>
        <color indexed="13"/>
        <rFont val="Aptos"/>
      </rPr>
      <t>RSE</t>
    </r>
  </si>
  <si>
    <t>3 : Les enjeux RSE sont intégrés dès la conception des services et des produits numériques et tout au long de leur cycle de vie.</t>
  </si>
  <si>
    <t>441</t>
  </si>
  <si>
    <t>4 : La DSI mène une politique d'achats responsables.</t>
  </si>
  <si>
    <t>451</t>
  </si>
  <si>
    <t>5 : La filière numérique mesure et pilote sa contribution à la RSE de l'organisation.</t>
  </si>
  <si>
    <t>VOLET 2 - OPERATIONS</t>
  </si>
  <si>
    <t>511</t>
  </si>
  <si>
    <r>
      <rPr>
        <sz val="11"/>
        <color indexed="8"/>
        <rFont val="Aptos"/>
      </rPr>
      <t>1 : L'organisation dispose d'une stratégie claire pour la gestion des données et d'un cadre de gouvernance associé visant à traiter les données comme un actif majeur. Cette stratégie inclut l'usage de l'IA.</t>
    </r>
  </si>
  <si>
    <r>
      <rPr>
        <b val="1"/>
        <sz val="11"/>
        <color indexed="13"/>
        <rFont val="Aptos"/>
      </rPr>
      <t>Evaluation globale du Vecteur 5</t>
    </r>
  </si>
  <si>
    <t>521</t>
  </si>
  <si>
    <t>Vecteur 5</t>
  </si>
  <si>
    <r>
      <rPr>
        <sz val="11"/>
        <color indexed="8"/>
        <rFont val="Aptos"/>
      </rPr>
      <t>2 : L'organisation dispose d'un processus de gestion de la donnée.</t>
    </r>
  </si>
  <si>
    <t>531</t>
  </si>
  <si>
    <r>
      <rPr>
        <sz val="16"/>
        <color indexed="13"/>
        <rFont val="Aptos"/>
      </rPr>
      <t>Données &amp; IA</t>
    </r>
  </si>
  <si>
    <r>
      <rPr>
        <sz val="11"/>
        <color indexed="8"/>
        <rFont val="Aptos"/>
      </rPr>
      <t xml:space="preserve">3 : L'organisation met en place les dispositifs nécessaires pour atteindre les objectifs stratégiques liés aux données, en s’appuyant sur la cartographie réalisée. </t>
    </r>
  </si>
  <si>
    <t>541</t>
  </si>
  <si>
    <r>
      <rPr>
        <sz val="11"/>
        <color indexed="8"/>
        <rFont val="Aptos"/>
      </rPr>
      <t>4 : L’organisation a mis en place un dispositif pour protéger ses données.</t>
    </r>
  </si>
  <si>
    <t>551</t>
  </si>
  <si>
    <r>
      <rPr>
        <sz val="11"/>
        <color indexed="8"/>
        <rFont val="Aptos"/>
      </rPr>
      <t>5 : L'organisation maîtrise l'exploitation de ses données par l'IA pour atteindre ses objectifs stratégiques.</t>
    </r>
  </si>
  <si>
    <t>611</t>
  </si>
  <si>
    <r>
      <rPr>
        <b val="1"/>
        <sz val="11"/>
        <color indexed="13"/>
        <rFont val="Aptos"/>
      </rPr>
      <t>Evaluation globale du Vecteur 6</t>
    </r>
  </si>
  <si>
    <t>621</t>
  </si>
  <si>
    <t xml:space="preserve">2 : Le volet numérique du plan stratégique de l’organisation se décline dans une feuille de route (ou schéma directeur SI), co-construite avec les métiers, qui s’appuie sur la cartographie, le schéma d’urbanisation s'il existe, ou à défaut, sur le patrimoine applicatif et sur l’organisation des données. </t>
  </si>
  <si>
    <t>631</t>
  </si>
  <si>
    <t>Vecteur 6</t>
  </si>
  <si>
    <t>3 : La feuille de route du SI décline une architecture modulaire permettant la coexistence de systèmes d’information aux exigences hétérogènes et l’intégration de solutions diversifiées.</t>
  </si>
  <si>
    <t>641</t>
  </si>
  <si>
    <r>
      <rPr>
        <sz val="16"/>
        <color indexed="13"/>
        <rFont val="Aptos"/>
      </rPr>
      <t>Architecture</t>
    </r>
  </si>
  <si>
    <t>4 : Les enjeux d’architecture sont explicités et partagés au moyen d’un vocabulaire accessible et de schémas explicatifs. Les métiers sont impliqués et responsabilisés dans leurs choix d’investissements, sur la base d’une identification claire des impacts sur leurs processus.</t>
  </si>
  <si>
    <t>651</t>
  </si>
  <si>
    <t xml:space="preserve">5 : Les règles et principes d’architecture sont édictés avec des modalités d’application adaptées aux enjeux et aux risques. Elles constituent un référentiel sur lequel s’appuient les équipes de projets, les responsables applicatifs et les métiers. </t>
  </si>
  <si>
    <t>661</t>
  </si>
  <si>
    <t>6 : Une organisation est mise en place pour assurer l’application du cadre de référence et piloter son évolution afin de répondre aux besoins de l'organisation et de prendre en compte les évolutions technologiques et méthodologiques (nouvelles pratiques).</t>
  </si>
  <si>
    <t>711</t>
  </si>
  <si>
    <t>1 : Tous les projets sont répertoriés dans un référentiel unique pouvant être structuré en programmes afin de faciliter leur gestion  globale.</t>
  </si>
  <si>
    <r>
      <rPr>
        <b val="1"/>
        <sz val="11"/>
        <color indexed="13"/>
        <rFont val="Aptos"/>
      </rPr>
      <t>Evaluation globale du Vecteur 7</t>
    </r>
  </si>
  <si>
    <t>721</t>
  </si>
  <si>
    <t>2 : Les métiers élaborent un business case avec l’aide de la DSI, pour chaque projet ayant un volet numérique significatif.</t>
  </si>
  <si>
    <t>731</t>
  </si>
  <si>
    <t>Vecteur 7</t>
  </si>
  <si>
    <t>3 : Le portefeuille de projets intègre les projets d’industrialisation des initiatives d’innovation (PoC, MVP, Labs et autres travaux de R&amp;D).</t>
  </si>
  <si>
    <t>741</t>
  </si>
  <si>
    <r>
      <rPr>
        <sz val="16"/>
        <color indexed="13"/>
        <rFont val="Aptos"/>
      </rPr>
      <t>Portefeuille de projets</t>
    </r>
  </si>
  <si>
    <t>4 : Un processus de gestion des priorités de lancement (inter-projets) basé sur les business cases est mis en place et implique les directions métiers au niveau du Comité de direction pour les projets clés.</t>
  </si>
  <si>
    <t>751</t>
  </si>
  <si>
    <t>5 : Des projets, impliquant les directions métiers, permet de suivre, recadrer, revoir la priorité ou arrêter les projets en cours, sur la base d’un reporting fiable et exhaustif, le cas échéant en actualisant les business cases.</t>
  </si>
  <si>
    <t>761</t>
  </si>
  <si>
    <r>
      <rPr>
        <sz val="11"/>
        <color indexed="8"/>
        <rFont val="Aptos"/>
      </rPr>
      <t>6 : La direction générale fait effectuer des bilans de projet métiers, une fois le fonctionnement nominal atteint, afin d’en tirer les enseignements nécessaires et d’optimiser les processus de décision et de pilotage.</t>
    </r>
  </si>
  <si>
    <t>811</t>
  </si>
  <si>
    <t>1 : Les objectifs métier du projet sont explicites et partagés par toutes les parties prenantes.</t>
  </si>
  <si>
    <r>
      <rPr>
        <b val="1"/>
        <sz val="11"/>
        <color indexed="13"/>
        <rFont val="Aptos"/>
      </rPr>
      <t>Evaluation globale du Vecteur 8</t>
    </r>
  </si>
  <si>
    <t>821</t>
  </si>
  <si>
    <t>2 : Le mode de gouvernance de projet est clair, partagé et reconnu.</t>
  </si>
  <si>
    <t>831</t>
  </si>
  <si>
    <t>3 : L’équipe projet fait le choix d’une méthode de travail cohérente avec les objectifs du projet.</t>
  </si>
  <si>
    <t>841</t>
  </si>
  <si>
    <t>Vecteur 8</t>
  </si>
  <si>
    <t>4 : La sécurité, la conformité et le contrôle interne, comme l’implication indispensable des utilisateurs finaux, sont intégrés dès la conception des produits ou solutions SI. </t>
  </si>
  <si>
    <t>851</t>
  </si>
  <si>
    <r>
      <rPr>
        <sz val="16"/>
        <color indexed="13"/>
        <rFont val="Aptos"/>
      </rPr>
      <t>Projets</t>
    </r>
  </si>
  <si>
    <t>5 : Le pilotage du projet/produit est réalisé à l'aide d'indicateurs pertinents permettant de suivre l'avancement à chaque étape. Des dispositifs d'alerte ou d'arbitrage sont en place pour traiter les éventuelles dérives au bon niveau.</t>
  </si>
  <si>
    <t>861</t>
  </si>
  <si>
    <t>6 : Les produits ou solutions développés dans le cadre du projet font l'objet d'un processus de validation formel.</t>
  </si>
  <si>
    <t>871</t>
  </si>
  <si>
    <t>7 : L’équipe responsable organise un bilan de projet </t>
  </si>
  <si>
    <t>911</t>
  </si>
  <si>
    <t xml:space="preserve">1 : L'offre de services numériques proposée est claire et connue. </t>
  </si>
  <si>
    <r>
      <rPr>
        <b val="1"/>
        <sz val="11"/>
        <color indexed="13"/>
        <rFont val="Aptos"/>
      </rPr>
      <t>Evaluation globale du Vecteur 9</t>
    </r>
  </si>
  <si>
    <t>921</t>
  </si>
  <si>
    <t>Vecteur 9</t>
  </si>
  <si>
    <t>2 : La DSI a mis en place un processus de gestion structuré de la demande client pour les services existants (Run).</t>
  </si>
  <si>
    <t>931</t>
  </si>
  <si>
    <t>3 : La DSI a mis en place des contrats de services.</t>
  </si>
  <si>
    <t>941</t>
  </si>
  <si>
    <r>
      <rPr>
        <sz val="16"/>
        <color indexed="13"/>
        <rFont val="Aptos"/>
      </rPr>
      <t>Services</t>
    </r>
  </si>
  <si>
    <t>4 : La DSI pilote ses activités de production et de support à l’aide d’un tableau de bord.</t>
  </si>
  <si>
    <t>951</t>
  </si>
  <si>
    <t>5 : La DSI a mis en place un processus d’amélioration continue basé sur la qualité perçue par l’utilisateur.</t>
  </si>
  <si>
    <t>VOLET 3 - SUPPORT</t>
  </si>
  <si>
    <t>1011</t>
  </si>
  <si>
    <t>1 : La gestion des ressources humaines du numérique permet de garantir le fonctionnement des systèmes actuels et d’anticiper les besoins futurs de l’organisation.</t>
  </si>
  <si>
    <r>
      <rPr>
        <b val="1"/>
        <sz val="11"/>
        <color indexed="13"/>
        <rFont val="Aptos"/>
      </rPr>
      <t>Evaluation globale du Vecteur 10</t>
    </r>
  </si>
  <si>
    <t>1021</t>
  </si>
  <si>
    <t>2 : Un référentiel des compétences requises est formalisé.</t>
  </si>
  <si>
    <t>1031</t>
  </si>
  <si>
    <t>Vecteur 10</t>
  </si>
  <si>
    <t>3 : Un plan d’adéquation des compétences aux besoins actuels et futurs de l'organisation est formalisé et mis en place, et il s'intègre dans le processus RH de l'organisation.</t>
  </si>
  <si>
    <t xml:space="preserve"> </t>
  </si>
  <si>
    <t>1041</t>
  </si>
  <si>
    <r>
      <rPr>
        <sz val="16"/>
        <color indexed="13"/>
        <rFont val="Aptos"/>
      </rPr>
      <t xml:space="preserve">Ressources humaines </t>
    </r>
  </si>
  <si>
    <t>4 : L’évaluation des compétences et des performances est réalisée.</t>
  </si>
  <si>
    <t>1051</t>
  </si>
  <si>
    <t>5 : Un plan de recrutement est défini et mis en œuvre pour répondre aux besoins en ressources de la DSI.</t>
  </si>
  <si>
    <t>1061</t>
  </si>
  <si>
    <t>6 : Une stratégie de développement des compétences numériques est définie</t>
  </si>
  <si>
    <t>1111</t>
  </si>
  <si>
    <t>1 : Une stratégie de Make or Buy et la gouvernance associée ont été définies</t>
  </si>
  <si>
    <r>
      <rPr>
        <b val="1"/>
        <sz val="11"/>
        <color indexed="13"/>
        <rFont val="Aptos"/>
      </rPr>
      <t>Evaluation globale du Vecteur 11</t>
    </r>
  </si>
  <si>
    <t>1121</t>
  </si>
  <si>
    <t>2 : Pour chacune des activités candidates à l'externalisation, une étude d'opportunité et de faisabilité est réalisée.</t>
  </si>
  <si>
    <t>1131</t>
  </si>
  <si>
    <t>Vecteur 11</t>
  </si>
  <si>
    <t>3 : Pour tous les achats numériques (services externalisés, prestation de services, achats de logiciels ou de matériels), un processus de sélection et de contractualisation des prestataires est mis en place.</t>
  </si>
  <si>
    <t>1141</t>
  </si>
  <si>
    <t>4 : Pour chacune des activités SI à externaliser, il existe une démarche de transition et de conduite du changement.</t>
  </si>
  <si>
    <t>1151</t>
  </si>
  <si>
    <r>
      <rPr>
        <sz val="13"/>
        <color indexed="13"/>
        <rFont val="Aptos"/>
      </rPr>
      <t>Prestataires &amp; fournisseurs</t>
    </r>
  </si>
  <si>
    <t>5 : Le pilotage opérationnel des services IT externalisés et des prestations est structuré pour garantir la performance et l'amélioration des services fournis.</t>
  </si>
  <si>
    <t>1161</t>
  </si>
  <si>
    <t>6 : La clôture et la gestion de la réversibilité des services externalisés ont été définies en fonction des enjeux métiers.</t>
  </si>
  <si>
    <t>1171</t>
  </si>
  <si>
    <t>7 : La gestion des fournisseurs de matériels et de logiciels est organisée et suivie.</t>
  </si>
  <si>
    <t>1211</t>
  </si>
  <si>
    <t>1 : La DSI a défini ses objectifs prioritaires en mettant en évidence leur contribution à ceux de l'entreprise et en les structurant, par exemple selon les volets de l'IT SCORECARD définis par l'ISACA France.</t>
  </si>
  <si>
    <r>
      <rPr>
        <b val="1"/>
        <sz val="11"/>
        <color indexed="13"/>
        <rFont val="Aptos"/>
      </rPr>
      <t>Evaluation globale du Vecteur 12</t>
    </r>
  </si>
  <si>
    <t>1221</t>
  </si>
  <si>
    <t>2 : Des indicateurs de mesure de la performance du SI sont définis et le niveau d'atteinte des objectifs de la DSI est suivi et partagé régulièrement avec les parties prenantes.</t>
  </si>
  <si>
    <t>1231</t>
  </si>
  <si>
    <t>Vecteur 12</t>
  </si>
  <si>
    <t>3 : La DSI met en œuvre un processus de gestion budgétaire permettant de gérer les arbitrages avec la direction générale et les directions métiers et parties prenantes, relatif aux projets, aux évolutions et au fonctionnement récurrent.</t>
  </si>
  <si>
    <t>1241</t>
  </si>
  <si>
    <r>
      <rPr>
        <sz val="16"/>
        <color indexed="13"/>
        <rFont val="Aptos"/>
      </rPr>
      <t>Budget &amp; performance</t>
    </r>
  </si>
  <si>
    <t>4 : La DSI calcule le coût complet des prestations du catalogue de services fournis à ses clients, en le décomposant en coûts unitaires et en volumes, afin de co-responsabiliser les métiers sur les coûts du numérique.</t>
  </si>
  <si>
    <t>1251</t>
  </si>
  <si>
    <r>
      <rPr>
        <sz val="11"/>
        <color indexed="8"/>
        <rFont val="Aptos"/>
      </rPr>
      <t>5 : L'organisation a mis en place un processus de pilotage du portefeuille de projets fondé sur le suivi de la réalisation des business cases.</t>
    </r>
  </si>
  <si>
    <t>1261</t>
  </si>
  <si>
    <t>6 : L'organisation a mis en œuvre un cadre de définition de la valeur du numérique et déploie les processus de contrôle nécessaires.</t>
  </si>
  <si>
    <t>1311</t>
  </si>
  <si>
    <t>1 : La DSI définit sa « raison d'être » et organise son propre marketing.</t>
  </si>
  <si>
    <r>
      <rPr>
        <b val="1"/>
        <sz val="11"/>
        <color indexed="13"/>
        <rFont val="Aptos"/>
      </rPr>
      <t>Evaluation globale du Vecteur 13</t>
    </r>
  </si>
  <si>
    <t>1321</t>
  </si>
  <si>
    <t>Vecteur 13</t>
  </si>
  <si>
    <t>2 : La DSI organise le marketing de ses services auprès de ses clients.</t>
  </si>
  <si>
    <t>1331</t>
  </si>
  <si>
    <r>
      <rPr>
        <sz val="13"/>
        <color indexed="13"/>
        <rFont val="Aptos"/>
      </rPr>
      <t>Marketing &amp; communication</t>
    </r>
  </si>
  <si>
    <t>3 : La DSI communique selon un plan de communication formalisé, structuré et partagé.</t>
  </si>
  <si>
    <t>1341</t>
  </si>
  <si>
    <t>4 : Un plan de communication en cas de crise SI est formalisé et partagé en amont afin d’anticiper.</t>
  </si>
  <si>
    <t>Synthèse globale</t>
  </si>
  <si>
    <t>% de complétude</t>
  </si>
  <si>
    <t>Stratégies</t>
  </si>
  <si>
    <t>Innovation</t>
  </si>
  <si>
    <t>Risques &amp; conformité</t>
  </si>
  <si>
    <t>RSE</t>
  </si>
  <si>
    <t>Données &amp; IA</t>
  </si>
  <si>
    <t>Architecture</t>
  </si>
  <si>
    <t>Portefeuille de projets</t>
  </si>
  <si>
    <t>Projets</t>
  </si>
  <si>
    <t>Services</t>
  </si>
  <si>
    <t xml:space="preserve">Ressources humaines </t>
  </si>
  <si>
    <t>Prestataires &amp; fournisseurs</t>
  </si>
  <si>
    <t>Budget &amp; performance</t>
  </si>
  <si>
    <t>Marketing &amp; communication</t>
  </si>
  <si>
    <t>Concaténé</t>
  </si>
  <si>
    <t>N° Vecteur</t>
  </si>
  <si>
    <t>Description</t>
  </si>
  <si>
    <t>N° BP</t>
  </si>
  <si>
    <t>Détail bonne pratique</t>
  </si>
  <si>
    <t>Lien avec le vecteur</t>
  </si>
  <si>
    <t>N° critère</t>
  </si>
  <si>
    <t>Critères</t>
  </si>
  <si>
    <t>Niveau de maturité</t>
  </si>
  <si>
    <t>Informations complémentaires pour l'auditeur</t>
  </si>
  <si>
    <t>Enjeux</t>
  </si>
  <si>
    <t>Menace</t>
  </si>
  <si>
    <t>Note examinateur</t>
  </si>
  <si>
    <t>BP+Critère</t>
  </si>
  <si>
    <t>Mettre le numérique au service de la réalisation des enjeux stratégiques de l’organisation.</t>
  </si>
  <si>
    <t>Organisation</t>
  </si>
  <si>
    <t>La DSI participe à l'élaboration de la stratégie de l'entreprise.</t>
  </si>
  <si>
    <t xml:space="preserve"> Lien avec les vecteurs Innovation, Architecture et Budget &amp; Performance. </t>
  </si>
  <si>
    <t>La DSI contribue à l’élaboration du plan stratégique et du business plan de l’organisation.</t>
  </si>
  <si>
    <t>N5</t>
  </si>
  <si>
    <t>•	 La DSI oriente les métiers et s'assure de la prise en compte des possibilités offertes par le numérique et des contraintes associées. 
• 	La DSI participe pleinement à l’élaboration du plan stratégique de l’organisation. Elle intervient dans la prise de décision sur les programmes stratégiques de l'organisation concernant la faisabilité technique, en donnant des ordres de grandeur en termes de délais et de coûts.</t>
  </si>
  <si>
    <t>Favoriser et sécuriser la stratégie de l’organisation grâce aux possibilités offertes par le numérique.</t>
  </si>
  <si>
    <t>Perte de compétitivité due à une faible exploitation des opportunités technologiques.</t>
  </si>
  <si>
    <t>11</t>
  </si>
  <si>
    <t>112</t>
  </si>
  <si>
    <t>La DSI a mis en place un dispositif de veille technologique.</t>
  </si>
  <si>
    <t>N2</t>
  </si>
  <si>
    <t>• 	La DSI assure une veille technologique et numérique pour détecter les innovations et les risques afférents, elle travaille en collaboration avec les métiers afin de repérer les nouvelles opportunités d’évolution pour les processus et les produits et de créer de la valeur.</t>
  </si>
  <si>
    <t>Aligner la stratégie de l’organisation avec les opportunités offertes par le numérique en identifiant et en priorisant les initiatives de transformation technologique permettant l’évolution des processus, services et produits.</t>
  </si>
  <si>
    <t>Perte de compétitivité due à une intégration insuffisante ou inadaptée des projets de transformation numérique.</t>
  </si>
  <si>
    <t>12</t>
  </si>
  <si>
    <t>113</t>
  </si>
  <si>
    <r>
      <rPr>
        <sz val="11"/>
        <color indexed="49"/>
        <rFont val="Calibri"/>
      </rPr>
      <t>Stratégies</t>
    </r>
  </si>
  <si>
    <t>Les résultats de la veille sont partagés avec les responsables impliqués dans l’élaboration de la stratégie de l’organisation.</t>
  </si>
  <si>
    <t>N3</t>
  </si>
  <si>
    <t>• Ces résultats peuvent donner lieu à des restitutions formalisées à la direction générale présentant, par exemple, les découvertes et observations issues d’événements technologiques, dans l’optique d’un usage métier.
• Les idées d’innovation issues de cette veille peuvent concerner non seulement les produits et outils, mais aussi les nouveaux usages, modèles économiques, services, processus, etc.
• Certaines décisions concernant les programmes stratégiques peuvent être ainsi déclenchées par des ruptures technologiques (ex : Internet des objets, blockchain, Intelligence artificielle, etc.).</t>
  </si>
  <si>
    <t>Assurer la cohérence entre les évolutions numériques et les enjeux stratégiques de l’organisation, en garantissant pérennité, robustesse et adaptabilité sur plusieurs horizons de temps.</t>
  </si>
  <si>
    <t>Désalignement des investissements numériques avec la stratégie de l’organisation.</t>
  </si>
  <si>
    <t>13</t>
  </si>
  <si>
    <t>114</t>
  </si>
  <si>
    <t>En collaboration avec les métiers, la DSI a élaboré le volet numérique du plan stratégique de l’organisation.</t>
  </si>
  <si>
    <t>• Ce volet numérique est élaboré conjointement avec les métiers, pour la dimension processus et la dimension produit, dans le cadre du processus de planification à moyen terme de l’organisation.
• La DSI propose des politiques architecturales et technologiques qui constituent des pré-requis pour les différents objectifs du plan stratégique de l’organisation. Les caractéristiques particulières de l’organisation (nouvelles offres de service, nouveaux marchés, croissance externe, interne ou internationale, acquisition ou recentrage, etc.) sont intégrées pour déterminer les axes majeurs de la stratégie numérique.
• Toutes les entités (Lignes de Services et/ou Géographiques) associent pleinement les responsables SI (centraux ou délocalisés) à leur processus d’élaboration de la stratégie.</t>
  </si>
  <si>
    <t>Mauvaise anticipation des vulnérabilités numériques de l’organisation.</t>
  </si>
  <si>
    <t>14</t>
  </si>
  <si>
    <t>115</t>
  </si>
  <si>
    <t>La DSI décline le plan stratégique de l'organisation sous forme de plan de route numérique.</t>
  </si>
  <si>
    <t>N1</t>
  </si>
  <si>
    <t>15</t>
  </si>
  <si>
    <t>116</t>
  </si>
  <si>
    <t>Le volet numérique est cohérent et intégré au plan stratégique de l’organisation au même titre que ceux des autres fonctions de l’organisation.</t>
  </si>
  <si>
    <t>• Le volet numérique est intégré au plan stratégique de l’organisation dont la vocation est de coordonner les plans des différentes fonctions et d’allouer à chacune d’elles les ressources nécessaires.
• Les affectations budgétaires du plan numérique sont cohérentes avec la contribution attendue du SI au plan stratégique de l’organisation.</t>
  </si>
  <si>
    <t>16</t>
  </si>
  <si>
    <t>117</t>
  </si>
  <si>
    <t>Les sujets de transformation numérique bénéficient d’un sponsoring au plus haut niveau de l’organisation.</t>
  </si>
  <si>
    <t>N4</t>
  </si>
  <si>
    <t>17</t>
  </si>
  <si>
    <t>Contenu Stratégique</t>
  </si>
  <si>
    <t xml:space="preserve">Le volet numérique du plan stratégique intègre les cibles métiers et technologiques ainsi que la planification des ressources nécessaires à leur atteinte. </t>
  </si>
  <si>
    <t xml:space="preserve"> Lien avec les vecteurs Architecture et RSE. </t>
  </si>
  <si>
    <t>Le volet numérique du plan stratégique de l'organisation précise les cibles métiers couvertes (processus, cartographie fonctionnelle) et les principaux impacts (organisation, compétences, technologies).</t>
  </si>
  <si>
    <t>21</t>
  </si>
  <si>
    <t>122</t>
  </si>
  <si>
    <t xml:space="preserve">La DSI détaille le volet numérique en termes d'applications, de projets à lancer et de technologies à développer. </t>
  </si>
  <si>
    <t>22</t>
  </si>
  <si>
    <t>123</t>
  </si>
  <si>
    <t>Le numérique figure dans les chapitres métiers du plan stratégique même s'il ne fait pas l’objet d’une approche globale ou d’un chapitre dédié.</t>
  </si>
  <si>
    <t>23</t>
  </si>
  <si>
    <t>124</t>
  </si>
  <si>
    <t>Le volet numérique décrit les paliers d’évolution nécessaires pour atteindre les cibles définies, au regard des enjeux métiers et des contraintes d'exécution (calendrier et étapes de mise en œuvre).</t>
  </si>
  <si>
    <t>• Les paliers correspondent à des « états stables » ou étapes majeures de la transformation, sur lesquels l’organisation peut capitaliser (par exemple : mise en place de nouveaux services).</t>
  </si>
  <si>
    <t>24</t>
  </si>
  <si>
    <t>125</t>
  </si>
  <si>
    <t>Le volet numérique précise les ressources requises (métiers et DSI, internes et externes, financières, compétences, humaines, technologies, etc.), nécessaires à l’atteinte de la cible.</t>
  </si>
  <si>
    <t>• Le volet numérique définit la stratégie de sourcing lui permettant d’atteindre les objectifs du plan stratégique de l’organisation sur les différents plans (humains, financiers, sécurité, périmètre d’activité, délais de déploiement etc.).
• Les plans d’action issus du volet numérique prévoient la mise à disposition des ressources (côté métiers et côté DSI), qui doivent être intégrées dans le plan stratégique de l’organisation et validées.
Ils précisent si les ressources définies proviennent d’un sourcing interne (développement de compétences) ou s’il est nécessaire de les acquérir à l’extérieur (achats, partenariats, recrutements, etc.).</t>
  </si>
  <si>
    <t>25</t>
  </si>
  <si>
    <t>126</t>
  </si>
  <si>
    <t xml:space="preserve">Les investissements découlant du volet numérique du plan stratégique de l’organisation sont mis en regard des bénéfices attendus par les métiers. </t>
  </si>
  <si>
    <t>• Il ne s’agit pas ici d’élaborer un business case, mais d’indiquer la finalité et la valeur métier des investissements demandés afin qu’une enveloppe soit inscrite au plan stratégique. Les investissements devront ensuite être autorisés au cas par cas dans le cadre de projets.</t>
  </si>
  <si>
    <t>26</t>
  </si>
  <si>
    <t>127</t>
  </si>
  <si>
    <t>Le volet numérique prend en compte les enjeux éthiques et de responsabilité sociétale et environnementale (RSE) définis par la stratégie de l’organisation. Les enjeux éthiques englobent l’éthique de conception, l’éthique des usages et l’éthique sociétale.</t>
  </si>
  <si>
    <t xml:space="preserve">Références :
• Référentiel « Éthique et numérique » Cigref et Syntec Numérique, 2018.
• « IT for Green : contributions des directions numériques aux enjeux RSE et de décarbonation des organisations ». Cigref, 2025. </t>
  </si>
  <si>
    <t>27</t>
  </si>
  <si>
    <t>Communication</t>
  </si>
  <si>
    <t>Le volet numérique est communiqué conjointement avec le plan stratégique de l’organisation pour en faciliter la compréhension et susciter l’adhésion des métiers.</t>
  </si>
  <si>
    <t xml:space="preserve"> Lien avec le vecteur Marketing &amp; communication. </t>
  </si>
  <si>
    <t xml:space="preserve">L'organisation a défini clairement les objectifs attendus de la communication du volet numérique de son plan stratégique : partage, adhésion, mobilisation, transparence etc. </t>
  </si>
  <si>
    <t xml:space="preserve">• Il est nécessaire d’élaborer un plan de communication dédié au volet numérique en complément de celui du plan stratégique global de l’organisation. </t>
  </si>
  <si>
    <t>31</t>
  </si>
  <si>
    <t>132</t>
  </si>
  <si>
    <t>La DSI a défini les cibles visées par la communication (direction générale, directions métiers, responsables de la DSI, principaux acteurs impliqués dans le SI, collaborateurs de l’organisation, parties prenantes externes) ainsi que les moyens de communication (contenu, forme, média, etc.) permettant d’atteindre les cibles identifiées.</t>
  </si>
  <si>
    <t>• La DSI communique sur sa contribution aux enjeux des différents métiers. 
• La DSI partage avec les métiers les domaines nécessitant une collaboration renforcée afin d’assurer la réussite du plan numérique (ex. : reprise de données, accompagnement du changement, transitions organisationnelles, etc.).
• Elle a défini, pour chaque cible, ses objectifs de communication et les moyens de mesurer leur atteinte. 
• Elle déploie une communication différenciée et adaptée vers ces différentes cibles (internes et externes).</t>
  </si>
  <si>
    <t>32</t>
  </si>
  <si>
    <t>133</t>
  </si>
  <si>
    <t>La DSI met en œuvre et anime la communication définie selon les modalités les plus pertinentes.</t>
  </si>
  <si>
    <t>• Cette démarche s’applique aussi bien au sein des équipes internes qu’auprès des métiers.</t>
  </si>
  <si>
    <t>33</t>
  </si>
  <si>
    <t>134</t>
  </si>
  <si>
    <t>La DSI évalue l’efficacité de cette communication à l’aide d’indicateurs, d’enquêtes, de feedbacks et de sondages, afin de mesurer l’atteinte des objectifs initiaux.</t>
  </si>
  <si>
    <t>34</t>
  </si>
  <si>
    <t>135</t>
  </si>
  <si>
    <t>35</t>
  </si>
  <si>
    <t>136</t>
  </si>
  <si>
    <t>36</t>
  </si>
  <si>
    <t>137</t>
  </si>
  <si>
    <t>37</t>
  </si>
  <si>
    <t>Indicateurs</t>
  </si>
  <si>
    <t xml:space="preserve">Des indicateurs financiers et non financiers sont définis afin de mesurer la contribution du numérique à la stratégie de l’organisation. </t>
  </si>
  <si>
    <t xml:space="preserve"> Lien avec le vecteur Budget &amp; Performance</t>
  </si>
  <si>
    <t xml:space="preserve">La DSI a défini et fait valider des indicateurs de différentes natures, couvrant l’ensemble des enjeux du volet numérique du plan stratégique. </t>
  </si>
  <si>
    <t>• Ces indicateurs peuvent être de nature financière ou non financière : budgets d’investissements « CAPEX » et de fonctionnement « OPEX », gestion prévisionnelle des emplois et des compétences (GPEC), suivi des grands jalons, stratégie de sourcing, mixité des équipes, bilan carbone de l’IT, etc.
• Cf publication IT Scorecard de l'AFAI</t>
  </si>
  <si>
    <t>41</t>
  </si>
  <si>
    <t>142</t>
  </si>
  <si>
    <t>La DSI a défini ses propres indicateurs lui permettant de vérifier que les évolutions du SI contribuent à la stratégie de l'organisation.</t>
  </si>
  <si>
    <t>42</t>
  </si>
  <si>
    <t>143</t>
  </si>
  <si>
    <t>La DSI fait valider par la direction générale les indicateurs permettant de vérifier que les évolutions du SI contribuent à la stratégie de l'organisation.</t>
  </si>
  <si>
    <t>43</t>
  </si>
  <si>
    <t>144</t>
  </si>
  <si>
    <t>La DSI mesure chacun de ces indicateurs conformément à un mode opératoire formalisé (objectif, source, fréquence, calcul, etc.).</t>
  </si>
  <si>
    <t>44</t>
  </si>
  <si>
    <t>145</t>
  </si>
  <si>
    <t>La DSI analyse les résultats et les écarts par rapport aux objectifs afin de mettre en œuvre des actions préventives ou correctives dans une démarche d’amélioration continue.</t>
  </si>
  <si>
    <t>45</t>
  </si>
  <si>
    <t>146</t>
  </si>
  <si>
    <t>La DSI met à disposition de la direction générale un tableau de bord synthétisant les résultats de ces indicateurs et les actions correctives engagées ; la direction générale suit de façon régulière ces indicateurs, au même titre que ceux des autres fonctions stratégiques (telles que les finances, les RH, etc.).</t>
  </si>
  <si>
    <t>46</t>
  </si>
  <si>
    <t>147</t>
  </si>
  <si>
    <t>47</t>
  </si>
  <si>
    <t>Pilotage</t>
  </si>
  <si>
    <t>Une instance de pilotage stratégique du SI est mise en place au niveau de la direction générale afin de valider le volet numérique du plan stratégique, rendre les arbitrages nécessaires et assurer le suivi de sa mise en œuvre.</t>
  </si>
  <si>
    <t>La direction générale de l’organisation assure le pilotage stratégique du numérique.</t>
  </si>
  <si>
    <t>• La direction générale a défini et mis en place l’organisation et les instances de gouvernances adéquates pour piloter sa stratégie numérique.
• Le directeur du SI (le DSI ou le responsable SI concerné, selon les organisations) participe systématiquement à cette instance.</t>
  </si>
  <si>
    <t>51</t>
  </si>
  <si>
    <t>152</t>
  </si>
  <si>
    <t xml:space="preserve">Le rôle de l'instance de pilotage stratégique est défini et communiqué. Cette instance peut notamment valider le volet numérique du plan stratégique, rendre des arbitrages nécessaires et suivre la mise en œuvre de la stratégie. </t>
  </si>
  <si>
    <t>• L’instance doit être présidée par la direction générale ou, le cas échéant, par la direction de la BU concernée.</t>
  </si>
  <si>
    <t>52</t>
  </si>
  <si>
    <t>153</t>
  </si>
  <si>
    <t>L’instance de pilotage stratégique regroupe les directeurs métiers, le DSI et un représentant de la direction générale. Elle se réunit régulièrement, ses décisions sont communiquées et leur application est suivie.</t>
  </si>
  <si>
    <t>53</t>
  </si>
  <si>
    <t>154</t>
  </si>
  <si>
    <t>L’instance de pilotage stratégique est articulée avec les instances de pilotage opérationnel organisées avec les directions métiers.</t>
  </si>
  <si>
    <t>54</t>
  </si>
  <si>
    <t>155</t>
  </si>
  <si>
    <t xml:space="preserve">La direction générale réévalue périodiquement le mode de fonctionnement et la performance de cette instance, et en adapte le cas échéant la composition ou le mandat, en particulier lors d’évènements majeurs impactant la stratégie.  </t>
  </si>
  <si>
    <t>55</t>
  </si>
  <si>
    <t>156</t>
  </si>
  <si>
    <t>56</t>
  </si>
  <si>
    <t>157</t>
  </si>
  <si>
    <t>57</t>
  </si>
  <si>
    <t>Explorer et promouvoir les nouvelles technologies et usages numériques</t>
  </si>
  <si>
    <t>Vision Globale</t>
  </si>
  <si>
    <t>Une vision globale de l’innovation portée par la direction générale est diffusée au sein de l’organisation.</t>
  </si>
  <si>
    <t>La direction générale définit et communique sa vision de l’innovation, incluant son appétence face aux risques induits, au sein de l’organisation (y compris si nécessaire auprès des instances de gouvernance).</t>
  </si>
  <si>
    <t>• La direction générale encourage les employés à participer au processus d'innovation.
• Elle promeut une démarche entrepreneuriale et intrapreneuriale de type essai-erreur.
• Elle communique également régulièrement sur l’importance de l’innovation pour le succès à long terme de l’organisation.
• La direction générale établit l’appétence aux risques dans le cadre de l’innovation.</t>
  </si>
  <si>
    <t>Anticiper les évolutions des technologies et des nouveaux usages au service de la performance et de la croissance.</t>
  </si>
  <si>
    <t>Offre de services ou produits obsolètes, décalée par rapport à la concurrence.</t>
  </si>
  <si>
    <t>212</t>
  </si>
  <si>
    <t>La direction générale s’inscrit comme sponsor et garant de la culture d’innovation.</t>
  </si>
  <si>
    <t>• L’organisation met en œuvre des techniques et dispositifs de gestion destinés à créer les conditions les plus favorables au développement d'innovations concrètes : veille technologique, benchmark, lab, open innovation, écosystème de startups.
• L’innovation s’inscrit comme le fruit d’un travail effectué de manière transversale : divers départements et équipes y sont impliqués et la DSI est consultée, en tant qu’expert et contributeur, sur les sujets liés à l’innovation.</t>
  </si>
  <si>
    <t>Assurer l'acculturation autour de l’innovation technologique et des usages au sein de l’organisation et auprès des instances décisionnelles.</t>
  </si>
  <si>
    <t>Dégradation de l’image de l’organisation.</t>
  </si>
  <si>
    <t>213</t>
  </si>
  <si>
    <r>
      <rPr>
        <sz val="11"/>
        <color indexed="49"/>
        <rFont val="Calibri"/>
      </rPr>
      <t>Innovation</t>
    </r>
  </si>
  <si>
    <t>Intégrer les dimensions de responsabilité et d’éthique dans le processus d'innovation.</t>
  </si>
  <si>
    <t>Difficultés à identifier et à retenir les talents nécessaires pour pouvoir faire face aux évolutions technologiques.</t>
  </si>
  <si>
    <t>214</t>
  </si>
  <si>
    <t>Dépendance vis-à-vis de certains acteurs technologiques et perte de contrôle sur le SI (données, compétences, etc.).</t>
  </si>
  <si>
    <t>215</t>
  </si>
  <si>
    <t>216</t>
  </si>
  <si>
    <t>217</t>
  </si>
  <si>
    <t xml:space="preserve">Gouvernance et cadre de référence </t>
  </si>
  <si>
    <t>Les efforts d'innovation sont encadrés par une politique d'innovation et une gouvernance adaptées.</t>
  </si>
  <si>
    <t>Lien avec les vecteurs Risques &amp; Conformité</t>
  </si>
  <si>
    <t xml:space="preserve">L'organisation met en place un dispositif favorisant et encadrant les initiatives individuelles. </t>
  </si>
  <si>
    <t>222</t>
  </si>
  <si>
    <t>Les activités de veille et d’innovation sont structurées au niveau de l’organisation.</t>
  </si>
  <si>
    <t>• Cette structuration peut se décliner de différentes façons, plus ou moins formelles (par exemple, un rapprochement entre la DSI et le marketing stratégique pour détecter les innovations différenciantes par rapport aux concurrents).
• Des « règles du jeu » fixent clairement, et sans formalisme lourd, les objectifs et limites de la veille ainsi que le positionnement par rapport aux PoCs et aux projets.
• La DSI identifie avec les métiers les risques et opportunités des principales évolutions technologiques.</t>
  </si>
  <si>
    <t>223</t>
  </si>
  <si>
    <t>Un dispositif permet d'accompagner l'innovation depuis l'idéation jusqu'à la mise en œuvre de solutions. Les activités de veille alimentent des proof of concept (PoC) et des démonstrateurs en vue de l’amélioration des processus et de la diffusion du potentiel des technologies (culture de l'innovation).</t>
  </si>
  <si>
    <t xml:space="preserve">• Un dispositif permet de collecter les idées novatrices dans l’organisation (les initiatives peuvent prendre la forme de boîtes à idées, plateformes numériques, concours…).
• Ce dispositif s’assure de la mobilisation des bonnes ressources en fonction de l’objectif de l’innovation.
• Le financement de l’effort d’innovation utilise des fonds dédiés, séparés de ceux des projets standards.
• Une approche via des projets pilotes ayant une échelle limitée est adoptée afin de démontrer le potentiel de l’idée innovatrice. Cette approche a pour objectif de préparer leur intégration dans les projets en cours de l'organisation et de s'assurer de leur conformité réglementaire. 
• Quand une idée a démontré son potentiel en mode pilote, elle est sélectionnée et rejoint le portfolio de projets standards. </t>
  </si>
  <si>
    <t>224</t>
  </si>
  <si>
    <t>La politique d'innovation définit clairement les rôles et responsabilités.</t>
  </si>
  <si>
    <t>• Des mandats clairs sont assignés pour encadrer la promotion et la facilitation de l’innovation. Ces mandats sont formellement attribués et fortement soutenus par la direction générale.
• Cette politique peut préciser les responsabilités en termes de :
 - Pilotage du processus d’innovation, alignement avec la stratégie d’organisation
 - Sélection des projets d’innovation 
-  Allocation des ressources
-  Suivi de la performance
• Les rôles et responsabilités peuvent être exercés par des ressources de la DSI ou d’autres directions de l’organisation, ainsi que par des acteurs ou organismes externes.</t>
  </si>
  <si>
    <t>225</t>
  </si>
  <si>
    <t xml:space="preserve">Une instance d’inspection est chargée de superviser et d'évaluer les risques, impacts et bénéfices des initiatives innovantes. Elle s'assure que ces initiatives sont conduites de façon responsable vis-à-vis de la direction et des guidelines technologiques d’organisation en architecture, sécurité et standards. </t>
  </si>
  <si>
    <t>• Elle vérifie notamment  le respect de certaines normes, évalue les risques, les  enjeux et les  impacts.</t>
  </si>
  <si>
    <t>226</t>
  </si>
  <si>
    <t>L’analyse de l’efficacité du dispositif de veille et de mise en œuvre des innovations est en place.</t>
  </si>
  <si>
    <t>• Cette analyse s'inscrit dans une logique d'amélioration continue</t>
  </si>
  <si>
    <t>227</t>
  </si>
  <si>
    <t>Veille technologique</t>
  </si>
  <si>
    <t>La veille est organisée pour éclairer les efforts d’innovation et la stratégie de l’organisation.</t>
  </si>
  <si>
    <t>Il existe au sein de l’organisation  un réseau de veille numérique qui associe la DSI à d'autres fonctions métiers, pour suivre les tendances sur les plans technologiques, réglementaires, environnementaux, etc.</t>
  </si>
  <si>
    <t>• La DSI sélectionne un certain nombre de domaines technologiques, jugés stratégiques en accord avec les métiers, et dans lesquels elle décide d’exercer une activité de veille. 
• La DSI participe aux autres réseaux de veille de l'organisation pour anticiper et intégrer les impacts sur le SI.</t>
  </si>
  <si>
    <t>232</t>
  </si>
  <si>
    <t>Des actions sont organisées afin d’encourager les travaux en équipes mixtes métiers/filière SI : atelier d'idéation, travail collaboratif, démarche apprenante (test and learn). Les axes de veille sont définis et partagés avec les métiers et les actions sont communiquées et promues auprès des collaborateurs.</t>
  </si>
  <si>
    <t>• L’organisation met en œuvre des techniques et dispositifs de gestion destinés à créer les conditions les plus favorables au développement d'innovations concrètes.
• Elle organise des processus d'idéation de nouveaux usages et des événements de promotion des nouvelles technologies (hackathons,...)
• Des démonstrations technologiques et des actions de communication au sein de l’organisation et à l’extérieur sont réalisées.</t>
  </si>
  <si>
    <t>233</t>
  </si>
  <si>
    <t>Un espace innovation (par exemple un temps spécialement dédié) est accordé aux collaborateurs de façon exclusive pour les sujets d’innovation.</t>
  </si>
  <si>
    <t>• L'objectif est de créer les environnements dédiés et propices à l’expression de la créativité et favorisant l’innovation (« bac à sable », Lab d’innovation, salle de coworking…), tout en assurant le respect des bonnes pratiques du SI ainsi que sa sécurité.
• Les collaborateurs ont la possibilité de se consacrer aux activités d’innovation et de développement de projets, sur un pourcentage de leur temps de travail ou un temps dédié dans la semaine. 
• Des « Centres d’Excellence » permettent de centraliser les compétences et l’expérience, de servir de dépôt de bonnes pratiques, d’exécuter des PoCs et pilotes et de former.</t>
  </si>
  <si>
    <t>234</t>
  </si>
  <si>
    <t xml:space="preserve">La DSI a élargi son périmètre de veille à son écosystème, via la participation à des réseaux externes à l'organisation. </t>
  </si>
  <si>
    <t>• Des experts sont sollicités pour témoigner de leur expérience et partager leurs connaissances dans le cadre de manifestations organisées par des organismes reconnus en France et à l’étranger.
• L’organisation participe à l’évolution des normes dans les secteurs techniques stratégiques.
• Les informations issues de ces participations sont mises à disposition des collaborateurs de la DSI ainsi que des interlocuteurs métiers identifiés.</t>
  </si>
  <si>
    <t>235</t>
  </si>
  <si>
    <t>236</t>
  </si>
  <si>
    <t>237</t>
  </si>
  <si>
    <t>Agilité de l'organisation</t>
  </si>
  <si>
    <t xml:space="preserve">L’organisation est structurée de façon à prendre en compte et à traiter les initiatives d’innovation de manière agile.  </t>
  </si>
  <si>
    <t>Lien avec le vecteur Ressources humaines.</t>
  </si>
  <si>
    <t>L’organisation est en capacité de mobiliser les ressources nécessaires (financières, humaines et technologiques) afin de compléter les initiatives dans un délai adéquat.</t>
  </si>
  <si>
    <t>• Un suivi du portefeuille d’innovation est réalisé. 
• L’avancement des initiatives et l’utilisation des ressources mobilisées sont documentés. 
• Des dispositifs de re-priorisation existent et permettent la souplesse budgétaire.</t>
  </si>
  <si>
    <t>242</t>
  </si>
  <si>
    <t>L’organisation implémente et maintient un processus d’innovation à l'état de l'art.</t>
  </si>
  <si>
    <t>• Les méthodes agiles permettent à de petites équipes cross-fonctionnelles de travailler en petits incréments afin de construire et tester un produit ou une fonctionnalité sur un proof of concept, suivi éventuellement par un pilote sur petite échelle.</t>
  </si>
  <si>
    <t>243</t>
  </si>
  <si>
    <t>Les processus juridiques, achats et RH sont anticipés afin de minimiser les temps d’exécution des initiatives d’innovation.</t>
  </si>
  <si>
    <t>244</t>
  </si>
  <si>
    <t>L’innovation est prise en compte dans la gestion des ressources humaines et notamment à travers le plan de développement des compétences.</t>
  </si>
  <si>
    <t>245</t>
  </si>
  <si>
    <t>L’organisation met en place et organise des partenariats avec son écosystème : établissements d’enseignement supérieur, incubateurs, pôles de compétitivité, associations, clubs, etc.</t>
  </si>
  <si>
    <t xml:space="preserve">• Ces partenariats permettent à l’organisation de développer l’esprit d’innovation et d’attirer les talents. Des dispositifs de co-innovation peuvent être mis en place (start-ups, start-ups studios, etc.).
• Cf. Open Innovation, réponse aux challenges de l’entreprise, Cigref, 2018 </t>
  </si>
  <si>
    <t>246</t>
  </si>
  <si>
    <t>247</t>
  </si>
  <si>
    <t>Performance</t>
  </si>
  <si>
    <t>La performance du processus d'innovation fait l’objet d’un suivi dans une logique d'amélioration continue.</t>
  </si>
  <si>
    <t>Lien avec le vecteur Portefeuille de projets</t>
  </si>
  <si>
    <t>Des critères d’évaluation de l’efficacité du processus d'innovation sont définis, en lien avec les besoins de performance de l’organisation.</t>
  </si>
  <si>
    <t>• Les critères d’évaluation de l’efficacité du processus d’innovation couvrent à la fois des dimensions quantitatives (coûts, ressources, délais, performance) et qualitatives (pertinence, satisfaction, appropriation). Ils sont définis sur une échelle de temps adaptée au rythme d’adoption des innovations.</t>
  </si>
  <si>
    <t>252</t>
  </si>
  <si>
    <t>Une part significative du portefeuille des projets informatiques est porteuse d’innovation et cette part est régulièrement évaluée.</t>
  </si>
  <si>
    <t>253</t>
  </si>
  <si>
    <t>Les différents critères d’évaluation font l’objet d’une revue par la direction générale.</t>
  </si>
  <si>
    <t>254</t>
  </si>
  <si>
    <t>Les résultats de ces  évaluations donnent lieu à une évolution régulière du processus d’innovation visant à l'amélioration continue.</t>
  </si>
  <si>
    <t>255</t>
  </si>
  <si>
    <t>256</t>
  </si>
  <si>
    <t>257</t>
  </si>
  <si>
    <t>L’innovation fait l’objet d’une communication clairement définie.</t>
  </si>
  <si>
    <t>Lien avec le vecteur Marketing &amp; Communication</t>
  </si>
  <si>
    <t>Les enjeux et la population cible de la communication sur l'innovation sont explicitement définis. </t>
  </si>
  <si>
    <t>61</t>
  </si>
  <si>
    <t>262</t>
  </si>
  <si>
    <t>La communication de l’innovation est structurée selon un plan de communication interne et externe. Les actions sont relayées et les acteurs mis en avant. Cette communication est effectuée au niveau des services et des directions.</t>
  </si>
  <si>
    <t xml:space="preserve">• Cette communication est établie entre les différents acteurs, coordonnée par la direction de la communication de l’organisation.
• Le périmètre de communication prend en compte la stratégie de l'organisation et l'impact de cette communication sur l'image de l'organisation. </t>
  </si>
  <si>
    <t>62</t>
  </si>
  <si>
    <t>263</t>
  </si>
  <si>
    <t>Les progrès et résultats du processus d’innovation sont communiqués à l’organisation.</t>
  </si>
  <si>
    <t>• L’instance responsable du processus développe et maintient un tableau de bord permettant de suivre les indicateurs clés et de communiquer sur les progrès et performances.</t>
  </si>
  <si>
    <t>63</t>
  </si>
  <si>
    <t>264</t>
  </si>
  <si>
    <t>L’impact de la communication sur la culture d’innovation de l’organisation est mesuré régulièrement.</t>
  </si>
  <si>
    <t>64</t>
  </si>
  <si>
    <t>265</t>
  </si>
  <si>
    <t>65</t>
  </si>
  <si>
    <t>266</t>
  </si>
  <si>
    <t>66</t>
  </si>
  <si>
    <t>267</t>
  </si>
  <si>
    <t>67</t>
  </si>
  <si>
    <t>Prendre en compte les risques numériques et la conformité dans les enjeux stratégiques, les processus métiers et les produits et services de l'organisation.</t>
  </si>
  <si>
    <t>Cadres standardisé de gestion des risques numériques</t>
  </si>
  <si>
    <t>Il existe un processus itératif de gestion standardisé et intégré des risques numériques, incluant les pratiques et les procédures pour communiquer, consulter, établir le contexte, identifier, analyser, évaluer, traiter, piloter et réviser les risques. Ce processus est intégré à la gestion des risques de l'organisation.</t>
  </si>
  <si>
    <t xml:space="preserve">L’organisation considère la gestion des risques numériques comme une composante essentielle de sa gouvernance et l’intègre dans sa communication. </t>
  </si>
  <si>
    <t>• Les dirigeants communiquent en interne et en externe sur la gestion des risques numériques avec des objectifs clairement définis.
• La gestion des risques numériques fait partie intégrante du bilan annuel d’activité de l’organisation.
• Un programme continu de sensibilisation et de formation est mis en œuvre pour tous les collaborateurs.</t>
  </si>
  <si>
    <t>Assurer la résilience de l'organisation et l'exécution de sa stratégie en maîtrisant les risques numériques.</t>
  </si>
  <si>
    <t>Manque de fiabilité, de conformité, d’intégrité, de disponibilité et de confidentialité des informations critiques ou sensibles de l’organisation (données financières, commerciales, personnelles, stratégiques, ou liées à son savoir-faire).</t>
  </si>
  <si>
    <t>312</t>
  </si>
  <si>
    <t>Le management a mis en place un dispositif de gestion des risques numériques et de contrôle interne couvrant l'ensemble des processus. Ce dispositif, documenté, repose sur une politique et une organisation dédiées à la gestion des risques, intégrant l’ensemble des processus critiques de l’organisation et s’articulant avec les métiers ainsi que la fonction informatique.</t>
  </si>
  <si>
    <t>• Des comités ad hoc de gestion des risques ont été créés intégrant les acteurs métiers et des membres de la direction générale.
• Une filière « Risques » intégrant l’ensemble des métiers est formalisée dans l’organigramme de l’organisation. Sa mission est précisée et communiquée. La filière « Risques » inclut une veille sur les risques métiers et SI, ainsi que sur les risques émergents. Un correspondant compétent en risk management est identifié au sein de la DSI. Un document de politique de gestion des risques est diffusé et partagé au sein de l’organisation. Les événements climatiques sont pris en compte dans cette analyse.
• Des certifications professionnelles (CISA, EBIOS, COBIT, CRMA, ISO27005, CRISC, CISM...) permettent d'assurer la mise à disposition d'un cadre et d’outils adaptés.</t>
  </si>
  <si>
    <t>Protéger l'organisation contre les impacts d'une cyberattaque par la mise en place d'un traitement holistique du risque cyber (prévention, détection, réaction, assurance...).</t>
  </si>
  <si>
    <t>Manque de capacité de l’organisation à faire face aux risques numériques sur les projets, les applications majeures, les infrastructures clés et les données critiques.</t>
  </si>
  <si>
    <t>313</t>
  </si>
  <si>
    <r>
      <rPr>
        <sz val="11"/>
        <color indexed="49"/>
        <rFont val="Calibri"/>
      </rPr>
      <t>Risques &amp; conformité</t>
    </r>
  </si>
  <si>
    <t xml:space="preserve">Le niveau d’appétence et de tolérance au risque numérique est défini et partagé avec l’ensemble des acteurs, à chaque niveau pertinent, avant toute analyse de risques. Les plans d’action de réduction des risques sont coordonnés par la direction des risques, ou à défaut par la direction générale. </t>
  </si>
  <si>
    <t>• L'appétence au risque est le niveau de risque qu'une organisation est prête à prendre : elle représente la position stratégique de l’organisation vis-à-vis du risque.
• La tolérance est le seuil d'acceptation maximal de survenance du risque : il s’agit d’une notion plus opérationnelle qui fixe les seuils à ne pas dépasser par l’organisation.
• Les unités de mesure et de fréquence, clairement définies, sont communes à l'ensemble de l'organisation.
• Le management a défini des seuils de risques résiduels raisonnables pour l'organisation ainsi que l'impact financier maximal acceptable.
• Ce dispositif permet d'identifier les méthodes de transfert ou de réduction du risque.</t>
  </si>
  <si>
    <t>Maîtriser les risques de dépendances technologiques de l'organisation dans un contexte géopolitique.</t>
  </si>
  <si>
    <t>Difficulté à gérer la complexité croissante des technologies utilisées dans l'organisation.</t>
  </si>
  <si>
    <t>314</t>
  </si>
  <si>
    <t>La DSI met en œuvre une démarche d’identification des principaux risques numériques associant les acteurs métiers et prenant en compte les intérêts et les contraintes des parties prenantes (internes et externes). Elle évalue aussi les risques liés aux opérations numériques (projet, changement, exploitation, incident, sécurité, gestion des données, etc.).</t>
  </si>
  <si>
    <t xml:space="preserve">• Un inventaire des risques (cartographie et registre) est établi avec les métiers et consolidé. Cet inventaire intègre les risques SI, avec des propriétaires identifiés pour chacun d’eux. Une revue annuelle de l’inventaire, réalisée par entretiens, est présentée régulièrement aux instances dirigeantes et de contrôle. L’inventaire peut s’appuyer sur des référentiels de risques SI reconnus, tels que : Risk IT Framework, COBIT 2019, ISO 27005, ISO 31000, EBIOS RM, COSO ERM, NIST CSF, OCTAVE, MEHARI.
• Des familles de risques variées (épidémique, menace terroriste, climatique,...) sont intégrées dans la cartographie. Les risques liés à la relation avec des tierces parties doivent être également identifiés et considérés dans l'inventaire. </t>
  </si>
  <si>
    <t>Rassurer les parties prenantes par une professionnalisation de la gestion des risques numériques. </t>
  </si>
  <si>
    <t>Incapacité à maîtriser les risques liés à la dépendance technologique ou à une utilisation non maîtrisée des technologies.</t>
  </si>
  <si>
    <t>315</t>
  </si>
  <si>
    <t>L’organisation met en œuvre des outils de pilotage et de suivi des risques (incluant des indicateurs spécifiques pertinents) qui aident à la prise décision concernant les options de traitement et leur priorisation.</t>
  </si>
  <si>
    <t xml:space="preserve">• Des tableaux de bord dédiés à la gestion des risques technologiques et cyber sont mis à disposition de la direction générale et du conseil d’administration. Cf. Cybersécurité : comprendre, visualiser, décider, Cigref, 2018.
• Des bases de données recensent les incidents importants, et leur impact en termes financiers ou sur l’activité est mesuré.
• Les incidents pris en compte dans la gestion des risques sont analysés et font l’objet d’un reporting sur leur évolution probable, en fréquence et en impact. </t>
  </si>
  <si>
    <t>Garantir la conformité de l'organisation aux exigences applicables (réglementaires, contractuelles, et celles issues des  parties prenantes).</t>
  </si>
  <si>
    <t>Augmentation des occurrences d’attaques sophistiquées accroissant l'exposition au risque global.</t>
  </si>
  <si>
    <t>316</t>
  </si>
  <si>
    <t>La feuille de route numérique intègre les priorités du plan de réduction des risques.</t>
  </si>
  <si>
    <t xml:space="preserve">• Lors de l’élaboration de la feuille de route, la DSI s’assure que des projets permettant de réduire les principaux risques de l’organisation sont identifiés. Ces risques peuvent concerner plusieurs dimensions :
- Continuité d’activité (disponibilité des services, résilience).
- Protection des données (intégrité, confidentialité, prévention du vol).
- Gestion des projets (sélection inadaptée, non-atteinte des objectifs).
- Capacités technologiques (manque de maîtrise des technologies nécessaires au développement et à la compétitivité de l’organisation).
• Les risques au regard des critères d’intégrité et de confidentialité doivent également être évalués et revus périodiquement. </t>
  </si>
  <si>
    <t xml:space="preserve">Perte financière liée à une interruption d'activité, à une perte de confiance des clients, à un changement de modèle économique d'un fournisseur ou d’un prestataire, ou à une non-conformité (coût de reconstruction, augmentation des primes d'assurance, changement de fournisseur ou de technologie). </t>
  </si>
  <si>
    <t>317</t>
  </si>
  <si>
    <t>La revue des risques numériques est réalisée régulièrement et en liaison avec la revue des risques de l'organisation.</t>
  </si>
  <si>
    <t>Enjeux métiers et stratégiques</t>
  </si>
  <si>
    <t xml:space="preserve">La DSI procède à une identification et à une évaluation des risques numériques conjointement avec l'ensemble des directions concernées en prenant en compte les enjeux majeurs pour l’organisation. </t>
  </si>
  <si>
    <t xml:space="preserve">La DSI et les métiers établissent une cartographie de la contribution du numérique à la chaîne de valeur de l'organisation (processus et produits). </t>
  </si>
  <si>
    <t>• Cf. Maîtrise du risque numérique - l’atout confiance, ANSSI, 2019</t>
  </si>
  <si>
    <t>322</t>
  </si>
  <si>
    <t xml:space="preserve">Le périmètre d’analyse des risques SI recouvre le périmètre des processus et des produits de l'organisation, que ceux-ci soient opérés en interne, par des partenaires externes ou par délégation, en prenant en compte le risque d'interdépendance. </t>
  </si>
  <si>
    <t>• Sont généralement pris en compte : les applications supportant des flux financiers majeurs (systèmes comptables, consolidation &amp; reporting), les systèmes de facturation (gestion des achats, des commandes et des stocks), les applications de gestion des référentiels car considérées comme transverses (clients, contrats, etc.), les applications de gestion des accès, les applications critiques en termes de confidentialité et les applications considérées comme « coeur de métier ».
• Une vigilance particulière est accordée aux traitements de données personnelles.
• Les risques impactant l'écosystème (interdépendances) de l'organisation sont pris en compte.</t>
  </si>
  <si>
    <t>323</t>
  </si>
  <si>
    <t>Les ressources informatiques supportant les processus et produits de l'organisation sont inventoriées. Chaque risque est évalué en termes de fréquence et d’impact, puis est comparé au seuil de tolérance au risque du processus métier supporté.</t>
  </si>
  <si>
    <t>• Les ressources comprennent par exemple les applications, les serveurs, l’infrastructure et les postes clés qui leur sont associés.</t>
  </si>
  <si>
    <t>324</t>
  </si>
  <si>
    <t xml:space="preserve">L'évaluation des risques numériques réalisée par la DSI prend en compte les changements significatifs impactant l'organisation : modifications d’organisation internes et externes (fusion, nouvelle activité, nouvelle implantation, etc.), évolutions réglementaires et technologiques (IA, informatique quantique, ...), événements survenus ou pouvant survenir (menaces) avec une fréquence et un impact potentiel négatif suffisamment important pour l’organisation, ou comportant des risques humains. </t>
  </si>
  <si>
    <t>• Des réunions périodiques avec les métiers et des échanges réguliers entre les acteurs sont organisés pour prendre en compte les évolutions.
• Les contraintes réglementaires à prendre en compte sont principalement : le Règlement Général de Protection des Données (RGPD), la transposition de la directive NIS 2, l’Archivage fiscal et légal, le SOX s’il y a lieu, la réglementation sectorielle (Bâle 2, Bâle 3, Solvency 3, Santé, Pharmacie, etc.), DORA, l’AI Act, le Cloud Act, etc.
• Des bases d’incidents ont été mises en place pour permettre de tracer et de recenser les incidents majeurs.
• Un dispositif de veille permet d’anticiper les risques émergents (veille sécurité internet, émergence risques métiers, etc.).</t>
  </si>
  <si>
    <t>325</t>
  </si>
  <si>
    <t xml:space="preserve">La DSI a créé un référentiel de contrôle adapté à l'organisation et mis en place les dispositifs de réduction des risques. Ce référentiel prend en compte la maturité et l'appétence au risque de l'organisation. </t>
  </si>
  <si>
    <t xml:space="preserve">• Pour rappel, les contrôles IT portent d'une part sur les métiers et d'autre part sur les processus IT.
• Les contrôles sont formalisés en appliquant le modèle de documentation des contrôles défini par l'organisation. 
• Les contrôles clés portent sur la procédure de gestion des accès aux SI, les mécanismes de journal des activités sur les SI et la revue de ces journaux, la procédure de gestion des changements, etc. </t>
  </si>
  <si>
    <t>326</t>
  </si>
  <si>
    <t>La DSI lance des projets visant à réduire les risques numériques. Ces projets peuvent être proposés pour intégration à la feuille de route numérique avec les autres projets, l'arbitrage étant réalisé avec les métiers.</t>
  </si>
  <si>
    <t>• Par exemple, un projet de sauvegarde en temps réel de données critiques permet, en favorisant un démarrage très rapide en cas d’incident, de réduire un risque de perte de continuité d’activité. C’est aux métiers, à la direction des risques et à la direction générale de décider si les coûts supplémentaires envisagés sont acceptables par rapport à l’impact de l’interruption d’activité.</t>
  </si>
  <si>
    <t>327</t>
  </si>
  <si>
    <t>Les contrôles IT font l'objet d'une revue régulière qui peut donner lieu à la mise en place de nouveaux contrôles ou d'ajustements. La DSI s'assure à cette occasion que les tests de leur efficacité sont réalisés et communiqués.</t>
  </si>
  <si>
    <t>• Les tests sont spécifiés, communiqués auprès des parties prenantes, testés et validés.
• Des audits sont réalisés de manière indépendante notamment sur les projets critiques et les enjeux cyber.</t>
  </si>
  <si>
    <t>Revue de performance des contrôles</t>
  </si>
  <si>
    <t>L’organisation réalise et communique régulièrement une évaluation de l’efficacité des contrôles SI, en regard des enjeux stratégiques, financiers, commerciaux, réglementaires, industriels ou d’innovation.</t>
  </si>
  <si>
    <t xml:space="preserve">La DSI effectue un suivi de la mise en œuvre des contrôles clés et évalue leur efficacité. Cette évaluation documentée comprend les contrôles récurrents de surveillance, définis avec les métiers. </t>
  </si>
  <si>
    <t xml:space="preserve">• Des indicateurs permettent de valider l'efficacité des contrôles comme : 
- Le nombre de contrôles clés adapté à l’organisation.
- L’intégration des contrôles au sein des processus. </t>
  </si>
  <si>
    <t>332</t>
  </si>
  <si>
    <t xml:space="preserve">L’évaluation de l'efficacité des contrôles est réalisée par des équipes indépendantes des opérations évaluées, par exemple le contrôle interne et/ou l'audit interne. Cette évaluation documentée comprend les contrôles récurrents de surveillance définis avec les métiers. </t>
  </si>
  <si>
    <t xml:space="preserve">• Ces évaluations doivent être fondées sur les référentiels existants auxquels est soumise l'entreprise. 
• Ces évaluations peuvent être menées par des cabinets indépendants et donner lieu à la délivrance de certificats. </t>
  </si>
  <si>
    <t>333</t>
  </si>
  <si>
    <t xml:space="preserve">Les plans de remédiation associés aux risques numériques sont établis en liaison avec les évaluations des risques et des enjeux métiers, suivis par la filière risque ou à défaut par la DSI, et pilotés en coordination avec les métiers. </t>
  </si>
  <si>
    <t>334</t>
  </si>
  <si>
    <t>335</t>
  </si>
  <si>
    <t>336</t>
  </si>
  <si>
    <t>337</t>
  </si>
  <si>
    <t>Gestion des risques cyber</t>
  </si>
  <si>
    <t>La DSI a défini et a mis en œuvre des dispositifs de protection de l'organisation contre les cyberattaques (rançongiciels, fuite de données, etc.)</t>
  </si>
  <si>
    <t>Une fonction RSSI est identifiée dans l'organisation et positionnée dans une logique d'indépendance de la fonction.</t>
  </si>
  <si>
    <t>342</t>
  </si>
  <si>
    <t>Une PSSI (politique de sécurité des SI ), décrivant les grandes orientations et la vision stratégique de la direction de l'organisation vis-à-vis de la sécurité des SI, est élaborée par le RSSI et déclinée dans un corpus documentaire. </t>
  </si>
  <si>
    <t>• La PSSI définit notamment les rôles et responsabilités associés à la fonction RSSI.
• Le PAS (plan d'assurance sécurité) est sa déclinaison vis-à-vis des tierces parties.</t>
  </si>
  <si>
    <t>343</t>
  </si>
  <si>
    <t>La DSI met en place un dispositif de prévention, protection, détection et réaction contre les risques cyber (organisation, socle documentaire, processus et outils) en réponse à son évaluation de la menace. Les tierces parties sont intégrées dans ce dispositif.</t>
  </si>
  <si>
    <t>• Une feuille de route sécurité permet de couvrir toutes les facettes de la menace cyber. 
• La DSI s'assure de la bonne application de ce dispositif chaque fois qu’elle a recours à des services de type cloud.</t>
  </si>
  <si>
    <t>344</t>
  </si>
  <si>
    <t>Le dispositif est évalué et maintenu régulièrement à l'état de l'art en réponse à l'évolution de la menace. </t>
  </si>
  <si>
    <t>• Modes d’évaluation : audit de sécurité (test de pénétration), tests des sauvegardes, scans de vulnérabilité, etc.</t>
  </si>
  <si>
    <t>345</t>
  </si>
  <si>
    <t>Le dispositif est testé et certifié par des tiers indépendants.</t>
  </si>
  <si>
    <t>346</t>
  </si>
  <si>
    <t>Des campagnes de formation et de sensibilisation à la sécurité des systèmes d'information sont réalisées régulièrement et leur efficacité est mesurée et rapportée. Des actions de remédiation peuvent être menées suite à ces campagnes.</t>
  </si>
  <si>
    <t>• Modes de remédiation : sensibilisation, hackathons, formations spécifiques, rappel du règlement intérieur, charte cybersécurité, sanction disciplinaire le cas échéant.
• Les partenaires externes sont intégrés aux campagnes de formation et aux actions de remédiations.</t>
  </si>
  <si>
    <t>347</t>
  </si>
  <si>
    <t xml:space="preserve">Protection  des infrastructures </t>
  </si>
  <si>
    <t>La DSI a défini et mis en œuvre une stratégie relative à la protection des infrastructures numériques et elle en contrôle la bonne exécution.</t>
  </si>
  <si>
    <t>Pour diminuer son exposition au risque, la DSI définit des éléments de redondance pour ses infrastructures.</t>
  </si>
  <si>
    <t xml:space="preserve">• Cette redondance peut passer par l'intégration de solutions hybrides combinant infrastructures locales et services cloud, ou par un recours à différents fournisseurs. 
C'est généralement la première étape dans la conception d'un PRA ou d'un PCA. 
• Remarque générale : l'évaluation de la maturité dépend de la taille et du contexte business de l'organisation. </t>
  </si>
  <si>
    <t>352</t>
  </si>
  <si>
    <t xml:space="preserve">La DSI définit et met en œuvre une politique de sauvegarde qui couvre l'ensemble des données de l'organisation, qu'elles soient hébergées en interne, ou en externe par un prestataire. </t>
  </si>
  <si>
    <t>• Cette politique inclut la fréquence des sauvegardes et tient compte des objectifs de RPO (recovery point objective ou Objectif de point de reprise) et RTO (recovery time objective ou Objectif de temps de rétablissement) ainsi que des contraintes réglementaires.
• Elle prévoit des mécanismes de protection des sauvegardes et de toutes leurs copies sur des sites externes.
Des tests de restauration sont effectués à intervalles réguliers pour vérifier l'intégrité des sauvegardes.</t>
  </si>
  <si>
    <t>353</t>
  </si>
  <si>
    <t>Un plan de reprise d'activité informatique est défini, mis en œuvre et testé.</t>
  </si>
  <si>
    <t>354</t>
  </si>
  <si>
    <t>Un processus de gestion de l'obsolescence permet de piloter les risques d'obsolescence des différents composants du SI. </t>
  </si>
  <si>
    <t>• Il prend en compte le cycle de vie des matériels et logiciels et s'appuie sur une feuille de route prévoyant le renouvellement ou la mise à jour des composants avant leur obsolescence.
• Ce processus doit prévoir un dispositif de gestion des exceptions.</t>
  </si>
  <si>
    <t>355</t>
  </si>
  <si>
    <t>L'organisation a mis en place un processus de gestion des vulnérabilités permettant de détecter et de traiter les vulnérabilités.</t>
  </si>
  <si>
    <t>• Ce processus est lié au processus de gestion des risques, qui permettra de déterminer si une action est à mettre en œuvre ou non.
• Le processus de gestion des vulnérabilités permet de connaître les fragilités du SI, et de mettre en place des actions correctives afin de diminuer l'exposition au risque de cyber attaque.</t>
  </si>
  <si>
    <t>356</t>
  </si>
  <si>
    <t>357</t>
  </si>
  <si>
    <t>Résilience et continuité d'activité</t>
  </si>
  <si>
    <t xml:space="preserve">L'organisation est capable de réagir, efficacement et dans les délais impartis, à des incidents majeurs ayant un impact significatif sur les métiers et sur l'activité de l'organisation. </t>
  </si>
  <si>
    <t xml:space="preserve">Lien avec le vecteur Marketing &amp; Communication. </t>
  </si>
  <si>
    <t>Un plan de continuité informatique est prévu ; il intègre le plan de reprise après sinistre (PRAS) et un plan de continuité des opérations informatiques. </t>
  </si>
  <si>
    <t>362</t>
  </si>
  <si>
    <t xml:space="preserve">L'organisation est capable de réagir, e?cacement et dans les délais impartis, à des incidents majeurs ayant un impact significatif sur les métiers et sur l'activité de l'organisation. </t>
  </si>
  <si>
    <t>Le plan de gestion de crise est formalisé et maintenu en condition opérationnelle. Il doit être associé au plan de continuité d’activité et au plan de reprise d’activité (PCA/PRA). Les conditions de déclenchement et de sortie du plan de gestion de crise sont définies et validées en fonction du type d’événements ou d’incidents. Des indicateurs précis doivent être (si possible) associés à ces conditions.</t>
  </si>
  <si>
    <t>363</t>
  </si>
  <si>
    <t>Les scénarios de gestion de crise sont définis, validés et régulièrement testés. </t>
  </si>
  <si>
    <t>• Les tests incluent les éléments liés à la conformité.</t>
  </si>
  <si>
    <t>364</t>
  </si>
  <si>
    <t>Les tests de ces scénarios ainsi que les incidents majeurs donnent lieu à des retours d'expérience, à des bilans et à des plans d'amélioration partagés et communiqués.</t>
  </si>
  <si>
    <t>365</t>
  </si>
  <si>
    <t>La composante numérique du plan de continuité d'activité est définie, mise en œuvre et testée régulièrement.</t>
  </si>
  <si>
    <t xml:space="preserve">• La composante numérique du PCA est élaborée sur la base de la cartographie des risques.
• Elle tient compte des risques de non-conformité réglementaire acceptables par l'organisation. </t>
  </si>
  <si>
    <t>366</t>
  </si>
  <si>
    <t>367</t>
  </si>
  <si>
    <t>Protection des données</t>
  </si>
  <si>
    <t xml:space="preserve">Les données de l'organisation sont protégées avec un niveau de sécurité adapté et leur qualité permet d'alimenter sans risque les systèmes numériques. </t>
  </si>
  <si>
    <t>Lien avec le vecteur Données &amp; IA</t>
  </si>
  <si>
    <t>L’organisation a défini une liste des « données clés » avec la DSI et les métiers. </t>
  </si>
  <si>
    <t xml:space="preserve">• La connaissance des données qualifiées de « sensibles » permet à l’organisation d’adapter au mieux ses dispositifs de maîtrise des risques.
• Des outils de cartographie des données ou Master Data Management (MDM) peuvent être utilisés. </t>
  </si>
  <si>
    <t>71</t>
  </si>
  <si>
    <t>372</t>
  </si>
  <si>
    <t>La DSI met en place des mesures pour protéger les données en termes de CIA (Confidentialité, Intégrité, Authenticité) dans tous les environnements qu'elle gère.</t>
  </si>
  <si>
    <t>• Ces mesures de protection incluent, par exemple, la gestion des habilitations pour accéder aux applications et les sauvegardes.</t>
  </si>
  <si>
    <t>72</t>
  </si>
  <si>
    <t>373</t>
  </si>
  <si>
    <t>Les mesures de protection des données comprennent des contrôles embarqués dans les applications (ou applications controls).</t>
  </si>
  <si>
    <t>73</t>
  </si>
  <si>
    <t>374</t>
  </si>
  <si>
    <t>En tant que propriétaire des données, le métier reste responsable des informations qu’il traite et il partage avec la DSI la responsabilité des contrôles, qu’ils soient manuels ou automatisés. </t>
  </si>
  <si>
    <t>• Le périmètre de responsabilité intègre les traitements liés aux données sensibles (mise en place de traces, conservation, revues périodiques des droits d’accès, etc.).</t>
  </si>
  <si>
    <t>74</t>
  </si>
  <si>
    <t>375</t>
  </si>
  <si>
    <t>Un dispositif de gouvernance et de mise en qualité des données supervise les risques liés à leurs  usages, notamment ceux engendrés par l'IA (hallucination, biais, décisions induites). Des dispositifs de suivi de la qualité des données sont utilisés.</t>
  </si>
  <si>
    <t>75</t>
  </si>
  <si>
    <t>376</t>
  </si>
  <si>
    <t>76</t>
  </si>
  <si>
    <t>377</t>
  </si>
  <si>
    <t>77</t>
  </si>
  <si>
    <t>Conformité</t>
  </si>
  <si>
    <t>La DSI assure la conformité aux réglementations numériques et contribue au dispositif de gestion de la conformité réglementaire, contractuelle ainsi que la conformité aux référentiels internes de l’organisation.</t>
  </si>
  <si>
    <t>Lien avec le vecteur Prestataires &amp; Fournisseurs.</t>
  </si>
  <si>
    <t>La DSI assure une veille juridique et réglementaire structurée sur son périmètre lui permettant d’identifier les réglementations applicables et leurs évolutions.</t>
  </si>
  <si>
    <t>• La veille est pilotée par un responsable identifié au sein de l’organisation, et s’effectue à travers un processus
documenté et contrôlé.
• Un processus d’amélioration continue permet de faire évoluer le dispositif.
• Parmi les réglementations concernées figurent les textes suivants : RGPD, CSRD, REEN, NIS, DORA, AI Act.
• Le processus prévoit notamment l’identification des sources et le maintien à jour du répertoire associé.
• Les sources peuvent être alimentées par des alertes automatiques, des scans de site,...
• Des mécanismes de remontées d’informations en interne peuvent être identifiés.</t>
  </si>
  <si>
    <t>81</t>
  </si>
  <si>
    <t>382</t>
  </si>
  <si>
    <t>Un dispositif de conformité structuré permet à la DSI de définir ses objectifs et d’évaluer les risques de nonconformité à travers une charte validée par la direction générale.</t>
  </si>
  <si>
    <t>• Pour bâtir cette charte de conformité, la DSI se dote de ressources identifiées, d’un socle documentaire adapté
et d’indicateurs de performance régulièrement suivis garantissant l’effectivité du dispositif.
• Le dispositif de conformité est actualisé en tenant compte des résultats de la veille et des évolutions de
l’environnement réglementaire.</t>
  </si>
  <si>
    <t>82</t>
  </si>
  <si>
    <t>383</t>
  </si>
  <si>
    <t>La DSI s’insère dans un plan structuré de communication, formation et acculturation, aligné sur les objectifs de conformité.</t>
  </si>
  <si>
    <t>• Ce plan est mis en oeuvre, évalué et ajusté en fonction des retours d’expérience et des évolutions réglementaires
pour garantir une montée en compétences continue.
• Le plan de formation concerne également les ressources externes (prestataires) intervenant dans l’organisation.
• Les compétences associées à la conformité figurent dans les fiches de poste des rôles concernés.</t>
  </si>
  <si>
    <t>83</t>
  </si>
  <si>
    <t>384</t>
  </si>
  <si>
    <t>La DSI identifie les écarts de conformité, elle les corrige et documente ses actions.</t>
  </si>
  <si>
    <t>• Elle s’inscrit dans le programme de conformité de l’organisation et réalise un bilan annuel pour ajuster son plan
en fonction des évolutions réglementaires et stratégiques.
• Les actions proposées sont évaluées et priorisées en fonction des risques associés.</t>
  </si>
  <si>
    <t>84</t>
  </si>
  <si>
    <t>385</t>
  </si>
  <si>
    <t>Les exigences de conformité sont prises en compte dès la conception des solutions (compliance by design).</t>
  </si>
  <si>
    <t>85</t>
  </si>
  <si>
    <t>386</t>
  </si>
  <si>
    <t>La DSI a défini un plan de contrôle de la conformité structuré, basé sur l’analyse des risques numériques et prenant en compte les dysfonctionnements potentiels. Ce plan inclut notamment la gestion des tierces parties (par exemple, les fournisseurs de cloud).</t>
  </si>
  <si>
    <t>• Le plan est déployé, suivi et réévalué régulièrement, avec une communication des résultats et un pilotage des
actions correctives.
• Il prévoit le cas échéant de faire appel à des ressources externes pour une évaluation indépendante (audit,
benchmark,...).</t>
  </si>
  <si>
    <t>86</t>
  </si>
  <si>
    <t>387</t>
  </si>
  <si>
    <t>Le dispositif de conformité de la DSI assure une communication régulière sur ses risques et valide les reportings réglementaires avant diffusion interne et externe.</t>
  </si>
  <si>
    <t>• Les reportings ont pour objectif de comprendre le profil de risques de l’organisation et de prendre les décisions
appropriées
• Un processus de communication de crise, conforme aux réglementations, est appliqué, par exemple, en cas de
fuite de données.</t>
  </si>
  <si>
    <t>87</t>
  </si>
  <si>
    <t>Soutenir les enjeux de responsabilité sociétale de l'organisation et incarner ses valeurs éthiques et sociétales.</t>
  </si>
  <si>
    <t>Gouvernance</t>
  </si>
  <si>
    <t xml:space="preserve">Une gouvernance RSE incluant les sujets numériques est mise en place au niveau de l'organisation. </t>
  </si>
  <si>
    <t>En lien avec le vecteur Stratégies</t>
  </si>
  <si>
    <t>La DSI bénéficie du sponsorship de la direction générale de l'organisation en matière de numérique responsable.</t>
  </si>
  <si>
    <t>Assurer la conformité en matière de RSE et anticiper les évolutions réglementaires et légales.</t>
  </si>
  <si>
    <t>Sanction pour défaut de conformité aux réglementations en vigueur en matière de RSE. </t>
  </si>
  <si>
    <t>412</t>
  </si>
  <si>
    <t>La stratégie numérique intègre la politique RSE de l'organisation et la met en œuvre.</t>
  </si>
  <si>
    <t>Accompagner l'organisation sur le numérique responsable et promouvoir les apports du numérique pour la réduction de son empreinte environnementale.</t>
  </si>
  <si>
    <t>Perte d'attractivité pour les parties prenantes (clients, actionnaires...) et fuite des talents.</t>
  </si>
  <si>
    <t>413</t>
  </si>
  <si>
    <r>
      <rPr>
        <sz val="11"/>
        <color indexed="49"/>
        <rFont val="Calibri"/>
      </rPr>
      <t>RSE</t>
    </r>
  </si>
  <si>
    <t>L'organisation a mis en place une instance dédiée, chargée du pilotage du numérique responsable et des initiatives liées à la conformité.</t>
  </si>
  <si>
    <t>Améliorer l'attractivité et la valeur de l'entreprise.</t>
  </si>
  <si>
    <t>Perte de compétitivité et exclusion de certains marchés.</t>
  </si>
  <si>
    <t>414</t>
  </si>
  <si>
    <t>Maîtriser le cycle de vie des produits et des services numériques dans un contexte responsable.</t>
  </si>
  <si>
    <t>Atteinte à la marque de l’entreprise.</t>
  </si>
  <si>
    <t>415</t>
  </si>
  <si>
    <t>Exclusion d’une partie de la population en cas de défaut d’accessibilité. </t>
  </si>
  <si>
    <t>416</t>
  </si>
  <si>
    <t>Manque de résilience et d'anticipation face aux possibles crises géopolitiques, climatiques, économiques...</t>
  </si>
  <si>
    <t>417</t>
  </si>
  <si>
    <t>Sensibilisation</t>
  </si>
  <si>
    <t>L’organisation  met en œuvre un programme structuré de sensibilisation et de formation à la RSE et au numérique responsable, soutenu par des référents identifiés. Elle en mesure l’impact par des actions régulières.</t>
  </si>
  <si>
    <t>Les décideurs et les métiers sont sensibilisés au numérique responsable.</t>
  </si>
  <si>
    <t>• Une démarche de promotion de la sobriété des usages numériques est en œuvre au sein de l'organisation. 
• Des « référents numérique responsable » ont été identifiés dans chaque business unit. Ils jouent le rôle d'ambassadeurs en permettant une sensibilisation sur les sujets RSE au quotidien.
• Des campagnes de sensibilisation régulières sont organisées pour les métiers et les utilisateurs.
• Le travail de sensibilisation mené par les «référents numérique responsable » peut être effectué notamment par le biais d'ateliers dédiés. 
• L'impact de ces ateliers, ou celui des autres types d'actions de sensibilisation et de formations menées, est régulièrement mesuré.
• Au niveau RH, les compétences en matière de numérique responsable sont ajoutées à la liste des skills recherchés dans les candidatures IT.</t>
  </si>
  <si>
    <t>422</t>
  </si>
  <si>
    <t>Une communication sur l'accessibilité numérique et sur les sujets de conformité aux réglementations RSE est mise en place au sein de l'organisation.</t>
  </si>
  <si>
    <t>423</t>
  </si>
  <si>
    <t>Les personnes clés au sein de la filière numérique sont formées.</t>
  </si>
  <si>
    <t>• Les collaborateurs de la filière numérique sont formés au numérique responsable (empreinte environnementale, enjeux d’inclusion et d’accessibilité, enjeux éthiques et d’équité, conformité et écoconception…). 
• Les contributeurs à la conception et au choix des solutions sont formés au numérique responsable.</t>
  </si>
  <si>
    <t>424</t>
  </si>
  <si>
    <t>425</t>
  </si>
  <si>
    <t>426</t>
  </si>
  <si>
    <t>427</t>
  </si>
  <si>
    <t>Eco conception et cycle de vie</t>
  </si>
  <si>
    <t>Les enjeux RSE sont intégrés dès la conception des services et des produits numériques et tout au long de leur cycle de vie.</t>
  </si>
  <si>
    <t>La contribution RSE est maîtrisée de bout en bout, tout au long du cycle de vie du produit ou du service.</t>
  </si>
  <si>
    <t>• La performance écologique du SI fait l'objet d'un pilotage dédié, cf. Modèle de pilotage économique et écologique IT, Cigref, 2022
• L'empreinte environnementale des projets et produits, basée sur l'analyse du cycle de vie, est mesurée.
• Les critères RSE sont intégrés dans les décisions d'investissement numérique et  évaluent notamment : 
- les émissions de gaz à effet de serre,
- les consommations de ressources abiotiques (terres rares),
- la consommation d'eau,
- l'énergie primaire mobilisée (rayonnement solaire, vent, charbon, uranium, etc.).
• L’évaluation des critères RSE repose sur une approche multi-étapes et multi-composants : elle se fait sur tout le cycle de vie des équipements numériques (phases de fabrication, distribution, utilisation et fin de vie), et concerne aussi bien les terminaux, les réseaux, que les centres de données, etc.</t>
  </si>
  <si>
    <t>432</t>
  </si>
  <si>
    <t>Les critères de conception des produits et services numériques sont définis en alignement avec les enjeux RSE de l'organisation.</t>
  </si>
  <si>
    <t>433</t>
  </si>
  <si>
    <t>La dimension de responsabilité est incluse dans la conception des solutions.</t>
  </si>
  <si>
    <t>• Les principaux KPI associés à la durabilité ou à l'accessibilité font l'objet d'un pilotage.</t>
  </si>
  <si>
    <t>434</t>
  </si>
  <si>
    <t>La DSI met en place des actions dédiées à l'accessibilité numérique en lien avec la stratégie RSE globale de l'organisation.</t>
  </si>
  <si>
    <t>435</t>
  </si>
  <si>
    <t>La DSI accompagne les métiers dans l'élaboration de solutions IT for green.</t>
  </si>
  <si>
    <t>• La DSI organise auprès des métiers une veille sur l'IT for Green et est impliquée dans l'outillage des solutions de reporting.
• Des initiatives sont développées pour favoriser le recyclage, le réemploi et la réparabilité des équipements.</t>
  </si>
  <si>
    <t>436</t>
  </si>
  <si>
    <t>Des outils sont mis en place pour implémenter le reporting extra-financier (CSRD) et pour mener les actions de transition environnementale et de réduction de l’empreinte environnementale. </t>
  </si>
  <si>
    <t>437</t>
  </si>
  <si>
    <t>Un contrôle de la conception responsable (écoconception, accessibilité) et des actions d'amélioration continue est mis en œuvre.</t>
  </si>
  <si>
    <t>Politique d'achats</t>
  </si>
  <si>
    <t>La DSI mène une politique d'achats responsables.</t>
  </si>
  <si>
    <t>Une démarche d’achats responsables est mise en œuvre.</t>
  </si>
  <si>
    <t>• Les critères RSE constituent un volet à part entière de la sélection des solutions, produits et équipements.
• Les critères RSE figurent explicitement dans les cahiers des charges des appels d'offres.
• Les politiques d'achats privilégient le matériel labellisé ou certifié RSE.</t>
  </si>
  <si>
    <t>442</t>
  </si>
  <si>
    <t>La DSI mène une politique d'achats responsable</t>
  </si>
  <si>
    <t>Les fournisseurs sont challengés sur la dimension RSE de leurs produits, services ou solutions.</t>
  </si>
  <si>
    <t>• Les audits fournisseurs intègrent la dimension RSE.
• Les fournisseurs sont sélectionnés et challengés sur leur gestion de la fin de vie des équipements, la réparation, le recyclage, et le réemploi de leurs produits. 
• Ils transmettent des données d’impact environnemental précises, notamment sur les services cloud ou les usages de l’IA.</t>
  </si>
  <si>
    <t>443</t>
  </si>
  <si>
    <t>444</t>
  </si>
  <si>
    <t>445</t>
  </si>
  <si>
    <t>446</t>
  </si>
  <si>
    <t>447</t>
  </si>
  <si>
    <t>Contribution à la RSE globale</t>
  </si>
  <si>
    <t>La filière numérique mesure et pilote sa contribution à la RSE de l'organisation.</t>
  </si>
  <si>
    <t>Lien avec le vecteur Budget &amp; Performance</t>
  </si>
  <si>
    <t>La contribution de l'IT aux enjeux RSE de l'entreprise est mesurée, pilotée et communiquée.</t>
  </si>
  <si>
    <t>• La contribution de l’IT à la réduction de l’impact RSE est évaluée et communiquée.
• L’impact des services est piloté de manière détaillée.
• La performance écologique du SI est pilotée en suivant un modèle préétabli, par exemple le Modèle du pilotage économique et écologique de l'IT, Cigref, 2022. 
• L’empreinte environnementale est calculée sur la base de l’analyse du cycle de vie (ACV).
• Un éco-score est mis en place sur les projets.</t>
  </si>
  <si>
    <t>452</t>
  </si>
  <si>
    <t>La DSI utilise une méthode partagée et reconnue pour mesurer les gains de l'IT for Green.</t>
  </si>
  <si>
    <r>
      <rPr>
        <sz val="11"/>
        <color indexed="8"/>
        <rFont val="Calibri"/>
      </rPr>
      <t xml:space="preserve">• Une méthode comme celle proposée dans le rapport </t>
    </r>
    <r>
      <rPr>
        <i val="1"/>
        <sz val="7"/>
        <color indexed="8"/>
        <rFont val="Calibri"/>
      </rPr>
      <t xml:space="preserve">Critères de décisions RSE à intégrer dans les projets IT, Cigref 2023 </t>
    </r>
    <r>
      <rPr>
        <sz val="11"/>
        <color indexed="8"/>
        <rFont val="Calibri"/>
      </rPr>
      <t>est utilisée.</t>
    </r>
  </si>
  <si>
    <t>453</t>
  </si>
  <si>
    <t>Une démarche de labellisation est mise en œuvre par l'organisation.</t>
  </si>
  <si>
    <t>• L’organisation et/ou les collaborateurs obtiennent des labels reconnus  tels que le label de l’INR.</t>
  </si>
  <si>
    <t>454</t>
  </si>
  <si>
    <t>455</t>
  </si>
  <si>
    <t>456</t>
  </si>
  <si>
    <t>457</t>
  </si>
  <si>
    <t>Connaître, gérer, valoriser, protéger les données de l'organisation, et tirer profit de l'IA et des data sciences.</t>
  </si>
  <si>
    <t>Stratégie et gouvernance</t>
  </si>
  <si>
    <t>L'organisation dispose d'une stratégie claire pour la gestion des données et d'un cadre de gouvernance associé visant à traiter les données comme un actif majeur. Cette stratégie inclut l'usage de l'IA.</t>
  </si>
  <si>
    <t xml:space="preserve">Lien avec le vecteur Stratégies </t>
  </si>
  <si>
    <t>L'organisation cartographie les données et identifie leur contribution à sa chaîne de valeur de l'organisation (a minima pour les obligations légales et réglementaires...).</t>
  </si>
  <si>
    <t>Gouverner les données comme un actif stratégique de l’organisation.</t>
  </si>
  <si>
    <t>Perte de compétitivité, affaiblissement de la réputation ou de l’image.</t>
  </si>
  <si>
    <t>512</t>
  </si>
  <si>
    <t>L'organisation documente une politique de gouvernance des données intégrant les exigences réglementaires et contractuelles applicables. </t>
  </si>
  <si>
    <t>• Les éléments suivants y figurent : rôles et responsabilités, critères, niveaux de risques acceptables, etc.</t>
  </si>
  <si>
    <t>Exploiter les données pour développer de nouveaux produits et services et renforcer la différenciation concurrentielle. </t>
  </si>
  <si>
    <t>Perturbation ou blocage de l’activité de l’organisation.</t>
  </si>
  <si>
    <t>513</t>
  </si>
  <si>
    <r>
      <rPr>
        <sz val="11"/>
        <color indexed="49"/>
        <rFont val="Calibri"/>
      </rPr>
      <t>Données &amp; IA</t>
    </r>
  </si>
  <si>
    <t>L’organisation a mis en place une stratégie cohérente pour l'utilisation et la valorisation des données en prenant en compte les opportunités offertes par les nouvelles technologies ainsi que les contraintes techniques, juridiques et réglementaires.</t>
  </si>
  <si>
    <t>• Cette stratégie s’applique à tous types de données : stratégiques, commerciales, industrielles personnelles et critiques. 
• L’utilisation des données fait partie intégrante du volet numérique du plan stratégique de l’organisation. 
• L'intelligence artificielle est intégrée dans la stratégie, ainsi que la politique de sécurisation.
• Cf. Gouvernance et Architecture Data &amp; Analytics : Élaborer et mettre en place la stratégie data, Cigref, 2023</t>
  </si>
  <si>
    <t>Tirer profit de l'IA pour améliorer la performance et générer de nouveaux usages ou offres de produits ou services. </t>
  </si>
  <si>
    <t>Perte financière ou diminution du chiffre d’affaires.</t>
  </si>
  <si>
    <t>514</t>
  </si>
  <si>
    <t>La direction générale est responsable de l'exécution de la stratégie « données » de l'organisation. </t>
  </si>
  <si>
    <t>Permettre une prise de décision éclairée et proactive, et améliorer l’efficacité des processus.</t>
  </si>
  <si>
    <t>Divulgation non souhaitée d’informations sensibles (intelligence économique, données personnelles, sécurité, etc.).</t>
  </si>
  <si>
    <t>515</t>
  </si>
  <si>
    <t>Un bilan évaluant le respect de la politique de gouvernance des données est présenté à la direction générale permettant d'identifier les axes de progression.</t>
  </si>
  <si>
    <t>• Une fréquence annuelle est recommandée.</t>
  </si>
  <si>
    <t>Instaurer et maintenir la confiance dans l’utilisation des données (internes et externes).</t>
  </si>
  <si>
    <t>Dévalorisation du patrimoine immatériel de l’organisation.</t>
  </si>
  <si>
    <t>516</t>
  </si>
  <si>
    <t>517</t>
  </si>
  <si>
    <t>Processus</t>
  </si>
  <si>
    <t>L'organisation dispose d'un processus de gestion de la donnée.</t>
  </si>
  <si>
    <t>L'organisation établit et maintient un référentiel des données cartographiées incluant les applications associées, les droits d'accès, la durée de conservation, le niveau de sécurité requis, etc.</t>
  </si>
  <si>
    <t>• Un référentiel recense les données correspondant à chaque objet spécifique (référentiel clients, référentiel organisation, référentiel produits, etc.) ainsi que leurs caractéristiques et les relations entre elles, qu'il s'agisse de données structurées ou non structurées.
• La description des processus métiers s’appuie sur la cartographie des données. 
• Les données de référence utilisées par plusieurs applications ou processus métiers sont identifiées, et les risques de conflits liés aux mises à jour par les différentes applications sont mis en évidence.
• Les données sont classifiées en fonction de leur sécurité et de leur conformité réglementaire.</t>
  </si>
  <si>
    <t>522</t>
  </si>
  <si>
    <t>Un dispositif conforme à la politique de gouvernance des données est mis en place pour l'utilisation et la mise à jour du référentiel et du dictionnaire de données, impliquant l'ensemble des parties concernées (métiers, fonctions). Ce dispositif couvre l'ensemble du cycle de vie des données.</t>
  </si>
  <si>
    <t>• Le dispositif de gouvernance permet notamment d'identifier les différents rôles clés intervenant dans la gestion des données tels que les propriétaires des données (data owners), les data stewards, le délégué à la protection des données (DPD ou Data Protection Officer), ainsi que la DSI, les administrateurs fonctionnels et techniques, etc.
• Le dispositif comprend, de manière non exhaustive, le référentiel documentaire, la cartographie et la liste des contrôles. La documentation contient a minima, le dictionnaire des données, le dictionnaire des flux, et le data lignage. 
• Le dispositif couvre l’ensemble du cycle de vie de la donnée, de sa collecte à sa destruction.
• Des outils de gouvernance de la donnée peuvent faciliter la mise en place des bonnes pratiques.
• Le dictionnaire de données est partagé et compris par les métiers et la DSI, avec une identification claire des propriétaires des données.</t>
  </si>
  <si>
    <t>523</t>
  </si>
  <si>
    <t>Le processus de gestion de la donnée est animé par une personne ou une instance désignée qui rend compte à la direction générale. </t>
  </si>
  <si>
    <t>• Le titre et les responsabilités peuvent varier en fonction du contexte de l'organisation.</t>
  </si>
  <si>
    <t>524</t>
  </si>
  <si>
    <t>Un plan de sensibilisation et de communication est déployé au sein de l'organisation. </t>
  </si>
  <si>
    <t>• Il peut inclure par exemple, une charte d'utilisation des données. La direction de la communication peut être sollicitée pour assurer la diffusion de la charte.</t>
  </si>
  <si>
    <t>525</t>
  </si>
  <si>
    <t>Un point de contrôle est mis en place pour vérifier que les référentiels et dictionnaires de données sont bien utilisés dans les nouveaux projets et tout au long du cycle de vie des applications.</t>
  </si>
  <si>
    <t>• Chaque nouveau projet doit intégrer l’utilisation du dictionnaire des données et informer les acteurs de gestion concernés, comme le comité projet ou l’urbanisme, par exemple.</t>
  </si>
  <si>
    <t>526</t>
  </si>
  <si>
    <t>L’organisation met en œuvre des processus de vérification, soutenus par des indicateurs de qualité des données.</t>
  </si>
  <si>
    <t xml:space="preserve">• L'évaluation de la qualité des données fait partie intégrante du dispositif de contrôle interne et de maîtrise des risques. 
• Une comitologie (ensemble de comités) a été instaurée incluant l'ensemble des parties prenantes des référentiels de données et dictionnaires, avec une fréquence régulière et un objectif d’amélioration continue. Les comptes-rendus de ces comités sont systématiquement établis. 
• Les critères de qualité peuvent inclure la traçabilité, l’intégrité, la fraicheur (mise à jour régulière), l’exactitude, le dédoublement,l’exhaustivité, la cohérence, la disponibilité, etc.
• L'organisation peut faire usage de solutions d’IA pour rendre le processus plus efficace. </t>
  </si>
  <si>
    <t>527</t>
  </si>
  <si>
    <t>Le dispositif est audité régulièrement et évolue en intégrant les préconisations issues de ces audits.</t>
  </si>
  <si>
    <t>Valorisation</t>
  </si>
  <si>
    <t xml:space="preserve">L'organisation met en place les dispositifs nécessaires pour atteindre les objectifs stratégiques liés aux données, en s’appuyant sur la cartographie réalisée. </t>
  </si>
  <si>
    <t>L'organisation attribue les rôles spécifiques pour exploiter ses données : Directeur des données (Chief Data Officer), Délégué à la protection des données, Data scientist, Responsable des données, Chef de projet, etc.).</t>
  </si>
  <si>
    <t>• Les fiches de rôle ou de poste sont disponibles et consultables. Cf. Nomenclature des métiers du SI, Cigref 2025.</t>
  </si>
  <si>
    <t>532</t>
  </si>
  <si>
    <t>L'organisation a mis en place des initiatives, des méthodes et des outils pour valoriser ses données. Celles-ci sont utilisées pour anticiper et réaliser des projections.</t>
  </si>
  <si>
    <t>• Ces initiatives et outils concernent tant les données structurées que non structurées.
• Des modèles prédictifs sont définis pour permettre l’anticipation et réaliser des projections.
• Cf. Pilotage de l’entreprise par la donnée : extraire la valeur de la donnée à l’échelle de l’entreprise, Cigref, 2023
• Cf. Approches tactiques et stratégiques sur la qualité des données, Cahier pratique n°1, Groupe de travail Qualité des données, ISACA, 2021.</t>
  </si>
  <si>
    <t>533</t>
  </si>
  <si>
    <t>Les différentes directions de l'organisation sont activement impliquées dans les initiatives et outils et se les sont appropriés.</t>
  </si>
  <si>
    <t>• Les outils et compétences sont utilisés par les métiers dans leur fonctionnement et dans leurs projets, notamment en matière d'innovation.</t>
  </si>
  <si>
    <t>534</t>
  </si>
  <si>
    <t>L'efficacité de ces initiatives et outils est mesurée périodiquement y compris la manière dont l'IA est utilisée.</t>
  </si>
  <si>
    <t>• Par exemple, l'entraînement des moteurs d'IA (RAG,etc) fait l’objet de cette évaluation.</t>
  </si>
  <si>
    <t>535</t>
  </si>
  <si>
    <t>Les organisations qui ont l'obligation de mettre à disposition certaines données en open data (conformité à la loi Lemaire), ont identifié les impacts de cette démarche sur la valorisation de leurs données.</t>
  </si>
  <si>
    <t>• Il existe une analyse d'impact formalisée sur le business de l'organisation.</t>
  </si>
  <si>
    <t>536</t>
  </si>
  <si>
    <t>537</t>
  </si>
  <si>
    <t>Sécurisation</t>
  </si>
  <si>
    <t>L’organisation a mis en place un dispositif pour protéger ses données.</t>
  </si>
  <si>
    <t>Lien avec le vecteur Risques &amp; Conformité.</t>
  </si>
  <si>
    <t>Une cartographie des risques est élaborée en fonction de la criticité des données.</t>
  </si>
  <si>
    <t>• Une méthodologie de gestion des risques, connue et partagée au sein de l'organisation, est en place.</t>
  </si>
  <si>
    <t>542</t>
  </si>
  <si>
    <t>L'organisation s'assure de la conformité avec l'ensemble des réglementations relatives aux données (par exemple : Data Act, RGPD, DORA, NIS 2, IA Act, et toutes les réglementations sectorielles spécifiques).</t>
  </si>
  <si>
    <t>543</t>
  </si>
  <si>
    <t>Des dispositifs de couverture des risques sont mis en place en fonction de la criticité et de l'évaluation des menaces sur les données. </t>
  </si>
  <si>
    <t>• Un plan d'action ou de remédiation est disponible.
 • Ces dispositifs incluent des solutions techniques adaptées aux risques identifiés</t>
  </si>
  <si>
    <t>544</t>
  </si>
  <si>
    <t>L'organisation sensibilise ses collaborateurs, y compris la direction générale, à la protection des données et aux dispositifs de couverture de risques.</t>
  </si>
  <si>
    <t>• Il existe un plan de communication et de sensibilisation à cette fin.</t>
  </si>
  <si>
    <t>545</t>
  </si>
  <si>
    <t>L'organisation prend en compte les aspects de sécurité et de conformité des données, quelle que soit leur localisation, et en particulier lorsqu'elle utilise le cloud (sauvegarde, propriété des données, contractualisation, type de cloud, criticité des données, réversibilité, audit, localisation des données, etc.). </t>
  </si>
  <si>
    <t>546</t>
  </si>
  <si>
    <t>547</t>
  </si>
  <si>
    <t>Intelligence artificielle</t>
  </si>
  <si>
    <t>L'organisation maîtrise l'exploitation de ses données par l'IA pour atteindre ses objectifs stratégiques.</t>
  </si>
  <si>
    <t>L'organisation a défini une politique concernant l’utilisation de l’IA (générative et agentique). Cette politique établit les principes d’usage des outils, des données et des contextes. Elle intègre des dimensions d’éthique et de conformité.</t>
  </si>
  <si>
    <t>552</t>
  </si>
  <si>
    <t>Cette politique est partagée avec les métiers et utilisée pour la sensibilisation des utilisateurs à l’usage de l’IA.</t>
  </si>
  <si>
    <t>553</t>
  </si>
  <si>
    <t>La politique est régulièrement mise à jour, en s’appuyant sur la veille règlementaire et technologique de l'organisation. </t>
  </si>
  <si>
    <t>554</t>
  </si>
  <si>
    <t>Des critères spécifiques à l’IA sont intégrés dans les processus de décision relatifs aux investissements.</t>
  </si>
  <si>
    <t>555</t>
  </si>
  <si>
    <t>Des actions de promotion de l’IA sont menées auprès des collaborateurs, avec des retours d’expérience (REX) et des sessions de partage pour promouvoir les bons usages.</t>
  </si>
  <si>
    <t>556</t>
  </si>
  <si>
    <t>Les compétences en IA sont valorisées et gérées au sein de l'organisation à travers des plans de formation spécifiques.</t>
  </si>
  <si>
    <t>557</t>
  </si>
  <si>
    <t>Une feuille de route pour le passage à l'échelle de l'IA a été élaborée et déployée.</t>
  </si>
  <si>
    <t>Mettre l'architecture du SI au service des enjeux stratégiques.</t>
  </si>
  <si>
    <t>Cartographie</t>
  </si>
  <si>
    <t>Une cartographie recence les application, les données et les flux de données entre applications, les services techniques, les infrastructures, etc. Mettre en relation cette cartographie SI avec les processus métiers de l'organisation et évolue à l’occasion des projets.</t>
  </si>
  <si>
    <t>Lien avec le vecteur Données &amp; IA.</t>
  </si>
  <si>
    <t xml:space="preserve">La DSI établit et maintient des cartographies applicatives (catalogue d’applications et services), techniques (infrastructures et composants techniques) et de données, couvrant l’ensemble du SI. Elles sont maintenues à jour lors de toute évolution du SI. </t>
  </si>
  <si>
    <t>• Les cartographies n’ont d’intérêt que si elles sont utilisées de façon opérationnelle. Pour ce faire, il est indispensable qu’elles soient exactes (et donc entretenues), qu’elles contiennent des informations pertinentes (en particulier les liens composants/composés et entre les différents composants), et que leur formalisme soit accessible au plus grand nombre, tout comme les outils utilisés pour les gérer. 
• Des moyens permettant de juger de la qualité de la cartographie doivent être mis en place en parallèle de l’établissement des cartographies. 
• Des indicateurs de « vivacité » sont en place pour mesurer l’utilisation effective de la cartographie ainsi que la pertinence et l’exactitude des données. 
• L’utilisation des cartographies pour l’analyse d’impact d’une évolution du SI (projet applicatif ou d’infrastructure), doit en particulier être systématique.</t>
  </si>
  <si>
    <t>Permettre la réalisation des enjeux stratégiques en matière de performance, de croissance, d’adaptabilité, d'autonomie, de résilience et d'interopérabilité avec l'écosystème.</t>
  </si>
  <si>
    <t>Mauvaise identification ou planification des moyens, entraînant un défaut d’alignement avec la cible stratégique.</t>
  </si>
  <si>
    <t>612</t>
  </si>
  <si>
    <t>Les cartographies mettent en évidence les liens entre les différents composants recensés : rattachement des données aux applications, flux entre applications, rattachement des applications aux composants techniques utilisés, liens entre composants techniques. </t>
  </si>
  <si>
    <t>• La description des flux doit préciser le protocole ou la solution technique, les principales données échangées et le sens des échanges.
• La description des liens entre les différents composants recensés doit être régulièrement actualisée pour garder son intérêt. Pour ce faire, on évitera les visions statiques telles que les diapositives difficiles à maintenir et on privilégiera les outils qui gèrent les différentes vues d'architecture de manière dynamique. Par exemple, un modèle dynamique avec centralisation des informations de description des applications et de leurs dépendances dans une même base de données de composants de multiples natures (conçue à partir d'un méta modèle) permettra d’avoir une vision adaptée selon les métiers de la DSI (conception, exploitation, support, etc.).
• Les cartographies applicatives et techniques font le lien avec le référentiel de données. 
• Les cartographies décrivent impérativement les fins de maintenance et de support des composants d'architecture matérielle et logicielle.</t>
  </si>
  <si>
    <t>Définir la trajectoire et les principales étapes pour atteindre la cible SI du plan stratégique. </t>
  </si>
  <si>
    <t>Non-exploitation des innovations, des offres de produits et services, et des opportunités technologiques.</t>
  </si>
  <si>
    <t>613</t>
  </si>
  <si>
    <r>
      <rPr>
        <sz val="11"/>
        <color indexed="49"/>
        <rFont val="Calibri"/>
      </rPr>
      <t>Architecture</t>
    </r>
  </si>
  <si>
    <t xml:space="preserve">Les cartographies sont mises en cohérence avec les processus et les capacités métiers au travers d’outils qui permettent de faire facilement le lien entre les utilisateurs, les processus et les composants du SI, et de classifier ces derniers selon leur criticité pour les métiers. </t>
  </si>
  <si>
    <t xml:space="preserve">• Certains outils permettent de cartographier des processus et des capacités métiers en y rattachant les composants du SI.
• La description des processus et des capacités métiers doit être aussi indépendante que possible de l'organisation (description des « rôles » plutôt que des « utilisateurs »).
• La description des processus métiers intègre la cartographie des données et des traitements. </t>
  </si>
  <si>
    <t>Fournir un cadre d’architecture au portefeuille de projets pour s'assurer qu'ils contribuent à l'atteinte de la cible SI.</t>
  </si>
  <si>
    <t>Surcoûts et limitation de la capacité d’évolution du SI, liés à un manque de rationalisation, à un défaut d’interopérabilité ou à une complexité croissante.</t>
  </si>
  <si>
    <t>614</t>
  </si>
  <si>
    <t>Un processus d'élaboration, de maintenance et de communication des cartographies, impliquant l'ensemble des parties prenantes, est formalisé et mis en place. Les rôles et responsabilités sont définis et connus. Un suivi des activités est effectué.</t>
  </si>
  <si>
    <t>• En principe, la responsabilité de la gestion des cartographies est dévolue à l’équipe chargée de l’architecture du SI, qui s’assure, au travers de leur mise à jour, de l’alignement du SI avec le référentiel d’architecture.</t>
  </si>
  <si>
    <t>Réduire les coûts du SI et accroître son adaptabilité en le rationalisant, en le simplifiant, en favorisant la réutilisation de fonctionnalités et en tirant parti des opportunités de services externalisés.</t>
  </si>
  <si>
    <t>Exposition accrue aux incidents de sécurité et aux non-conformités réglementaires (CNIL, RGPD, traçabilité, etc.).</t>
  </si>
  <si>
    <t>615</t>
  </si>
  <si>
    <t>Optimiser l'empreinte environnementale du SI en appliquant des principes d'éco-conception.</t>
  </si>
  <si>
    <t>Perte de connaissance et de maîtrise du patrimoine applicatif et technique.</t>
  </si>
  <si>
    <t>616</t>
  </si>
  <si>
    <t>Maîtriser le patrimoine applicatif et technique sur le temps long en prenant en compte sa complexité, l'alignement avec les standards, la réduction de la dette technique, la gestion de l'obsolescence et l'autonomie stratégique.</t>
  </si>
  <si>
    <t>Frein à l’adaptabilité et à la croissance de l’organisation.</t>
  </si>
  <si>
    <t>617</t>
  </si>
  <si>
    <t>Feuille de route SI</t>
  </si>
  <si>
    <t xml:space="preserve">Le volet numérique du plan stratégique de l’organisation se décline dans une feuille de route (ou schéma directeur SI), co-construite avec les métiers, qui s’appuie sur la cartographie, le schéma d’urbanisation s'il existe, ou à défaut, sur le patrimoine applicatif et sur l’organisation des données. </t>
  </si>
  <si>
    <t>Lien avec le vecteur Stratégies.</t>
  </si>
  <si>
    <t>La feuille de route SI décrit la cible du SI et les grandes étapes pour atteindre les objectifs du volet numérique du plan stratégique de l’organisation. Elle est connue des responsables SI et des métiers. </t>
  </si>
  <si>
    <t>• La feuille de route SI décrit de façon synthétique (en général sous la forme d’un « fond de carte ») le positionnement cible des principaux composants du SI et les trajectoires, selon une structure et un niveau de granularité cohérents.</t>
  </si>
  <si>
    <t>622</t>
  </si>
  <si>
    <t>Les cartographies décrivent le positionnement actuel et cible des composants des cartographies ainsi que leurs trajectoires.</t>
  </si>
  <si>
    <t>• Il est notamment précisé les évolutions à produire sur les composants nouveaux, adaptés, remplacés ou simplement décommissionnés.</t>
  </si>
  <si>
    <t>623</t>
  </si>
  <si>
    <t>La feuille de route SI détaille les projets d’alignement du SI avec le plan stratégique de l’organisation en précisant les feuilles de route des composants présentant un écart par rapport à la cible.</t>
  </si>
  <si>
    <t>• L’impact des écarts sur l’atteinte des objectifs stratégiques est évalué afin de justifier les investissements nécessaires pour atteindre la cible SI.</t>
  </si>
  <si>
    <t>624</t>
  </si>
  <si>
    <t>La feuille de route SI est mise à jour au moins une fois par an pour tenir compte des évolutions technologiques, stratégiques et réglementaires.</t>
  </si>
  <si>
    <t>• La feuille de route SI est présentée et validée par la direction générale.</t>
  </si>
  <si>
    <t>625</t>
  </si>
  <si>
    <t>626</t>
  </si>
  <si>
    <t>627</t>
  </si>
  <si>
    <t>Modularité et ouverture de l'architecture</t>
  </si>
  <si>
    <t>La feuille de route du SI décline une architecture modulaire permettant la coexistence de systèmes d’information aux exigences hétérogènes et l’intégration de solutions diversifiées.</t>
  </si>
  <si>
    <t>La cartographie délimite les périmètres et les interactions entre les différents composants du SI (internes et externes). </t>
  </si>
  <si>
    <t>632</t>
  </si>
  <si>
    <t>Les standards d'intégration et d'observabilité des composants externes sont définis et documentés. </t>
  </si>
  <si>
    <t>• L’utilisation d’une plateforme d'intégration observée est une bonne pratique qui permet de maîtriser tous les types de flux échangés entre le SI interne et les solutions cloud, aussi bien du point de vue de la performance et de la qualité de service (découplage de charge notamment) que de la sécurité (authentification renforcée, chiffrement des flux), et de la maintenabilité (point de passage unique normalisé facilitant la réversibilité). </t>
  </si>
  <si>
    <t>633</t>
  </si>
  <si>
    <t>Les principes de remédiation et d'auditabilité des composants externes et les règles d’architecture associées sont définis et permettent de limiter la dépendance de l'organisation.</t>
  </si>
  <si>
    <t>• Des moyens sont mis en place pour détecter et éviter les offres cloud structurellement captives (par exemple : les offres propriétaires en mode SaaS gérant des référentiels de l’organisation). 
• La remédiation consiste à anticiper des solutions alternatives.</t>
  </si>
  <si>
    <t>634</t>
  </si>
  <si>
    <t>Les dépendances techniques et d’exploitation (y compris la maintenance) et celles liées à la chaîne de support sont identifiées, documentées et prises en compte sur les plans technique et contractuel.</t>
  </si>
  <si>
    <t>635</t>
  </si>
  <si>
    <t>La modularité passe par l'exposition et l'intégration de services élémentaires documentés et maintenus. Cette démarche concerne également la modernisation d'applications (legacy).</t>
  </si>
  <si>
    <t>• La tendance est à l'évolution vers des applications de type micro-services qui peuvent être fournies par l'organisation et par l'extérieur.</t>
  </si>
  <si>
    <t>636</t>
  </si>
  <si>
    <t>637</t>
  </si>
  <si>
    <t>Communication vers le métier</t>
  </si>
  <si>
    <t>Les enjeux d’architecture sont explicités et partagés au moyen d’un vocabulaire accessible et de schémas explicatifs. Les métiers sont impliqués et responsabilisés dans leurs choix d’investissements, sur la base d’une identification claire des impacts sur leurs processus.</t>
  </si>
  <si>
    <t>Les principes et règles d’architecture explicitent les impacts métiers sous-jacents : bénéfices et risques associés (sécurité, adaptabilité, performance, robustesse, impact sur l’efficacité opérationnelle, coût d’usage du SI, time-to-market, impact environnemental, etc.).</t>
  </si>
  <si>
    <t>• Les principes et les règles, outre l’alignement métier, doivent couvrir la sécurité dès la conception (cybersécurité, protection des données, sécurité de l’information, etc.) pour garantir la robustesse du SI.</t>
  </si>
  <si>
    <t>642</t>
  </si>
  <si>
    <t>L’analyse de conformité avec le référentiel d’architecture, des solutions informatiques existantes et des projets, est partagée avec les métiers et  les impacts des écarts sont explicités.</t>
  </si>
  <si>
    <t>643</t>
  </si>
  <si>
    <t>Les orientations d’architecture SI sont intégrées dans le volet numérique du plan stratégique communiqué aux métiers.</t>
  </si>
  <si>
    <t>• Les orientations d’architecture doivent être mises en regard des enjeux stratégiques métiers.</t>
  </si>
  <si>
    <t>644</t>
  </si>
  <si>
    <t>Les métiers sont sensibilisés aux enjeux de l’architecture : explication des contraintes, des risques et facteurs clés de succès dans la mise en œuvre des différentes technologies, et impacts (à court et long terme) de la non-application des principes et des règles.</t>
  </si>
  <si>
    <t xml:space="preserve">• La communication sur les enjeux d'architecture est faite avec pédagogie, au travers de cas d'usages concrets liés aux enjeux métier et porteurs d'innovation.
• Les retours d'expérience des projets sont partagés avec les métiers en mettant en exergue les risques, les atouts et les limites des technologies utilisées ou des principes d'architecture appliqués.
• Ceci est possible par exemple à travers des communautés animées régulièrement. </t>
  </si>
  <si>
    <t>645</t>
  </si>
  <si>
    <t>646</t>
  </si>
  <si>
    <t>647</t>
  </si>
  <si>
    <t>Règles et Principes</t>
  </si>
  <si>
    <t xml:space="preserve">Les règles et principes d’architecture sont édictés avec des modalités d’application adaptées aux enjeux et aux risques. Elles constituent un référentiel sur lequel s’appuient les équipes de projets, les responsables applicatifs et les métiers. </t>
  </si>
  <si>
    <t>La DSI a documenté et actualisé un référentiel de politiques, principes, normes, standards techniques, procédures et règles de mise en œuvre et d’utilisation, associés à des services, tirant parti des innovations technologiques et tenant compte des contraintes du patrimoine SI existant.</t>
  </si>
  <si>
    <t>• Le référentiel est mis à jour (notamment lorsqu’il est incomplet ou pas applicable) au travers des projets et à partir de la veille technologique (définition du cadre d’application d’une nouvelle technologie, mise à jour liée à l’obsolescence d’une technologie).</t>
  </si>
  <si>
    <t>652</t>
  </si>
  <si>
    <r>
      <rPr>
        <sz val="11"/>
        <color indexed="8"/>
        <rFont val="Calibri"/>
      </rPr>
      <t xml:space="preserve">Des règles d’architecture permettent de favoriser le </t>
    </r>
    <r>
      <rPr>
        <i val="1"/>
        <sz val="11"/>
        <color indexed="8"/>
        <rFont val="Calibri"/>
      </rPr>
      <t xml:space="preserve">time-to-market </t>
    </r>
    <r>
      <rPr>
        <sz val="11"/>
        <color indexed="8"/>
        <rFont val="Calibri"/>
      </rPr>
      <t>et l’innovation tout en limitant les risques de perte de maîtrise du SI (sécurité, résilience, maintenabilité, conformité, etc.).</t>
    </r>
  </si>
  <si>
    <t>• Les règles d'architecture ne doivent pas être ignorées et conduire à du Shadow IT au prétexte de l'agilité. Un socle minimal de règles d'architecture est défini pour ce type de contexte.</t>
  </si>
  <si>
    <t>653</t>
  </si>
  <si>
    <t>Les services préalablement développés qui ont été identifiés comme étant réutilisables sont dûment répertoriés afin que les nouveaux projets puissent facilement les intégrer dans leurs développements.</t>
  </si>
  <si>
    <t>• Une bonne pratique consiste à créer et maintenir un dictionnaire des services réutilisables et à mettre en place une gouvernance des services permettant de déterminer dès leur conception les exigences de leur réutilisabilité.</t>
  </si>
  <si>
    <t>654</t>
  </si>
  <si>
    <t>Ce référentiel est connu, accepté et appliqué par l'ensemble des parties prenantes (les différentes composantes de la DSI et les métiers impliqués dans les projets).</t>
  </si>
  <si>
    <t>• Le référentiel doit être maintenu à jour et accessible facilement (Intranet + moteur de recherche) par toutes les parties prenantes des projets.</t>
  </si>
  <si>
    <t>655</t>
  </si>
  <si>
    <t>Ce référentiel est régulièrement mis à jour, et ses évolutions communiquées à l’ensemble des parties prenantes, y compris les impacts des évolutions sur le patrimoine SI.</t>
  </si>
  <si>
    <t>• Les évolutions du référentiel peuvent entraîner des impacts sur le SI existant. L’utilisation des cartographies (cf. bonne pratique 1) doit permettre de mesurer ces impacts et de cibler l’effort d’adaptation ou de migration du parc applicatif sur le futur standard.</t>
  </si>
  <si>
    <t>656</t>
  </si>
  <si>
    <t>L’application et l’évolution du référentiel d’architecture sont supervisées et contrôlées par la DSI ou par l'autorité architecturale. La conformité au référentiel d’architecture est un indicateur du tableau de bord du SI.</t>
  </si>
  <si>
    <t xml:space="preserve">• Un processus régit l’évolution du référentiel et son application : description du cycle de vie, fonctionnement des instances de décision, livrables et procédures de contrôle qualité associés.
Idéalement, le processus de mise à jour du référentiel doit être défini et intégré à la gouvernance de l’architecture et des projets pour faciliter sa mise en œuvre. </t>
  </si>
  <si>
    <t>657</t>
  </si>
  <si>
    <t>Gouvernance et architecture</t>
  </si>
  <si>
    <t>Une organisation est mise en place pour assurer l’application du cadre de référence et piloter son évolution afin de répondre aux besoins de l'organisation et de prendre en compte les évolutions technologiques et méthodologiques (nouvelles pratiques).</t>
  </si>
  <si>
    <t>Lien vers le vecteur Portefeuille de projets.</t>
  </si>
  <si>
    <t>La gouvernance du SI permet de contrôler l’application des règles et principes d'architecture à toutes les étapes du cycle de vie des solutions numériques. Elle s'appuie sur un ou plusieurs comités d'architecture (ou Design Authority) qui veillent à la bonne application des règles et principes d'architecture dans les évolutions du SI.</t>
  </si>
  <si>
    <t>• Ce contrôle s’effectue dès la définition de la solution (alignement avec le schéma d’urbanisme du SI), aux différentes étapes des projets de mise en place initiale (respect du cadre de référence), pendant la maintenance (gestion de l’obsolescence), et jusqu’au décommissionnement des solutions.
• Le suivi, aux différentes étapes du cycle de vie, permet également de valider ou d’infirmer le référentiel par l’expérience, et de le faire évoluer si nécessaire.</t>
  </si>
  <si>
    <t>662</t>
  </si>
  <si>
    <t>Une organisation et une gouvernance ont été mises en place pour instruire et approuver les évolutions du référentiel d’architecture, en prenant notamment en compte les retours d’expérience et les nouveaux besoins de l'organisation ainsi que les évolutions technologiques et méthodologiques.</t>
  </si>
  <si>
    <t xml:space="preserve">• Les dispositifs de gouvernance et les moyens mobilisés varient selon la taille, la maturité et le mode de fonctionnement de chaque organisation.
• Il est indispensable de s’assurer que l’évolution du référentiel et son application correspondent à un optimum global transversal qui intègre de multiples facteurs : coût d’application du standard, support des fournisseurs sur les technologies utilisées (au moins pour les applications critiques), capacité à déployer et utiliser les prérequis techniques nécessaires aux projets, intérêt des avancées technologiques apportées par le nouveau standard…
• Les nouvelles pratiques (de type DevOps par exemple) doivent être prises en compte.  </t>
  </si>
  <si>
    <t>663</t>
  </si>
  <si>
    <t>Des critères compréhensibles et acceptés par toutes les parties prenantes (métiers et IT) sont définis pour adapter le niveau d’accompagnement et de contrôle de chaque projet par l’architecture. </t>
  </si>
  <si>
    <t>• Les principes d’architecture doivent être formalisés à partir des objectifs métiers des projets. Ils sont suivis, au même titre que les objectifs métiers, pendant toute la durée du projet.</t>
  </si>
  <si>
    <t>664</t>
  </si>
  <si>
    <t>Le processus de pilotage du portefeuille de projets contrôle l’application continue du cadre de référence de l’architecture. </t>
  </si>
  <si>
    <t>• Un indicateur d’alignement des projets avec le cadre de référence est défini et suivi au niveau du portefeuille de projets. Des objectifs associés sont définis et suivis (niveau minimum d’alignement des projets, niveau global d’alignement du SI à atteindre…).</t>
  </si>
  <si>
    <t>665</t>
  </si>
  <si>
    <t>Une base de données de gestion de configuration (CMDB) permet l'identification de l’obsolescence des composants SI. </t>
  </si>
  <si>
    <t>666</t>
  </si>
  <si>
    <t>Un processus de gestion de l’obsolescence du SI permet de s'assurer que tous les composants du SI respectent les règles de gestion associées définies par l'architecture. Il définit également les plans de remédiation à mettre en œuvre en cas d'écart.</t>
  </si>
  <si>
    <t xml:space="preserve">• La gestion de l’obsolescence est un enjeu important pour la pérennité et la maîtrise des coûts du SI, mais difficile à « vendre » aux métiers. 
• La mise en place d’un processus, d’une gouvernance et de moyens dédiés au sein de la DSI est souvent nécessaire pour garantir l’application du cadre de référence relatif à l’obsolescence. </t>
  </si>
  <si>
    <t>667</t>
  </si>
  <si>
    <t>Le tableau de bord de pilotage du SI intègre des indicateurs relatifs à l’architecture du SI (mesure de l’alignement avec le cadre de référence et du niveau d’obsolescence notamment). Ces indicateurs sont revus par le management de la DSI et des plans d’action sont définis pour corriger les écarts.</t>
  </si>
  <si>
    <t>• Des objectifs d’alignement du SI avec le cadre de référence de l’architecture sont définis et suivis.</t>
  </si>
  <si>
    <t>Prioriser et piloter les projets numériques en cohérence avec les objectifs stratégiques de l'organisation en optimisant l'allocation des ressources</t>
  </si>
  <si>
    <t>Référentiel de projets</t>
  </si>
  <si>
    <t>Tous les projets sont répertoriés dans un référentiel unique pouvant être structuré en programmes afin de faciliter leur gestion  globale.</t>
  </si>
  <si>
    <t>Lien avec le vecteur Projets</t>
  </si>
  <si>
    <t>Il existe un référentiel unique concernant l’ensemble des projets.</t>
  </si>
  <si>
    <t>• Afin de pouvoir les comparer, les projets sont présentés  au sein de l’entreprise dans un cadre normalisé.
• Tous les projets sont centralisés dans ce référentiel, depuis les idées initiales jusqu’aux projets lancés et en cours de réalisation.</t>
  </si>
  <si>
    <t>Assurer l'alignement du contenu du portefeuille sur la stratégie de l'entreprise.</t>
  </si>
  <si>
    <t>Lancement en retard ou dans de mauvaises conditions d’un projet incontournable pour l'organisation (stratégique ou réglementaire).</t>
  </si>
  <si>
    <t>712</t>
  </si>
  <si>
    <t>Afin de faciliter les prises de décision, le référentiel est structuré pour classifier les projets selon leur typologie.</t>
  </si>
  <si>
    <t>• La segmentation du portefeuille de projets peut s’appuyer sur la typologie suivante :
- Programmes : lorsque cela est pertinent, les projets sont affectés à des programmes ;
- Projet de type réglementaire et de mise en conformité ;
- Projet d’innovation (en général technologique) ;
- Projet de soutien au développement de l’activité ;
- Projet visant à l’amélioration des performances (qualité, réduction des délais, standardisation des processus) ;
- Projet de réduction de coût ;
- Projet d’optimisation des systèmes ou d’infrastructure (gestion de l'obsolescence IT) ;
- Projet de maintien en condition opérationnelle ;
- Projet de décommissionnement ;
- Etc.
Un autre axe de segmentation classe les projets en fonction de leur stade d’avancement :
- Déclaration d’intention approuvée ;
- Cadrage fonctionnel métier validé ;
- Avant-projet validé ;
- Business case validé ;
- Projets lancés ;
• Pour vérifier l’alignement des projets avec la stratégie de l’organisation, il est impératif d’indiquer, pour chaque projet, à quel volet du plan stratégique il se rapporte ;
• Les dépendances entre projets doivent être identifiées et décrites ;
• Le type de méthodologie de projet retenu peut également être décrit (Cycle V, Agile, etc.).</t>
  </si>
  <si>
    <t>Veiller au réalisme du portefeuille notamment par l’Analyse de Capacité des Moyens (ACM).</t>
  </si>
  <si>
    <t>Gaspillage des ressources de l’organisation sur des projets peu contributifs, ou mal cadrés, voire concurrents.</t>
  </si>
  <si>
    <t>713</t>
  </si>
  <si>
    <r>
      <rPr>
        <sz val="11"/>
        <color indexed="49"/>
        <rFont val="Calibri"/>
      </rPr>
      <t>Portefeuille de projets</t>
    </r>
  </si>
  <si>
    <t>Le référentiel est mis à jour à chacune des étapes suivantes : déclaration d’intention ou d’opportunité, cadrage fonctionnel métier, avant-projet, prototypage (si besoin), business case, scoring, décision de lancement.</t>
  </si>
  <si>
    <t>Garantir la conformité de l'arbitrage aux critères validés par l'organisation.</t>
  </si>
  <si>
    <t>Accroissement du coût du SI par manque de maîtrise des projets.</t>
  </si>
  <si>
    <t>714</t>
  </si>
  <si>
    <t>Les responsabilités de gestion du portefeuille de projet sont clairement affectées dans l'organisation.</t>
  </si>
  <si>
    <t xml:space="preserve">• Les personnes en charge du pilotage du portefeuille de projet disposent de ressources suffisantes (temps, budget, outil, accès à l'information) pour en permettre la bonne gestion.
• La gestion formelle du portefeuille est généralement assurée par un « Project Management Office » (PMO), qui prépare les décisions des dirigeants.
• Les projets sont évalués à la fois en fonction de leur contribution à la création de valeur et des risques ou difficultés de mise en œuvre inhérents.
• Cette évaluation peut être introduite dans la structuration du référentiel pour classer les projets depuis « valeur forte/risques faibles » jusqu’à « valeur faible/risques forts ». </t>
  </si>
  <si>
    <t>Maîtriser l'exécution pour sécuriser la valeur escomptée du portefeuille.</t>
  </si>
  <si>
    <t>715</t>
  </si>
  <si>
    <t>716</t>
  </si>
  <si>
    <t>717</t>
  </si>
  <si>
    <t>Business Case</t>
  </si>
  <si>
    <t>Les métiers élaborent un business case avec l’aide de la DSI, pour chaque projet ayant un volet numérique significatif.</t>
  </si>
  <si>
    <t>Lien avec les vecteurs Architecture &amp; Projets</t>
  </si>
  <si>
    <t xml:space="preserve">Le business case présente les bénéfices quantitatifs et qualitatifs attendus par l'organisation en termes d’amélioration des processus et de création de valeur. </t>
  </si>
  <si>
    <t>• Le business case est le livrable d’un processus de validation progressive des projets, depuis leur idée initiale jusqu’à la décision de lancement.
• Ces business cases explicitent les bénéfices métiers attendus et les conditions nécessaires à leur obtention :
- Quoi ? (Objectifs du projet)
- Pourquoi ? (Opportunités et bénéfices attendus)
- Qui ? (Moyens humains et compétences nécessaires)
- Combien ? (Coûts et ROI)
- Quand ? (Objectif de développement, rapidité d’exécution, perspective court/long terme).
• Les bénéfices du projet sont définis avec des critères qualitatifs et quantitatifs.
• Les impacts pour les métiers (organisation, processus, niveau de compétences à mettre en place) sont clairement évalués.
• Le business case doit permettre de justifier un projet en mettant en avant ses avantages, ses coûts, et ses impacts potentiels sur l'organisation.
• Le business case doit aider les décideurs à évaluer si le projet est réalisable et rentable.</t>
  </si>
  <si>
    <t>722</t>
  </si>
  <si>
    <t>Le business case évalue la rentabilité des projets en prenant en compte les gains espérés et les coûts prévisionnels globaux.</t>
  </si>
  <si>
    <t>• A minima, une estimation du rapport bénéfices/coûts doit être réalisée en fonction de la maturité de l'organisation :
- Lorsque le volet numérique est important, les coûts (projet et récurrents) sont estimés, si nécessaire, sur la base de prototypes. 
- L’élaboration d’un plan de charge permet d’affiner la vision temporelle du business case.
- Les coûts récurrents doivent être estimés sur une période de 3 à 5 ans (voire en fonction de la durée de vie estimée de l’application).</t>
  </si>
  <si>
    <t>723</t>
  </si>
  <si>
    <t>Le business case inclut une analyse des risques (non-atteinte des bénéfices escomptés, dérapage des coûts et des délais, risques à ne pas faire, etc.).</t>
  </si>
  <si>
    <t>• A minima, une analyse des risques doit être réalisée en fonction de la maturité de l'organisation, il faudra  :
- Identifier les conditions de réussite du projet (notamment privilégier des prototypes lorsque les enjeux le justifient).
- Identifier les interdépendances entre projets et en mesurer l‘impact sur les business cases,  car elles constituent un facteur de risque souvent sous-estimé. 
- Envisager des solutions alternatives (ex : refonte du processus métier), ou un fonctionnement en solution dégradée.</t>
  </si>
  <si>
    <t>724</t>
  </si>
  <si>
    <t>Le leadership de l’élaboration des business cases est assuré par les métiers en collaboration avec la DSI.</t>
  </si>
  <si>
    <t>• Pour les projets purement techniques et d’infrastructure, le business case peut être établi par la DSI et validé par l’entité ayant autorité. Pour tous les autres, les métiers sont les pilotes de l'élaboration des business cases.
• Pour les projets présentant des enjeux stratégiques ou organisationnels significatifs, un business case doit également être élaboré, même lorsque les coûts engagés sont limités.</t>
  </si>
  <si>
    <t>725</t>
  </si>
  <si>
    <t>Les métiers, à l'origine des projets, y compris la DSI, sont responsables à la fois de l’atteinte des bénéfices attendus et de la gestion optimale des risques.</t>
  </si>
  <si>
    <t>• Les business cases comportent l’identification des responsables métiers (y compris des sponsors) qui auront en charge la concrétisation des bénéfices métiers. Pour cela, ils sont associés au déroulement du projet pendant toute sa durée de vie.
• Les responsables métiers concernés prennent, avec le chef de projet métier, toutes dispositions (en termes de personnel, information, formation, organisation, etc.) nécessaires à la concrétisation des bénéfices attendus en matière de création de valeur, et/ou d'alignement stratégique, puis de gestion des risques.</t>
  </si>
  <si>
    <t>726</t>
  </si>
  <si>
    <t>La DSI vérifie la cohérence du business case avec la feuille de route du numérique.</t>
  </si>
  <si>
    <t>• Cette vérification de cohérence est indispensable pour :
- Maîtriser les évolutions du SI (« Shadow IT généralisé », utilisation anarchique des offres cloud et SaaS…)
- Garantir la sécurité du SI (incidents de sécurité, cyberattaques, etc.) et sa conformité (CNIL, RGPD, traçabilité, etc.)
- Rationaliser les évolutions du SI et maîtriser les technologies nécessaires pour ces évolutions
- Maîtriser la dette technique (obsolescence matérielle et logicielle).</t>
  </si>
  <si>
    <t>727</t>
  </si>
  <si>
    <t>Le portefeuille de projets intègre les projets d’industrialisation des initiatives d’innovation (PoC, MVP, Labs et autres travaux de R&amp;D).</t>
  </si>
  <si>
    <t>Lien avec le vecteur Innovation</t>
  </si>
  <si>
    <t>La DSI recense les initiatives qui ont vocation à être industrialisées auprès des acteurs de l’innovation.</t>
  </si>
  <si>
    <t>• Ces acteurs de l’innovation peuvent être dans la DSI (cellule et communauté d’innovation), dans les directions métiers, dans la direction innovation, etc.
• La DSI travaille avec les porteurs de ces initiatives, parfois appelés « champions numériques ».
• La DSI doit être impliquée en amont de la décision d’industrialisation pour en assurer la faisabilité (choix d’architecture, sécurité, etc.).</t>
  </si>
  <si>
    <t>732</t>
  </si>
  <si>
    <t>La gouvernance du portefeuille est adaptée pour gérer ces initiatives d’innovation en fonction de leurs spécificités (notamment les enjeux de time-to-market).</t>
  </si>
  <si>
    <t>• Ces initiatives sont passées en revue régulièrement pour décider de les poursuivre, de les réorienter ou de les arrêter.
• La méthode d’analyse s’inspire des méthodes de développement du numérique.
• Le processus de décision est rapide.
• Lorsqu’un projet est jugé porteur, des moyens de développement rapide lui sont alloués et il rejoint le portefeuille de projets numériques de l'entreprise.</t>
  </si>
  <si>
    <t>733</t>
  </si>
  <si>
    <t>734</t>
  </si>
  <si>
    <t>735</t>
  </si>
  <si>
    <t>736</t>
  </si>
  <si>
    <t>737</t>
  </si>
  <si>
    <t>Un processus de gestion des priorités de lancement (inter-projets) basé sur les business cases est mis en place et implique les directions métiers au niveau du Comité de direction pour les projets clés.</t>
  </si>
  <si>
    <t>Pour prioriser leur lancement, les projets du portefeuille sont évalués en fonction des bénéfices escomptés pour l’entreprise, des risques inhérents, et du cadre budgétaire de l’organisation.</t>
  </si>
  <si>
    <t>• Un canevas de décision et d’arbitrage est défini, partagé et préétabli.
• L’évaluation des bénéfices et des risques se fait sur la base du business case.
• Les dépendances avec des projets existants ou sur le point d’être lancés sont identifiées et leurs impacts analysés.</t>
  </si>
  <si>
    <t>742</t>
  </si>
  <si>
    <t>Un processus de gestion des priorités de lancement (inter-projets) basé sur les business case est mis en place et implique les directions métiers au niveau du Comité de direction pour les projets clés.</t>
  </si>
  <si>
    <t>La gouvernance numérique de l'organisation prévoit les modalités et les instances de lancement de projet.</t>
  </si>
  <si>
    <t>743</t>
  </si>
  <si>
    <t>Les décisions de lancement des projets sont prises lors de sessions ad-hoc réunissant l’instance décisionnaire (par exemple, le comité exécutif) ainsi que les représentants des métiers, de la DSI, des finances, et des RH.</t>
  </si>
  <si>
    <t>• L’autorisation de lancement des projets tient compte des contraintes opérationnelles : ressources humaines disponibles, capacité à faire, ressources financières.
• Les résultats des évaluations, et leurs conséquences en termes de hiérarchisation, sont formalisés et communiqués aux équipes concernées.
• Un processus d’escalade vers la direction générale est mis en place pour un arbitrage final si nécessaire.</t>
  </si>
  <si>
    <t>744</t>
  </si>
  <si>
    <t>Les décisions de lancement des projets s’adaptent en fonction des enjeux stratégiques de l’entreprise et de son environnement concurrentiel (time-to-market).</t>
  </si>
  <si>
    <t>• Dans ce cas, une approche de projet « time-driven project » ou agile peut être mise en œuvre.</t>
  </si>
  <si>
    <t>745</t>
  </si>
  <si>
    <t>Les décisions de lancement de projet sont alimentées par les bilans de projets passés et l'expérience ainsi capitalisée.</t>
  </si>
  <si>
    <t>• Les bilans projets réalisés remontent auprès de la direction générale et de l'instance de pilotage des projets.
• Les résultats de ces bilans sont pris en compte afin d'améliorer en continu la bonne priorisation des projets et la mise à jour des critères de décisions.
• À titre d'exemple, cette analyse doit permettre de mieux appréhender les projets dont le business case est trop optimiste, les projets en dépassement de calendrier et de budget, les projets trop complexes.</t>
  </si>
  <si>
    <t>746</t>
  </si>
  <si>
    <t>747</t>
  </si>
  <si>
    <t>Suivi et recadrage des projets lancés</t>
  </si>
  <si>
    <t>Des projets, impliquant les directions métiers, permet de suivre, recadrer, revoir la priorité ou arrêter les projets en cours, sur la base d’un reporting fiable et exhaustif, le cas échéant en actualisant les business cases.</t>
  </si>
  <si>
    <t>L'instance de pilotage du portefeuille (PMO) organise la collecte et la consolidation des informations des projets pour établir un tableau de bord macroscopique de suivi d'avancement. Ce tableau de bord est examiné régulièrement par les organes de pilotage et la direction générale.</t>
  </si>
  <si>
    <t>• Les chefs de projets mettent à jour l’avancement des projets (qualité, coûts, délais, risques, reste-à-faire, approche méthodologique, etc.) dans un outil dédié au suivi des projets pour permettre l’élaboration d’un tableau de bord de synthèse.
• Ces informations sont validées conjointement avec le métier au travers des comités projet.</t>
  </si>
  <si>
    <t>752</t>
  </si>
  <si>
    <t>Un processus de management de projets, impliquant les directions métiers, permet de suivre, recadrer, revoir la priorité ou arrêter les projets en cours, sur la base d’un reporting fiable et exhaustif, le cas échéant en actualisant les business cases.</t>
  </si>
  <si>
    <t>Sur la base de ce tableau de bord de suivi, les organes de pilotage et la direction générale prennent des décisions d’allocation de ressources, de re-priorisation et, au besoin, d’actualisation des business cases en fonction des objectifs stratégiques de l'organisation et de la priorisation des moyens.</t>
  </si>
  <si>
    <t>• Les organes de pilotage examinent périodiquement (au moins trimestriellement) le tableau de bord et procèdent aux éventuels arbitrages souhaitables entre les différents projets (e.g. repriorisation, réallocation de ressources, dé-priorisation ou arrêt de projets, révision des business cases, etc.), au vu des priorités stratégiques et de la priorisation des ressources.</t>
  </si>
  <si>
    <t>753</t>
  </si>
  <si>
    <t>L'instance en charge du portefeuille suit les risques et dispose de l’autorité nécessaire pour lancer des audits sur les projets à risque.</t>
  </si>
  <si>
    <t>•  Ces audits sont menés par des entités indépendantes (internes ou externes).</t>
  </si>
  <si>
    <t>754</t>
  </si>
  <si>
    <t>L'instance en charge du pilotage du portefeuille dispose d'un outil de gestion de portefeuille de projets incluant les objectifs métier, le budget et le suivi opérationnel des projets.</t>
  </si>
  <si>
    <t>• L’outil de gestion de portefeuille permet la consolidation des éléments utilisés dans la gestion opérationnelle des projets.
• Il intègre les éléments clés de pilotage, tels que l’allocation des ressources, les interdépendances avec les autres projets, les indicateurs unifiés, etc.
• Cet outil est mis à la disposition des directions métiers permettant ainsi  un travail collaboratif. Il est adapté au nombre et à la complexité des projets à gérer.</t>
  </si>
  <si>
    <t>755</t>
  </si>
  <si>
    <t>756</t>
  </si>
  <si>
    <t>757</t>
  </si>
  <si>
    <t>Bilan de projet métiers</t>
  </si>
  <si>
    <t>La direction générale fait effectuer des bilans de projet métiers, une fois le fonctionnement nominal atteint, afin d’en tirer les enseignements nécessaires et d’optimiser les processus de décision et de pilotage.</t>
  </si>
  <si>
    <t>Pour les projets fortement contributifs à la création de valeur ou coûteux, les bénéfices métiers atteints sont analysés pour vérifier qu’ils sont en ligne avec les objectifs et exigences du business case initial.</t>
  </si>
  <si>
    <t>• Les bilans de projet doivent notamment permettre d’identifier les domaines dans lesquels les nouveaux systèmes d’information ont apporté des gains de performance ou d’efficacité fonctionnelle ainsi que ceux où ils ont entraîné des ralentissements ou des régressions.
• La direction de projet est représentée dans les discussions relatives aux bilans de projet.</t>
  </si>
  <si>
    <t>762</t>
  </si>
  <si>
    <t>Bilan de projet métier</t>
  </si>
  <si>
    <t>La direction générale fait effectuer des bilans de projet métier, une fois le fonctionnement nominal atteint, afin d’en tirer les enseignements nécessaires et d’optimiser le processus de décision et de pilotage des projets.</t>
  </si>
  <si>
    <t>Les analyses sont réalisées avec toutes les parties prenantes du métier et de la direction du projet SI (équipe projet, utilisateurs finaux, clients, etc.).</t>
  </si>
  <si>
    <t>• Le recours à une tierce partie (interne ou externe) peut être utile pour apporter une évaluation indépendante du bilan projet.</t>
  </si>
  <si>
    <t>763</t>
  </si>
  <si>
    <t>Les analyses et retours d’expérience concernant le déroulement du projet sont formalisés et partagés.</t>
  </si>
  <si>
    <t xml:space="preserve">• Afin d’exploiter plus facilement les données recueillies lors des bilans de projet, l’utilisation d’un modèle standardisé est recommandée.
• Les bilans de projet métiers viennent alimenter une base de connaissances partagée, mise à disposition de l’ensemble des directions métiers et des acteurs de la DSI.
• Les enseignements tirés des bilans alimentent la définition de plans d’action destinés à améliorer le processus de gestion du portefeuille de projets, ainsi que les pratiques de lancement et de réalisation des projets. </t>
  </si>
  <si>
    <t>764</t>
  </si>
  <si>
    <t>Un processus formalisé, assorti de responsabilités clairement définies, encadre l’établissement et la mise en œuvre des plans d’action issus des bilans de projet, afin de sécuriser la concrétisation des bénéfices attendus.</t>
  </si>
  <si>
    <t>• La mise en œuvre des actions décidées s’applique à l'ensemble des sujets identifiés dans les bilans projets (ressources humaines, information, formation, organisation, etc.), voire au lancement d’un autre projet.</t>
  </si>
  <si>
    <t>765</t>
  </si>
  <si>
    <t>Un bilan annuel de l'ensemble des projets du portefeuille est réalisé, il permet de capitaliser et de mettre en œuvre une amélioration continue.</t>
  </si>
  <si>
    <t>766</t>
  </si>
  <si>
    <t>767</t>
  </si>
  <si>
    <t>Maîtriser la réalisation des projets et des solutions. </t>
  </si>
  <si>
    <t>Objectifs métier du projet</t>
  </si>
  <si>
    <t>Les objectifs métier du projet sont explicites et partagés par toutes les parties prenantes.</t>
  </si>
  <si>
    <t>Les enjeux ou objectifs clés des métiers assignés à l’équipe projet sont clairement identifiés. Ils sont explicités par le management aux différentes parties prenantes lors de la phase de lancement puis périodiquement actualisés.</t>
  </si>
  <si>
    <t>Garantir le bon déroulement du projet par rapport aux objectifs du business case (étude d’opportunité), en termes de coûts, délais, fonctionnalités, bénéfices, et appropriation par les utilisateurs.</t>
  </si>
  <si>
    <t>Dégradation de la performance et des résultats de l'organisation.</t>
  </si>
  <si>
    <t>812</t>
  </si>
  <si>
    <t>L’équipe projet est mobilisée sur les objectifs du métier.</t>
  </si>
  <si>
    <t>Réussir le projet en garantissant l’engagement de l'ensemble des parties prenantes dans le pilotage et la conduite du projet, et en intégrant les besoins en compétences métiers à acquérir ou faire évoluer (conduite du changement).</t>
  </si>
  <si>
    <t>Perte de compétitivité de l'organisation.</t>
  </si>
  <si>
    <t>813</t>
  </si>
  <si>
    <r>
      <rPr>
        <sz val="11"/>
        <color indexed="49"/>
        <rFont val="Calibri"/>
      </rPr>
      <t>Projets</t>
    </r>
  </si>
  <si>
    <t>S'adapter aux évolutions de l'environnement de l'organisation (maîtrise des dépendances et priorisations stratégiques).</t>
  </si>
  <si>
    <t>Désorganisation des fonctions métier conduisant à une dégradation de la qualité de service.</t>
  </si>
  <si>
    <t>814</t>
  </si>
  <si>
    <t>815</t>
  </si>
  <si>
    <t>816</t>
  </si>
  <si>
    <t>817</t>
  </si>
  <si>
    <t>Gouvernance du projet</t>
  </si>
  <si>
    <t>Le mode de gouvernance de projet est clair, partagé et reconnu.</t>
  </si>
  <si>
    <t xml:space="preserve">Lien avec le vecteur Portefeuille de projets. </t>
  </si>
  <si>
    <t>L’entité responsable du projet est unique et légitime.</t>
  </si>
  <si>
    <t>• L‘entité responsable est la direction, le service ou le département utilisateur final de la solution. Il s’agit dans la plupart des cas d’une entité métier (à l’exception des projets techniques). 
• Dans le cas d’un projet transversal, l’entité leader est l’entité la plus concernée ou la plus légitime, voire la plus motrice.</t>
  </si>
  <si>
    <t>822</t>
  </si>
  <si>
    <t>Le sponsor est désigné et connu de tous. Sa disponibilité réelle lui permet de tenir son rôle.</t>
  </si>
  <si>
    <t>• Le sponsor joue un rôle de facilitateur : il arbitre les décisions importantes, veille à l'atteinte des résultats, au respect des objectifs de coût, délai et qualité, garantit l'alignement avec les besoins des métiers et la stratégie, et s’assure d’une communication efficace et transparente.</t>
  </si>
  <si>
    <t>823</t>
  </si>
  <si>
    <t>Une instance de pilotage, présidée par le sponsor et animée par le responsable de l’équipe projet, ainsi  qu’une instance opérationnelle, présidée par le responsable de l’équipe projet, sont constituées et se réunissent régulièrement.</t>
  </si>
  <si>
    <t>• Chacune des deux instances est constituée de participants représentatifs des différentes activités et sujets traités (métiers, DSI, conduite du changement, gestion des risques numériques etc.). Elles se tiennent à une fréquence régulière et adaptée aux sujets traités. Elles permettent de prendre des décisions et d’orienter le projet. Un compte rendu de décisions est systématiquement et rapidement rédigé à l’issue de chaque instance
• L'instance de pilotage projet fournit un reporting à l'instance de pilotage du portefeuille de projets, sous un format standardisé permettant à celle-ci d’exercer son rôle de gestion consolidée du portefeuille.</t>
  </si>
  <si>
    <t>824</t>
  </si>
  <si>
    <t>Le mode de pilotage du projet est complètement défini. Il intègre les comités complémentaires au comité de pilotage et au comité du projet. Ces comités additionnels sont connus (objectifs, fréquence, tableaux de bord et indicateurs, etc.).</t>
  </si>
  <si>
    <t>• Exemples de comités complémentaires : comité métiers, comité d’arbitrage fonctionnel, suivi de lot ou de chantier, comité d’intégration dans le SI, comité de recette des développements réalisés, etc.
• En cas de difficultés rencontrées sur des projets critiques, l’entreprise peut faire appel à des audits indépendants.</t>
  </si>
  <si>
    <t>825</t>
  </si>
  <si>
    <t xml:space="preserve">L'équipe projet/produit réunit les compétences nécessaires tant métiers que conduite de projet. Elle dispose également des expertises techniques ou elle s’appuie sur un référent responsable chargé des choix techniques. Elle bénéficie de moyens d'action et de décision réels et d’un budget dédié. </t>
  </si>
  <si>
    <t xml:space="preserve">• Les acteurs du projet sont choisis en fonction de la méthode de conduite retenue ( « cycle en V » ou « méthode agile »).
• Selon la taille de l’équipe, une seule et même personne peut cumuler plusieurs compétences : techniques, métiers et/ou méthodologiques.  </t>
  </si>
  <si>
    <t>826</t>
  </si>
  <si>
    <t>Les enjeux et les risques, opérationnels, financiers et humains, du projet sont identifiés et connus de tous. La criticité de ces risques est régulièrement évaluée, suivie et communiquée à toutes les parties prenantes, et un plan d'action est mis en œuvre pour les mitiger.</t>
  </si>
  <si>
    <t>• Les coûts du projet sont identifiés et évalués de manière exhaustive en prenant  en compte l’ensemble des dépenses qui lui sont imputables.
• Une cartographie des risques est entretenue, elle est communiquée à échéance régulière afin de pouvoir anticiper, réagir et escalader dans un délai raisonnable.</t>
  </si>
  <si>
    <t>827</t>
  </si>
  <si>
    <t>Méthode de projet</t>
  </si>
  <si>
    <t>L’équipe projet fait le choix d’une méthode de travail cohérente avec les objectifs du projet.</t>
  </si>
  <si>
    <t>La DSI a défini et documenté les méthodes de conduite de projet préconisées.  </t>
  </si>
  <si>
    <t>• La DSI a documenté les différentes méthodes recommandées pour les projets numériques, décrivant pour chacune la matrice des responsabilités (RACI), les jalons, les moyens de contrôle et les livrables obligatoires.</t>
  </si>
  <si>
    <t>832</t>
  </si>
  <si>
    <t>L’équipe projet choisit, en accord avec la DSI, une méthode de conduite de projet adaptée et en assume les impacts sur son mode de fonctionnement.</t>
  </si>
  <si>
    <t>• L’équipe projet organise son fonctionnement (comitologie, livrables, organisation) en accord avec le métier.
• Une méthodologie de type « cycle en V » sera pertinente pour les projets à fort enjeux de conformité nécessitant une validation robuste ainsi qu'une documentation fournie.
• Une méthodologie « agile » sera pertinente pour les projets contraints dans le temps, nécessitant d'arbitrer rapidement sur le périmètre et les fonctionnalités, ainsi que pour la plupart des projets orientés vers la mise en place de services internet.
• Pour être pleinement efficace, la méthode agile doit permettre la livraison, à chaque incrément, d'un produit viable et pouvant être enrichi lors des sprints suivants.</t>
  </si>
  <si>
    <t>833</t>
  </si>
  <si>
    <t>Le choix de la méthode de gestion de projet tient compte des contraintes liées au portefeuille de projets (synchronisation, dépendances).</t>
  </si>
  <si>
    <t>• La méthode projet retenue intègre la synchronisation nécessaire avec les autres projets du portefeuille, les liens de dépendance mutuels, ainsi que les dépendances internes au projet, notamment celles liées au chemin critique.</t>
  </si>
  <si>
    <t>834</t>
  </si>
  <si>
    <t>Les acteurs du projet sont mobilisés de façon adaptée en fonction de la méthode de projet retenue (« cycle en V » ou « agile »).</t>
  </si>
  <si>
    <t>• Un plan de charge a été défini en ligne avec le planning du projet (incréments, phases du cycle de vie etc.). Ce plan détaille les besoins et ressources disponibles par type de profil.
• Ce plan de charge est communiqué en amont à l'ensemble des parties prenantes afin de leur permettre d’anticiper et de gérer leur disponibilité.
• Dans certains cas (en projet agile notamment), le processus DevOps permet de rapprocher les équipes de développement et les équipes de production favorisant des cycles de développements plus courts, une augmentation de la fréquence de déploiement et une livraison continue.</t>
  </si>
  <si>
    <t>835</t>
  </si>
  <si>
    <t xml:space="preserve">Le volet « accompagnement au changement » est prévu dès l’amont du projet. Il est dimensionné et déployé tout au long de son déroulement afin d'assurer l'atteinte de ses objectifs. </t>
  </si>
  <si>
    <t>• Les personnes en charge de ce chantier sont clairement identifiées.
• Les populations impactées sont répertoriées.
• Des représentants de chaque population impactée sont impliqués dès la conception.
• Des actions sont menées auprès de ces populations (formation, revue des fiches de poste, …). Si nécessaire, les équipes RH sont mobilisées.</t>
  </si>
  <si>
    <t>836</t>
  </si>
  <si>
    <t>837</t>
  </si>
  <si>
    <t>Conformité, contrôle interne et sécurité</t>
  </si>
  <si>
    <t>La sécurité, la conformité et le contrôle interne, comme l’implication indispensable des utilisateurs finaux, sont intégrés dès la conception des produits ou solutions SI. </t>
  </si>
  <si>
    <t>Lien avec les vecteurs Risques &amp; conformité et Architecture.</t>
  </si>
  <si>
    <t>Les exigences (internes/externes) de conformité, de contrôle interne, de sécurité et de protection des données sont prises en compte dès la conception des projets.</t>
  </si>
  <si>
    <t>• Le  « security &amp; privacy by design »  permet d’éviter les surcoûts d’une prise en compte tardive et d’assurer le respect des contraintes réglementaires (par exemple, le RGPD). </t>
  </si>
  <si>
    <t>842</t>
  </si>
  <si>
    <t>Les équipes chargées de la conformité, du contrôle interne, de la sécurité et de la protection des données sont associées aux équipes projet ou aux instances de pilotage.</t>
  </si>
  <si>
    <t>• Les solutions développées répondent aux standards techniques de sécurité et d'exploitation mis en œuvre par l'organisation.
• Les éventuels écarts avec ces standards font l'objet de dérogations à un niveau adapté d'autorité au sein de l'organisation.
• Les opportunités d'automatisation des dispositifs de conformité, de sécurité et de contrôle interne sont considérées dès la phase de conception des solutions.</t>
  </si>
  <si>
    <t>843</t>
  </si>
  <si>
    <t>L'autorité architecturale est impliquée dès le début du projet pour assurer l’alignement avec les politiques et normes de l'entreprise. </t>
  </si>
  <si>
    <t>• Une attention particulière est portée au respect des normes d'architecture de l'entreprise.</t>
  </si>
  <si>
    <t>844</t>
  </si>
  <si>
    <t>Les exigences en matière de conformité, contrôle interne, sécurité et protection des données sont déclinées et testées. Leur implémentation est validée par les clients métiers et les équipes en charge de ces domaines.</t>
  </si>
  <si>
    <t xml:space="preserve">• Les processus de décision projet sont activés en fonction des risques encourus et des résultats des tests liés à la conformité, à la sécurité, au contrôle interne, et autres fonctions clés.
• Les exceptions aux tests (résultats négatifs, non conformités) font l’objet d’un suivi jusqu’à leur clôture ou jusqu’à la mise en place de mesures de mitigation suffisantes. </t>
  </si>
  <si>
    <t>845</t>
  </si>
  <si>
    <t>846</t>
  </si>
  <si>
    <t>847</t>
  </si>
  <si>
    <t>Pilotage du projet</t>
  </si>
  <si>
    <t>Le pilotage du projet/produit est réalisé à l'aide d'indicateurs pertinents permettant de suivre l'avancement à chaque étape. Des dispositifs d'alerte ou d'arbitrage sont en place pour traiter les éventuelles dérives au bon niveau.</t>
  </si>
  <si>
    <t>Lien avec vecteur Portefeuille de projets. </t>
  </si>
  <si>
    <t>Une phase préalable de planification est réalisée par l'équipe projet. Elle permet de s'assurer de la cohérence entre les travaux à réaliser, les délais et les ressources disponibles.</t>
  </si>
  <si>
    <t>• L'équipe projet décline le planning initial (validé lors de la phase de gestion du portefeuille projet) en planning opérationnel.
• Ce planning opérationnel découpe l'ensemble du projet en différentes phases (en conformité avec la méthode projet choisie).
• Les hypothèses retenues pour l'élaboration de ce planning sont détaillées et réalistes (unités d'œuvre, comparaison avec des projets similaires, etc.)</t>
  </si>
  <si>
    <t>852</t>
  </si>
  <si>
    <t>Des indicateurs pertinents sont définis qui permettent de suivre l’avancement du projet, la consommation des ressources et d’anticiper les difficultés. Ces indicateurs sont mesurés régulièrement.</t>
  </si>
  <si>
    <t>• Ces indicateurs devront permettre d’évaluer l'efficience du projet et l'atteinte de ses objectifs.
- En « cycle en V », il pourra s'agir de suivre les charges, le planning, la production (en unités d'œuvre), la dérive par rapport aux objectifs initiaux (par exemple, le nombre d'exigences ajoutées ou modifiées).
- En mode agile, les indicateurs mesureront notamment la vélocité (Scrum) ou le débit (Kanban) de l'équipe, ainsi que la valeur délivrée au fil des itérations.</t>
  </si>
  <si>
    <t>853</t>
  </si>
  <si>
    <t>Ces indicateurs sont partagés et servent de critères de pilotage et de décision dans les comités mis en place.</t>
  </si>
  <si>
    <t>854</t>
  </si>
  <si>
    <t>L’instance de suivi opérationnel du projet examine régulièrement les indicateurs de risque et de dérive et décide des arbitrages. Si nécessaire, elle remonte les alertes jusqu’aux instances d'arbitrage adéquates (instance de pilotage, comité de direction).</t>
  </si>
  <si>
    <t xml:space="preserve">• Si les procédures de remontée des alertes sont activées, elles donnent lieu à une décision effective.
• Dans les projets agiles, ce suivi opérationnel est souvent assuré par une structure réunissant les parties prenantes, sans nécessiter une instance de pilotage distincte. </t>
  </si>
  <si>
    <t>855</t>
  </si>
  <si>
    <t>L'instance de pilotage valide l'atteinte des objectifs à chacune des étapes ou itérations clés du projet/produit.</t>
  </si>
  <si>
    <t>• Les jalons sont régulièrement positionnés pour valider des options structurantes du projet sur lesquelles il sera difficile de revenir en arrière sans conséquence importante.
• En projet agile, la structure opérationnelle peut valider le choix et la priorisation des User Stories du Backlog à inclure dans le prochain Sprint.</t>
  </si>
  <si>
    <t>856</t>
  </si>
  <si>
    <t>857</t>
  </si>
  <si>
    <t>Validation(s) du produit ou de la solution</t>
  </si>
  <si>
    <t>Les produits ou solutions développés dans le cadre du projet font l'objet d'un processus de validation formel.</t>
  </si>
  <si>
    <t>Les activités et les responsabilités liées à la validation de la solution sont définies dans la méthode projet et mises en œuvre tout au long du projet.</t>
  </si>
  <si>
    <t>• La méthode projet définit les modalités des tests (nature de, périmètre, acteurs, séquencement avec le cycle de vie du projet).
• Les tests font l'objet d'une préparation et d'un recensement. 
• La généralisation des outils d'automatisation des tests (eg. tests de non régression) permet de fiabiliser les processus de recette, d'augmenter leur productivité ou de réduire leurs coûts.  
• La phase de recette intègre les volets cybersécurité, exploitabilité, et performance.
• Dans les projets gérés en cycle en V, les phases de tests sont planifiées et constituent des prérequis au passage d'un jalon.
• Dans les méthodologies agiles, les tests sont réalisés en continu à chaque incrément. Les critères de validation des user stories sont définis en amont (par exemple dans la Definition of Done pour la méthodologie Scrum).</t>
  </si>
  <si>
    <t>862</t>
  </si>
  <si>
    <t>La méthode employée dans les phases de test et de validation est définie et appliquée.</t>
  </si>
  <si>
    <t>• Les acteurs impliqués dans les phases de test disposent des compétences nécessaires pour attester la conformité du produit ou de la solution aux attentes. Les fonctions métiers en particulier participent aux étapes de validation fonctionnelle, avec un niveau de formation adapté.
• Les tâches de validation sont formalisées conformément à la méthode projet. Lorsque nécessaire, une décision d'approbation ou de rejet est rendue par l'instance de pilotage en lien avec le sponsor projet ou sa hiérarchie.</t>
  </si>
  <si>
    <t>863</t>
  </si>
  <si>
    <t>Le respect des exigences fonctionnelles et non fonctionnelles (techniques, cybersécurité, performance conformité, etc.) fait l'objet d'une validation formelle avant tout déploiement.</t>
  </si>
  <si>
    <t>• Les besoins non fonctionnels d'une solution ou d’un produit sont formellement spécifiés. Ils couvrent notamment la documentation, la continuité d’activité, la disponibilité, l’ergonomie, la performance, la portabilité, la maintenabilité.
• Leur conformité fait l’objet de tests dédiés, suivis d'une validation formelle.
• Les critères de performance, en particulier, sont évalués dans des conditions proches du réel.</t>
  </si>
  <si>
    <t>864</t>
  </si>
  <si>
    <t>Le « reste à faire » (fonctionnalités, exigences, anomalies, etc.) fait l'objet d'un suivi jusqu'à sa résolution ou sa clôture.</t>
  </si>
  <si>
    <t>• Les fonctionnalités restant à développer, corriger ou valider font l'objet d'un suivi formel, incluant la priorisation, les arbitrages nécessaires et la communication sur les dates cibles de mise en œuvre.
• En méthodologie agile (par exemple Scrum) ce suivi se fait dans le Product Backlog.</t>
  </si>
  <si>
    <t>865</t>
  </si>
  <si>
    <t>La solution ou le produit fait l'objet d'une validation par les instances de gouvernance ad-hoc prévues par la politique IT (DPO, RSSI, Architecte IT, ESG).</t>
  </si>
  <si>
    <t>• La validation de la solution ou du produit, préalablement à sa livraison, intègre les avis des instances compétentes afin de garantir sa conformité aux exigences en matière de cybersécurité, de gouvernance, de protection des données, de conformité réglementaire, de contrôle interne, de cohérence avec l'architecture IT de l'organisation, ainsi qu’aux critères ESG (accessibilité à tous, impacts environnementaux, etc.).
• Les exceptions font l'objet de justifications argumentées.
• Le respect des besoins non fonctionnels fait également l'objet d'une validation formelle.</t>
  </si>
  <si>
    <t>866</t>
  </si>
  <si>
    <t>867</t>
  </si>
  <si>
    <t>Bilan de projet SI</t>
  </si>
  <si>
    <t>L’équipe responsable organise un bilan de projet </t>
  </si>
  <si>
    <t>Le bilan de projet SI fournit une vision partagée des coûts, des délais et du niveau d’atteinte des objectifs opérationnels (réussites, difficultés, échecs, capitalisation des progrès, identification de plans d'action d'amélioration).</t>
  </si>
  <si>
    <t>• Le bilan opérationnel doit explorer les processus de fonctionnement de la DSI, son organisation, ses choix technologiques, sa qualité de service.
• Le bilan opérationnel identifie les dysfonctionnements et propose des actions d’amélioration concrètes réalisables par les équipes de la DSI.</t>
  </si>
  <si>
    <t>872</t>
  </si>
  <si>
    <t>Le bilan de projet SI  permet de vérifier qu’il ne reste aucune tâche résiduelle (donc de coût supplémentaire) liée aux désinstallations, aux décommissionnements, aux formations, etc.</t>
  </si>
  <si>
    <t>• Si des tâches prévues restent inachevées et non réalisables avant la fin de la période probatoire du projet ou de l’incrément, elles doivent être rattachées aux opérations de MCO qui débutent, ou reportées à l’incrément suivant, afin de pouvoir clore la phase projet.
• Une vérification de la mise à jour de la documentation nécessaire et obligatoire est assurée (ex. : cartographies, dossier d'exploitation, dossier d'architecture…).</t>
  </si>
  <si>
    <t>873</t>
  </si>
  <si>
    <t>À l’issue d’une période préalablement définie, un bilan du business case du projet est réalisé avec les parties prenantes, y compris les acteurs externes.</t>
  </si>
  <si>
    <t>• Cet objectif du bilan de projet est spécifiquement limité à l’évaluation de l'atteinte des objectifs métier.
• Toutes les parties prenantes intervenues dans la réalisation du projet sont conviées.
• L’équipe projet compare la valorisation les éléments constitutifs de l’étude d’opportunité aux résultats effectivement constatés en fin de projet et valide cette analyse.
• Le bilan de projet met en évidence les écarts, en identifie les causes et propose des plans d’action d’amélioration.
• Le cas échéant, les actions d'amélioration peuvent s'appliquer à d'autres projets en cours ou à venir.</t>
  </si>
  <si>
    <t>874</t>
  </si>
  <si>
    <t>875</t>
  </si>
  <si>
    <t>876</t>
  </si>
  <si>
    <t>877</t>
  </si>
  <si>
    <t>Acquérir, organiser et manager les talents et les compétences.</t>
  </si>
  <si>
    <t>Plan RH cohérent avec la stratégie numérique</t>
  </si>
  <si>
    <t>La gestion des ressources humaines du numérique permet de garantir le fonctionnement des systèmes actuels et d’anticiper les besoins futurs de l’organisation.</t>
  </si>
  <si>
    <t>Un plan RH de moyen terme de la DSI est formalisé, aligné sur le plan SI et en cohérence avec la stratégie et la politique RH de l’entreprise.</t>
  </si>
  <si>
    <t>• Il définit les besoins futurs en compétences et le calendrier de disponibilité des ressources.
• Il décrit les moyens mis en œuvre pour les acquérir (formation et développement professionnel des collaborateurs, partenariat avec les écoles, salons, approche directe, etc.).
• Il intègre les perspectives d'externalisation.
• Il prend en compte les technologies émergentes (Intelligence Artificielle, Low Code, etc.) et leurs impacts sur les métiers de la DSI.
• Il s’inscrit dans un horizon pluriannuel aligné sur le plan stratégique de l’entreprise.
• Il repose sur une démarche de planification des ressources permettant de se projeter à moyen terme (3-5 ans) afin d’anticiper les évolutions technologiques.</t>
  </si>
  <si>
    <t>Répondre aux besoins de l'organisation en investissant sur les compétences nécessaires à la réalisation des projets futurs, et à la continuité des systèmes existants, conformément à la stratégie IT.</t>
  </si>
  <si>
    <t>Perte de compétences rares ou essentielles due à une mauvaise maîtrise de la pyramide des âges.</t>
  </si>
  <si>
    <t>1012</t>
  </si>
  <si>
    <t>Un plan de résorption des écarts entre les besoins et la situation actuelle est réalisé, formalisé et mis en œuvre (formation, recrutement, partenariats fournisseurs et startups). La synthèse en est présentée au comité de direction de la DSI et partagée avec la DRH.</t>
  </si>
  <si>
    <t xml:space="preserve">• Dans le cadre de ce plan, les organisations peuvent prévoir de faire appel à de la sous-traitance pour combler les écarts de compétence.
• Le plan de gestion RH inclut par exemple :
- le plan de recrutement
- l'évolution prévisionnelle de la pyramide des âges
- le plan de formation et de développement professionnel
- la gestion de la mobilité interne
- l'identification des compétences en tension   </t>
  </si>
  <si>
    <t>Rendre attractifs les métiers du numérique de l’entreprise pour attirer de nouveaux talents.</t>
  </si>
  <si>
    <t>Turnover non maîtrisé.</t>
  </si>
  <si>
    <t>1013</t>
  </si>
  <si>
    <r>
      <rPr>
        <sz val="11"/>
        <color indexed="49"/>
        <rFont val="Calibri"/>
      </rPr>
      <t xml:space="preserve">Ressources humaines </t>
    </r>
  </si>
  <si>
    <t>Des bilans évaluent régulièrement l’adéquation entre les ressources SI allouées et les besoins identifiés, et des mesures correctives de la trajectoire sont élaborées par la DSI aidée de la DRH.</t>
  </si>
  <si>
    <t>• Des indicateurs de pilotage et de performance sont partagés.</t>
  </si>
  <si>
    <t>Faire collaborer des personnes de générations et de compétences différentes pour garantir le fonctionnement et l’évolution du SI.</t>
  </si>
  <si>
    <t>Perte d’attractivité entraînant des difficultés de recrutement et un déficit de compétences.</t>
  </si>
  <si>
    <t>1014</t>
  </si>
  <si>
    <t>En liaison avec sa démarche d’innovation et en anticipation des besoins futurs de l'organisation, la DSI réalise une veille sur les moyens d'acquérir les compétences requises.</t>
  </si>
  <si>
    <t>Optimiser la stratégie d'externalisation pour équilibrer les ressources internes et externes.</t>
  </si>
  <si>
    <t>1015</t>
  </si>
  <si>
    <t>La gestion RH de la DSI est alignée avec la politique RH ainsi qu'avec la stratégie RSE de l'organisation (féminisation, inclusion et diversité, etc.).</t>
  </si>
  <si>
    <t>• Par exemple, pour les démarches de qualité de vie au travail, des initiatives en faveur de la parité telles que Femmes@Numérique (collectif d’associations, fondation d’entreprises et soutien de l’État) et SheLeadsTech (ISACA France).</t>
  </si>
  <si>
    <t>1016</t>
  </si>
  <si>
    <t>Un plan de transfert des compétences rares ou en voie de disparition est formalisé.</t>
  </si>
  <si>
    <t>• Il permet à La DSI d’organiser le maintien des compétences sur les technologies en voie d'obsolescence.
• Il permet à la DSI de maîtriser le transfert de compétences critiques.</t>
  </si>
  <si>
    <t>1017</t>
  </si>
  <si>
    <t>Référentiel</t>
  </si>
  <si>
    <t>Un référentiel des compétences requises est formalisé.</t>
  </si>
  <si>
    <t>Un référentiel répertoriant les profils métiers du numérique est établi en cohérence avec les référentiels de la profession et est partagé avec les parties prenantes. Il identifie et décrit des passerelles potentielles entre les catégories d’emplois.</t>
  </si>
  <si>
    <t>• Le référentiel est maintenu en adéquation avec les bonnes pratiques de la place, les évolutions technologiques et la stratégie de l’entreprise par une mise à jour régulière.
• Le référentiel peut également couvrir des emplois hors de la DSI (product owner par exemple).
• Cf. Nomenclature des profils métiers du SI, Cigref, 2025.</t>
  </si>
  <si>
    <t>1022</t>
  </si>
  <si>
    <t>Des fiches de postes rattachées aux emplois du référentiel sont formalisées..</t>
  </si>
  <si>
    <t>• Chaque collaborateur doit avoir une fiche de poste rattachée au référentiel des métiers numériques de l'organisation.
• Lors des recrutements, les fiches de postes sont diffusées et connues de l’ensemble des collaborateurs de la DSI.</t>
  </si>
  <si>
    <t>1023</t>
  </si>
  <si>
    <t>Il existe une cartographie des métiers SI et numériques qui répertorie les compétences nécessaires et identifie les postes critiques ou clés .</t>
  </si>
  <si>
    <t>•  La cartographie décrit les compétences nécessaires pour répondre aux besoins actuels et à leur évolution à court et moyen terme.</t>
  </si>
  <si>
    <t>1024</t>
  </si>
  <si>
    <t>1025</t>
  </si>
  <si>
    <t>1026</t>
  </si>
  <si>
    <t>1027</t>
  </si>
  <si>
    <t>Gestion des emplois et parcours professionnels (GEPP / Strategic Workforce Planning)</t>
  </si>
  <si>
    <t>Un plan d’adéquation des compétences aux besoins actuels et futurs de l'organisation est formalisé et mis en place, et il s'intègre dans le processus RH de l'organisation.</t>
  </si>
  <si>
    <t>Lien avec vecteur Stratégies et Prestataires &amp; fournisseurs</t>
  </si>
  <si>
    <r>
      <rPr>
        <sz val="11"/>
        <color indexed="8"/>
        <rFont val="Calibri"/>
      </rPr>
      <t xml:space="preserve">La DSI construit, à un niveau macro, un plan prévisionnel des compétences aligné sur la stratégie numérique de l'organisation, les besoins numériques des métiers et la politique de </t>
    </r>
    <r>
      <rPr>
        <i val="1"/>
        <sz val="11"/>
        <color indexed="8"/>
        <rFont val="Calibri"/>
      </rPr>
      <t>make or buy</t>
    </r>
    <r>
      <rPr>
        <sz val="11"/>
        <color indexed="8"/>
        <rFont val="Calibri"/>
      </rPr>
      <t xml:space="preserve"> retenue, même en l’absence d’une planification des ressources centrée sur les effectifs à long terme </t>
    </r>
    <r>
      <rPr>
        <b val="1"/>
        <sz val="11"/>
        <color indexed="8"/>
        <rFont val="Calibri"/>
      </rPr>
      <t>(5-10 ans)</t>
    </r>
    <r>
      <rPr>
        <sz val="11"/>
        <color indexed="8"/>
        <rFont val="Calibri"/>
      </rPr>
      <t>.</t>
    </r>
  </si>
  <si>
    <t>• Les besoins découlent du plan stratégique de l’entreprise et de la feuille de route numérique.</t>
  </si>
  <si>
    <t>1032</t>
  </si>
  <si>
    <r>
      <rPr>
        <sz val="11"/>
        <color indexed="8"/>
        <rFont val="Calibri"/>
      </rPr>
      <t xml:space="preserve">Une analyse des écarts, sur le court terme </t>
    </r>
    <r>
      <rPr>
        <b val="1"/>
        <sz val="11"/>
        <color indexed="8"/>
        <rFont val="Calibri"/>
      </rPr>
      <t>(1-2 ans)</t>
    </r>
    <r>
      <rPr>
        <sz val="11"/>
        <color indexed="8"/>
        <rFont val="Calibri"/>
      </rPr>
      <t>, est effectuée afin de comparer la situation actuelle avec les besoins exprimés dans le plan prévisionnel.</t>
    </r>
  </si>
  <si>
    <t>1033</t>
  </si>
  <si>
    <t>La GEPP permet une projection à long terme (à horizon 5-10 ans) des besoins et des ressources, elle anticipe les tendances du marché, et s'appuie sur l'analyse des écarts pour en tirer une politique individuelle de recrutement / formation découlant du plan à moyen terme.</t>
  </si>
  <si>
    <t xml:space="preserve">• Par exemple, l'organisation peut mettre en place une veille stratégique pour détecter les évolutions, les tendances du marché à long terme et les impacts sur l'emploi et les compétences.
</t>
  </si>
  <si>
    <t>1034</t>
  </si>
  <si>
    <t>1035</t>
  </si>
  <si>
    <t>1036</t>
  </si>
  <si>
    <t>1037</t>
  </si>
  <si>
    <t>Évaluation</t>
  </si>
  <si>
    <t>L’évaluation des compétences et des performances est réalisée.</t>
  </si>
  <si>
    <t>La DSI met en œuvre un « référentiel des compétences nécessaires » et une grille d'évaluation associée.</t>
  </si>
  <si>
    <t>1042</t>
  </si>
  <si>
    <t>Un processus régulier d’évaluation des compétences présentes dans la DSI est en place, basé sur le référentiel des compétences.</t>
  </si>
  <si>
    <t>• Le processus est déroulé une fois par an au minimum (par exemple lors de l’entretien annuel).
• Le processus permet d'évaluer la performance du plan de résorption des écarts.</t>
  </si>
  <si>
    <t>1043</t>
  </si>
  <si>
    <t>Ce processus est piloté à l’aide d’indicateurs et donne lieu à des actions correctives si nécessaire (ou si besoin).</t>
  </si>
  <si>
    <t>1044</t>
  </si>
  <si>
    <t>La DSI applique les processus et utilise les outils d’évaluation RH de l’organisation, dans le respect des contraintes réglementaires (sécurité, RGPD, directive européenne sur la transparence des salaires et des promotions, etc.).</t>
  </si>
  <si>
    <t xml:space="preserve">• Chaque collaborateur est évalué au moins une fois par an. </t>
  </si>
  <si>
    <t>1045</t>
  </si>
  <si>
    <t>Des objectifs professionnels sont définis et mesurés pour chaque collaborateur en cohérence avec la politique RH.</t>
  </si>
  <si>
    <t>• Ces objectifs sont mesurables et en lien avec la fiche de poste.
• Ils sont alignés avec les objectifs de la DSI (par exemple, avec les indicateurs de délais de résolution des incidents, etc.).
• Ils sont partagés avec les collaborateurs.
• Les objectifs incluent les compétences à développer (techniques ou managériales).
• Une appréciation des performances par rapport à ces objectifs est faite et partagée avec le collaborateur à l'occasion de l'entretien annuel.</t>
  </si>
  <si>
    <t>1046</t>
  </si>
  <si>
    <t>La DSI a développé des parcours de carrière internes et favorise également la mobilité au sein de l'organisation (identification des passerelles avec les autres métiers). Cette réflexion peut s'inscrire dans une démarche de type Gestion des Emplois et des Parcours Professionnels (GEPP).</t>
  </si>
  <si>
    <t>• Il existe des parcours experts permettant aux personnes souhaitant se spécialiser sur des technologies d'évoluer sans nécessairement passer par des postes de management.
• Le développement des compétences managériales des collaborateurs fait l'objet d'un suivi particulier.
• La reconnaissance de la Valorisation des Acquis de l’Expérience est encouragée par la DSI.
• Cf. Nomenclature des profils métiers du SI, Cigref, 2025</t>
  </si>
  <si>
    <t>1047</t>
  </si>
  <si>
    <t>Recrutement</t>
  </si>
  <si>
    <t>Un plan de recrutement est défini et mis en œuvre pour répondre aux besoins en ressources de la DSI.</t>
  </si>
  <si>
    <t>Un plan de recrutement est établi en cohérence avec le plan de résorption des écarts et il est mis en œuvre pour répondre aux besoins actuels et futurs de la DSI.</t>
  </si>
  <si>
    <t>• Le plan de recrutement est construit en tenant  compte de la stratégie de sourcing, des besoins en compétences et des compétences disponibles pour chaque activité.
• La DSI prend en compte les attentes des candidats et la rareté de certains profils de compétences afin de rendre ses postes attractifs et compétitifs (rémunération, télétravail, perspectives d'évolution, localisation géographique, intérêt et sens du poste et de l'organisation, environnement technologique, etc.)
• Chaque poste à pourvoir est présenté de manière à le rendre attractif (description de l’entreprise et de sa stratégie, activités à l’international, domaine de responsabilité du poste, etc.).
• Les postes à pourvoir sont systématiquement publiés en interne et les postulants sont reçus par les recruteurs. Un retour leur est systématiquement transmis.
• Différents canaux externes sont utilisés pour pourvoir les postes ouverts (réseaux sociaux, cooptation, relations écoles et universités, relations écosystèmes, chasseurs de tête, etc.).</t>
  </si>
  <si>
    <t>1052</t>
  </si>
  <si>
    <t>La réalisation du plan de recrutement fait l’objet d’un suivi régulier conjoint par les directions SI et RH.</t>
  </si>
  <si>
    <t>• En cas de retard par rapport au plan prévu, des actions sont mises en œuvre pour garantir la disponibilité des ressources nécessaires (accélération du  processus de recrutement, appel à de la prestation externe, management de transition)
• L'analyse des délais et de la qualité des recrutements permet d'adapter le plan de recrutement à la situation (anticipation des besoins pour tenir compte d'un allongement des délais, ajustement de l'approche de recrutement, etc.).</t>
  </si>
  <si>
    <t>1053</t>
  </si>
  <si>
    <t>Un processus d'accueil et d'intégration est en place pour permettre la bonne intégration des nouveaux arrivants.</t>
  </si>
  <si>
    <t>• Un référent est identifié pour l'accueil et l'intégration de l'arrivant.
• Le processus inclut les formations et transferts de compétences nécessaires à l'exercice du poste et aux exigences de l'organisation.
• Le processus permet de s'assurer d'un temps suffisant en présentiel pour favoriser la bonne intégration.</t>
  </si>
  <si>
    <t>1054</t>
  </si>
  <si>
    <t>1055</t>
  </si>
  <si>
    <t>1056</t>
  </si>
  <si>
    <t>1057</t>
  </si>
  <si>
    <t>Développement des compétences</t>
  </si>
  <si>
    <t>Une stratégie de développement des compétences numériques est définie</t>
  </si>
  <si>
    <t>Le DSI et les différents niveaux d'encadrement, en lien avec la DRH, veillent à ce que le plan de formation soit en adéquation avec le plan de résorption des écarts.</t>
  </si>
  <si>
    <t>• Les collaborateurs doivent pouvoir bénéficier de formations en lien avec leurs missions actuelles et futures.
• L'acquisition de certifications professionnelles est encouragée et valorisée.</t>
  </si>
  <si>
    <t>1062</t>
  </si>
  <si>
    <t>Une offre de développement des compétences (formation, mentorat, accompagnement) est publiée et rendue visible à l’ensemble des collaborateurs de la fonction numérique.</t>
  </si>
  <si>
    <t>• L’offre de formation doit être actualisée régulièrement (exemples : utilisation de MOOC, partenariats avec des écoles, etc.).</t>
  </si>
  <si>
    <t>1063</t>
  </si>
  <si>
    <t>La DSI favorise l'accès et le partage de connaissances internes et externes ainsi que la capitalisation des savoir-faire.</t>
  </si>
  <si>
    <t>• Notamment  à travers :
- des retours d’expérience (RETEX).
- les réseaux sociaux d’entreprise.
- les communautés thématiques internes et externes.
- la participation à des groupes professionnels et associatifs (CIGREF, ISACA, IFACI, etc.).
- l’usage de l'intelligence artificielle.</t>
  </si>
  <si>
    <t>1064</t>
  </si>
  <si>
    <t>Une mesure de l'efficacité de l'exécution de la stratégie de développement des compétences internes est mise en œuvre et formalisée par la DSI.</t>
  </si>
  <si>
    <t>• Les compétences sont évaluées.
• La formation et les formateurs sont évalués par les participants
• Les résultats permettent de faire évoluer les contenus ou d’ajuster les formats (par exemple, distanciel/présentiel), pour améliorer notamment la rétention des talents.</t>
  </si>
  <si>
    <t>1065</t>
  </si>
  <si>
    <t>Conformément à la politique RH de l'organisation, les managers font un point régulier avec leurs collaborateurs sur leur montée en compétences.</t>
  </si>
  <si>
    <t>• Ces entretiens sont organisés au fil de l'avancement des sujets traités par le collaborateur, et au minimum lors d'un entretien annuel.
• Des points d'étapes périodiques sont organisés.</t>
  </si>
  <si>
    <t>1066</t>
  </si>
  <si>
    <t xml:space="preserve">Un bilan annuel des compétences numériques est réalisé par la DSI et la DRH et il est présenté aux instances ad hoc (direction générale, partenaires sociaux). </t>
  </si>
  <si>
    <t>Ce bilan porte notamment sur :
• L'évolution des besoins.
• L'évolution des compétences.
• L'évolution de l'adéquation entre compétences et besoins de la DSI.</t>
  </si>
  <si>
    <t>1067</t>
  </si>
  <si>
    <t>Piloter les relations avec les fournisseurs de services et de solutions numériques</t>
  </si>
  <si>
    <t>Une stratégie de Make or Buy et la gouvernance associée ont été définies</t>
  </si>
  <si>
    <t xml:space="preserve"> Lien avec le vecteur Ressources Humaines.</t>
  </si>
  <si>
    <t>La stratégie d’externalisation SI inclut la politique « make or buy ». La DSI évalue, avec les métiers, l'opportunité de recourir à la prestation en fonction de la criticité des activités concernées et fait valider la décision au niveau hiérarchique approprié.</t>
  </si>
  <si>
    <t>• Cette évaluation comporte :  
- une cartographie des activités de l'organisation et des activités numériques correspondantes.
- la prise en compte des enjeux de massification ou de diversification des prestataires.
- une évaluation des différents critères : alignement sur la stratégie du métier, maturité du marché et des offres, nécessités opérationnelles, besoin d'agilité et de flexibilité, nombre et qualité des compétences internes.
- une évaluation des risques sociaux, juridiques, financiers, industriels, d'image et de dépendance.</t>
  </si>
  <si>
    <t>Optimiser les objectifs d'efficacité, de coût, d'indépendance, et d'avantage concurrentiel grâce au numérique par le biais d’une stratégie “make or buy”.</t>
  </si>
  <si>
    <t>Perte de contrôle ou dépendance vis-à-vis de ses fournisseurs, induites par une atteinte à l'accessibilité ou à la disponibilité des systèmes et des données, pouvant générer un risque pour l’activité de l’organisation.</t>
  </si>
  <si>
    <t>1112</t>
  </si>
  <si>
    <t>Un dispositif de gestion des services externalisés a été mis en place (organisation, processus). Il inclut en particulier un volet de management des risques.</t>
  </si>
  <si>
    <t>• L'exposition aux risques est connue des métiers.
• Les risques concernant la fiabilité/intégrité du prestataire, la protection des données personnelles, la cybersécurité, la conformité réglementaire, la RSE, la qualité et la sûreté, font l'objet d'une évaluation régulière (certifications, audits indépendants). Le cas échéant, ce suivi est outillé.</t>
  </si>
  <si>
    <t>Garantir le niveau de qualité et la maîtrise des coûts des services externalisés.</t>
  </si>
  <si>
    <t>Augmentation de la surface d'exposition aux risques Cyber et aux risques de fuite de données personnelles ou stratégiques.</t>
  </si>
  <si>
    <t>1113</t>
  </si>
  <si>
    <r>
      <rPr>
        <sz val="11"/>
        <color indexed="49"/>
        <rFont val="Calibri"/>
      </rPr>
      <t>Prestataires &amp; fournisseurs</t>
    </r>
  </si>
  <si>
    <t>Gagner en flexibilité d’ajustement de ses capacités (compétences et ressources) aux variations de charges liées à l'activité ou aux projets, en s’appuyant sur l’écosystème de prestataires et de fournisseurs.</t>
  </si>
  <si>
    <t>Risques juridiques, réglementaires et financiers liés aux contrats de services et d'externalisation.</t>
  </si>
  <si>
    <t>1114</t>
  </si>
  <si>
    <t>Accélérer le time-to-market des projets de l’entreprise et favoriser l'innovation, à travers l'acquisition de solutions et services adaptés et pérennes, en tenant compte des ressources internes (RH, finance, ...).</t>
  </si>
  <si>
    <t>Impacts sociaux dans l’entreprise liés à une mauvaise gestion des actions d’externalisation.</t>
  </si>
  <si>
    <t>1115</t>
  </si>
  <si>
    <t>Dégradation de l'image de l'entreprise ou du niveau de services de la DSI auprès des métiers et des utilisateurs, voire des clients.</t>
  </si>
  <si>
    <t>1116</t>
  </si>
  <si>
    <t>1117</t>
  </si>
  <si>
    <t>Etude d'opportunité</t>
  </si>
  <si>
    <t>Pour chacune des activités candidates à l'externalisation, une étude d'opportunité et de faisabilité est réalisée.</t>
  </si>
  <si>
    <t>Il existe une analyse des forces/faiblesses de l'existant concernant l’activité à externaliser.</t>
  </si>
  <si>
    <t>• Cette analyse prend en compte la documentation, le niveau de compétence, l'obsolescence du système, la dette technique, etc.</t>
  </si>
  <si>
    <t>1122</t>
  </si>
  <si>
    <t>Il existe, pour l’activité à externaliser, des études de marché et d'identification des prestataires potentiels.</t>
  </si>
  <si>
    <t>• Ces études comprennent des benchmarks.</t>
  </si>
  <si>
    <t>1123</t>
  </si>
  <si>
    <t>L’impact de l’externalisation sur les ressources humaines du périmètre concerné est pris en compte.</t>
  </si>
  <si>
    <t>• Les ressources clés (y compris les nouvelles compétences) à maintenir au sein de l'organisation sont identifiées (par exemple : contract manager, chef de projet expert dans le pilotage de la sous-traitance, architecte capable d’évaluer les propositions des sous-traitants, …) 
• Les rôles et responsabilités associés aux acteurs en charge du pilotage des services externalisés ont été attribués.
• La gestion des emplois et compétences est bien en place.</t>
  </si>
  <si>
    <t>1124</t>
  </si>
  <si>
    <t>Il existe une analyse de risques concernant l'activité à externaliser.</t>
  </si>
  <si>
    <t>• Il convient d'évaluer les principaux critères tels que la criticité des données, les impacts financiers et le modèle de coûts, la continuité d'activité/de service, les impacts sur un éventuel avantage concurrentiel, la maîtrise du savoir, les impacts sociaux, etc.
• Pour les offres cloud, les risques sont à différencier selon le degré de sensibilité des données concernées et selon qu'il s'agit de cloud public, de cloud privé externe, ou de cloud hybride.
• L'analyse des risques inclut les risques de non conformité, notamment aux engagements RSE et aux exigences d’indépendance de sa chaîne de valeur.</t>
  </si>
  <si>
    <t>1125</t>
  </si>
  <si>
    <t>Il existe un business case relatif à l'externalisation de l’activité.</t>
  </si>
  <si>
    <t>• Il présente l’objet et les gains/coûts tangibles et intangibles : les incidences quantifiables et non quantifiables financièrement pour l'intégration, l'interopérabilité et la réversibilité des offres, ainsi que les coûts supplémentaires liés au niveau de sécurisation à atteindre, doivent être pris en compte.
• Le business case doit également faire apparaître les gains générés au sein des métiers : éléments de comparaison pertinents (interne/externe) et estimation du ROI.</t>
  </si>
  <si>
    <t>1126</t>
  </si>
  <si>
    <t>La décision d'externaliser une activité propre à la DSI est prise par les instances de gouvernance du numérique de l'entreprise.</t>
  </si>
  <si>
    <t>1127</t>
  </si>
  <si>
    <t>Sélection et contractualisation</t>
  </si>
  <si>
    <t>Pour tous les achats numériques (services externalisés, prestation de services, achats de logiciels ou de matériels), un processus de sélection et de contractualisation des prestataires est mis en place.</t>
  </si>
  <si>
    <t xml:space="preserve"> Lien avec le vecteur Services.</t>
  </si>
  <si>
    <t>Pour les achats à effectuer, les biens et services concernés ont été clairement définis dans un cahier des charges (expression de besoin et exigences de résultat).</t>
  </si>
  <si>
    <t>• La DSI et les directions métiers concernées, ainsi que les autres parties prenantes (achats, juridique, RSSI, etc.), contribuent au cahier des charges et le valident formellement avant émission.
• Le cahier des charges et la recherche d'offres sont adaptés en fonction du type de bien ou service (achats de matériels, de logiciels, ou de services y compris cloud, prestations ponctuelles, externalisation d'une activité métier ou SI).</t>
  </si>
  <si>
    <t>1132</t>
  </si>
  <si>
    <t>Des critères objectifs d'évaluation des offres et des fournisseurs sont définis parallèlement à l'élaboration du cahier des charges.</t>
  </si>
  <si>
    <t>• Les critères d'évaluation doivent prendre en compte les différents risques identifiés lors de l'évaluation des risques de dépendance, de perte de contrôle, etc.
• Les critères d'évaluation sont éventuellement communiqués aux prestataires consultés.
• Les critères d'évaluation prennent également en compte les enjeux RSE en alignement avec la politique de l'organisation et les exigences de reporting (par exemple : suivi des consommations lors d'une démarche move to the cloud).</t>
  </si>
  <si>
    <t>1133</t>
  </si>
  <si>
    <t>Les engagements de sécurité, continuité, conformité, réversibilité et RSE sont inclus dans le contrat avec le fournisseur.</t>
  </si>
  <si>
    <t>• Les contrats avec les prestataires et fournisseurs incluent des engagements en matière de sécurité, conformité, confidentialité, RSE.
• Les exigences en matière de protection des données personnelles et du secret des affaires ou industriel font partie des critères objectifs de sélection de la prestation.
• Les éventuelles certifications mises en avant par les prestataires sont analysées et évaluées afin de confirmer leur bonne applicabilité aux services fournis à l'organisation (par exemple : certifications de type ISO 27001, voire Secnumcloud).
• Le plan d'assurance sécurité doit faire partie du corpus contractuel.</t>
  </si>
  <si>
    <t>1134</t>
  </si>
  <si>
    <t>Le contrat comprend les éléments permettant de mesurer la qualité et la performance de l'achat réalisé.</t>
  </si>
  <si>
    <t>• Les éléments contractuels couvrent notamment des aspects tels que la définition d'un accord de niveau de service ou SLA (service level agreement), l’identification des obligations de moyens et de résultats, les modalités de reporting et de gouvernance de la prestation, les exigences de fourniture régulière d'attestations (rapports SOC, anciennement ISAE 3402) ainsi que les clauses d'audit.
• Les accords de niveau de service avec le prestataire ou OLA (Operating level agrement) reflètent les engagements de niveau de service de la DSI vis-à-vis des directions utilisatrices (SLA).
• Les modalités de mesure et de partage des indicateurs de niveau de service sont déterminées dans le contrat de services (fréquence, support, destinataires).</t>
  </si>
  <si>
    <t>1135</t>
  </si>
  <si>
    <t>L'élaboration du contrat et la capacité de le faire évoluer durant son exécution sont le fruit de la collaboration entre toutes les parties prenantes (directions métiers, DSI, fonction achats et fonction juridique).</t>
  </si>
  <si>
    <t>• Un contrôle est effectué pour s'assurer que toutes les parties prenantes ont été associées à l'élaboration du contrat.
• Le contrat doit rendre possible l'évolution de la prestation après accord des parties (clause de revoyure).</t>
  </si>
  <si>
    <t>1136</t>
  </si>
  <si>
    <t>1137</t>
  </si>
  <si>
    <t xml:space="preserve">Conduite du changement </t>
  </si>
  <si>
    <t>Pour chacune des activités SI à externaliser, il existe une démarche de transition et de conduite du changement.</t>
  </si>
  <si>
    <t>Un planning de transition et de conduite du changement est défini comprenant les principales étapes à suivre.</t>
  </si>
  <si>
    <t>• Les étapes incluent notamment :
- Une étape de préparation.
- Une étape d'exécution.
- Une étape de vérification.
- Une étape de stabilisation.</t>
  </si>
  <si>
    <t>1142</t>
  </si>
  <si>
    <t>Un dispositif de gouvernance est en place pour piloter l'exécution du processus de transition.</t>
  </si>
  <si>
    <t>• Un calendrier opérationnel définitif est élaboré avec l'ensemble des parties prenantes.
• Les rôles et responsabilités sont clairement établis.
• La comitologie est définie.
• Cette phase de transition est monitorée avec des KPI et jalons prédéfinis.
• Les risques identifiés font l'objet d'un suivi.</t>
  </si>
  <si>
    <t>1143</t>
  </si>
  <si>
    <t>Le plan de transfert de l'activité à un prestataire a été défini et inclut les éventuels impacts RH qui auront été anticipés avant l'émission de l'appel d'offres.</t>
  </si>
  <si>
    <t>• La méthode de transfert est définie, soit « big bang », soit « en sifflet » (montée en compétence progressive), soit par lots.
• Les impacts du transfert sont suivis par la DRH.</t>
  </si>
  <si>
    <t>1144</t>
  </si>
  <si>
    <t>Les modalités de transfert de données au prestataire sont définies dans un PV de transfert qui matérialise la transaction.</t>
  </si>
  <si>
    <t>• Il est notamment indiqué dans le contrat que le fournisseur ne pourra utiliser les données de l'entreprise que dans le cadre de l'exécution du contrat.
• Le PV de transfert inclut les aspects suivants : protection des données personnelles, protection du secret des affaires ou industriel.
• Le PV de transfert prévoit précisément les modalités d'échanges de données, de droit de copie, de sauvegarde, de destruction.</t>
  </si>
  <si>
    <t>1145</t>
  </si>
  <si>
    <t>Les modalités de transfert de connaissances et compétences sont définies et leur mise en œuvre est pilotée.</t>
  </si>
  <si>
    <t>• Le plan de transfert de connaissance inclut :
- Le transfert de la base documentaire (FAQ, bonnes pratiques, documentations techniques, procédures opérationnelles, documentations utilisateur).
- Des sessions de formation.
- Des exercices sur un environnement hors production.
• Il prévoit l'organisation de formations pour que le personnel du prestataire soit sensibilisé aux contraintes réglementaires et de sécurité de l'entreprise.
• Lors des phases de transfert des compétences, les cartographies de l'entreprise sont mises à jour si nécessaire.</t>
  </si>
  <si>
    <t>1146</t>
  </si>
  <si>
    <t>1147</t>
  </si>
  <si>
    <t>Pilotage des services externalisés et des prestations</t>
  </si>
  <si>
    <t>Le pilotage opérationnel des services IT externalisés et des prestations est structuré pour garantir la performance et l'amélioration des services fournis.</t>
  </si>
  <si>
    <t>Des indicateurs (KPI et SLA) ont été définis et mis en place pour mesurer la valeur apportée à l'organisation lors d'une externalisation de services.</t>
  </si>
  <si>
    <t>• Qualité de service (vélocité, agilité, etc.).
• Économie de moyens.
• Amélioration du bilan et du résultat financier.</t>
  </si>
  <si>
    <t>1152</t>
  </si>
  <si>
    <t>Un suivi des services externalisés et des prestations est organisé et adapté à la nature du service.</t>
  </si>
  <si>
    <t>• Une réception des prestations et services externalisés est mise en place afin de s'assurer de la conformité des livrables/services au contrat. Cette réception peut inclure notamment la vérification de la bonne documentation, de la conformité des profils intervenants au contrat (niveau d'expérience, certification), l'atteinte des niveaux de performance attendus, le respect des délais.
• Les attestations de services (type SOC / ISAE 3402) font l'objet d'une revue, et les non conformités identifiées font l'objet d'une analyse d'impact et d'un suivi avec le prestataire.
• Au besoin, des audits ad-hoc sont réalisés.
• Les points périodiques incluent la surveillance des indicateurs via des tableaux de bord accessibles aux parties prenantes.
• Des comptes rendus systématiques sont effectués après chaque point de gestion des services.
• La périodicité et le niveau de suivi dépendent de la criticité des services fournis.</t>
  </si>
  <si>
    <t>1153</t>
  </si>
  <si>
    <t>La gestion des incidents et des problèmes est structurée pour assurer une résolution efficace et pérenne.</t>
  </si>
  <si>
    <t>• Un processus est défini pour assurer la détection, la classification et la résolution des incidents.
• Ce processus intègre des jalons de communication adaptés à la criticité des incidents, assurant l’information des parties prenantes.
• Ce processus est conçu de manière à permettre le respect des exigences réglementaires associées (ex : fuite de données personnelles à déclarer dans les 72h dans le cadre du RGPD, incident majeur à notifier aux AES (Autorités Européennes de Surveillance, ACPR en France) dans les 4 heures qui suivent la classification de l'incident et sous 24 heures après sa détection dans le cadre de DORA, etc.).
• Un suivi des tendances des incidents est en place pour identifier et gérer les problèmes récurrents
• Tout événement ou écart pouvant avoir un impact sur le planning ou le montant du contrat doit faire l'objet d'une communication au niveau adapté pour permettre une prise de décision.</t>
  </si>
  <si>
    <t>1154</t>
  </si>
  <si>
    <t>Une revue périodique (au moins annuelle) des contrats est effectuée avec toutes les parties prenantes (directions métiers, DSI, Direction des achats).</t>
  </si>
  <si>
    <t>• Le comité de pilotage de chaque contrat permet de s'assurer périodiquement de l'alignement stratégique et opérationnel des services fournis et il inclut notamment :
- Une évaluation de la qualité des prestations, partagée avec les parties prenantes.
- Une évaluation des risques associés à la prestation et au fournisseur.
- Une évaluation des besoins d'évolution du service.
- Une évaluation de la qualité des livrables.</t>
  </si>
  <si>
    <t>1155</t>
  </si>
  <si>
    <t>Le dispositif prévoit un mode de prévention et de traitement des conflits potentiels.</t>
  </si>
  <si>
    <t>• Un processus pour le traitement des conflits est défini et connu par les parties (processus d'escalade, contacts, juridiction compétente).
• Des mesures de prévention des conflits ont été mises en place en fonction des risques identifiés. En cas d'offshoring notamment, on peut s’appuyer sur des mesures de prise en compte des différences culturelles et/ou sur un glossaire pour s'accorder sur le vocabulaire.</t>
  </si>
  <si>
    <t>1156</t>
  </si>
  <si>
    <t>L’analyse de la valeur du service est effectuée (par rapport aux objectifs initiaux).</t>
  </si>
  <si>
    <t>• Un bilan des services externalisés est fait, l’atteinte des résultats évaluée.
• La réalisation des économies attendues est évaluée et la maîtrise des coûts analysée (comparaison avec le business case et le retour sur investissement initialement attendu).
• La décision d'étendre ou de reconduire les services externalisés est instruite et prise avec le métier.</t>
  </si>
  <si>
    <t>1157</t>
  </si>
  <si>
    <t>Pour les contrats de type "as a service" où le paiement se fait à l'usage, un pilotage adapté est mis en place afin de s'assurer que l'évolution des consommations et des coûts reste maîtrisée.</t>
  </si>
  <si>
    <t>• Un processus d'autorisation est en place préalablement à l'activation d'un nouveau service.
• En cas d'écart significatif avec les coûts initialement prévus, une analyse causale est réalisée et des plans d'actions sont mis en place (usage du cloud plus important que prévu, hausse du coût des licences, etc.).</t>
  </si>
  <si>
    <t>Clôture et réversibilité</t>
  </si>
  <si>
    <t>La clôture et la gestion de la réversibilité des services externalisés ont été définies en fonction des enjeux métiers.</t>
  </si>
  <si>
    <t>La gestion de la connaissance a été organisée pour permettre l’exécution et la réversibilité.</t>
  </si>
  <si>
    <t xml:space="preserve">• Les connaissances relatives à la gestion des services externalisés sont capitalisées et développées pour :
- Piloter les contrats
- Auditer les prestations achetées
- Exercer la réversibilité des prestations   </t>
  </si>
  <si>
    <t>1162</t>
  </si>
  <si>
    <t>Le contrat inclut une clause décrivant les modalités détaillées de clôture et de réversibilité du service.</t>
  </si>
  <si>
    <t>• La capacité à gérer la réversibilité des services d’un partenaire vers un autre fournisseur ou leur réinternalisation doit être vérifiée (si nécessaire par la réalisation de tests).
• La réversibilité doit être définie dans les clauses contractuelles.
• Les modalités de clôture et de réversibilité doivent intégrer :
- Les modalités de restitution des données appartenant à l'entreprise, ainsi que la garantie de leur effacement en fin de contrat.
- La description des formations nécessaires pour que l'entreprise ou le repreneur puissent exploiter les données restituées (y compris la documentation).</t>
  </si>
  <si>
    <t>1163</t>
  </si>
  <si>
    <t>Lorsque les enjeux métiers le justifient, un plan de continuité d’activité (PCA) a été défini pour pallier les éventuelles défaillances lors de la phase de réversibilité.</t>
  </si>
  <si>
    <t>• Le PCA doit inclure les dépendances en termes de compétences, ainsi que les interdépendances de la prestation avec l'environnement SI de l'entreprise (interfaces, autres applications concernées, etc.).</t>
  </si>
  <si>
    <t>1164</t>
  </si>
  <si>
    <t>Les modalités de clôture et de réversibilité sont revues régulièrement.</t>
  </si>
  <si>
    <t>• Les éléments permettant la réversibilité (mécanisme de récupération des données, documentation, procédures opérationnelles, etc.) doivent être mis à jour de manière régulière avec le prestataire.
• Une fois par an, la DSI vérifie que le plan de réversibilité est à jour.
• Des tests de réversibilité et des audits de réversibilité sont programmés et effectués périodiquement (périodicité définie dans le contrat).</t>
  </si>
  <si>
    <t>1165</t>
  </si>
  <si>
    <t>1166</t>
  </si>
  <si>
    <t>1167</t>
  </si>
  <si>
    <t>Gestion des fournisseurs de matériels et logiciels</t>
  </si>
  <si>
    <t>La gestion des fournisseurs de matériels et de logiciels est organisée et suivie.</t>
  </si>
  <si>
    <t>Lien avec les vecteurs Risques et Conformité, Architecture et RSE</t>
  </si>
  <si>
    <t>La direction des achats et la direction juridique sont associées aux moments clés de l’acquisition (achat ou location) de matériels et logiciels.</t>
  </si>
  <si>
    <t>• Elles sont associées lors des différentes étapes, notamment : choix d'un fournisseur, contractualisation, revue avec le fournisseur, clôture du contrat, etc.</t>
  </si>
  <si>
    <t>1172</t>
  </si>
  <si>
    <t>Dans le cadre des projets, les choix des fournisseurs de matériels et logiciels suivent les recommandations en matière d'urbanisme, d'architecture technique de l'organisation et de RSE.</t>
  </si>
  <si>
    <t>• Dans le cadre d’achat de matériels et de logiciels, des points de validation technique doivent être mis en œuvre afin de s’assurer de leur cohérence avec l’existant.</t>
  </si>
  <si>
    <t>1173</t>
  </si>
  <si>
    <t>Il existe une gestion du parc matériel.</t>
  </si>
  <si>
    <t>• A minima :
- Une gestion des configurations est régulièrement mise à jour.
- Un inventaire de parc est réalisé une fois par an minimum.
- La maintenance matérielle est optimisée.
- Les sorties du parc matériel sont tracées.</t>
  </si>
  <si>
    <t>1174</t>
  </si>
  <si>
    <t>Il existe une gestion des actifs logiciels.</t>
  </si>
  <si>
    <t>• Des ressources sont allouées à cette fonction (Software Asset Management) et a minima : 
- Il existe un inventaire du parc logiciel à jour et optimisé afin de veiller à ce que le nombre de licences acquises corresponde à l'utilisation (les écarts sont régularisés et la maintenance logicielle est optimisée).
- Les licences sont gérées afin de limiter le risque juridique et financier en cas de contrôle par l'éditeur.
- Des exercices d'audit de licences sont au besoin réalisés afin de s'assurer de la conformité avec le contrat éditeur ou pour préparer un audit par un éditeur.
- Cf « Software Asset and Cloud Management », Cigref, 2018.</t>
  </si>
  <si>
    <t>1175</t>
  </si>
  <si>
    <t>La gestion des versions (versioning) et l'anticipation de l’obsolescence des matériels et logiciels sont organisées.</t>
  </si>
  <si>
    <t>• Un processus de veille est en place afin d'identifier les actifs informatiques obsolètes et le plan d'action associé (montée de version / remplacement).
• Un processus de montée de version existe et les fournisseurs sont associés lorsque l'opération est jugée critique.</t>
  </si>
  <si>
    <t>1176</t>
  </si>
  <si>
    <t>1177</t>
  </si>
  <si>
    <t>Proposer des services conformes aux attentes des clients</t>
  </si>
  <si>
    <t>Offre de service SI</t>
  </si>
  <si>
    <t xml:space="preserve">L'offre de services numériques proposée est claire et connue. </t>
  </si>
  <si>
    <t>La DSI a élaboré son offre de services techniques.</t>
  </si>
  <si>
    <t xml:space="preserve">Répondre aux besoins des métiers en prenant en compte l'ensemble des défis et des contraintes de l'entreprise (réglementaires, budgétaires, RSE, etc.). </t>
  </si>
  <si>
    <t xml:space="preserve">Perte de compétitivité ou exposition accrue à des risques (cybersécurité, conformité, coûts), résultant de besoins métiers non satisfaits ou d’une mauvaise affectation des ressources (sous ou sur-allocation). </t>
  </si>
  <si>
    <t>912</t>
  </si>
  <si>
    <t xml:space="preserve">L'offre de services a été définie avec les clients de la DSI en associant les utilisateurs finaux à son élaboration. </t>
  </si>
  <si>
    <t xml:space="preserve">• La DSI co-construit le catalogue de services avec ses clients sur la base de son offre de services techniques. </t>
  </si>
  <si>
    <t>Anticiper l’évolution des besoins et des usages des clients ou des utilisateurs et proposer une offre de services adaptée.</t>
  </si>
  <si>
    <t>Dégradation du fonctionnement des processus métiers notamment en termes de disponibilité, d’intégrité et de confidentialité.</t>
  </si>
  <si>
    <t>913</t>
  </si>
  <si>
    <r>
      <rPr>
        <sz val="11"/>
        <color indexed="49"/>
        <rFont val="Calibri"/>
      </rPr>
      <t>Services</t>
    </r>
  </si>
  <si>
    <t xml:space="preserve">L'offre de services présente les services, leurs conditions d’utilisation, les processus d'affectation ainsi que les unités d'œuvre permettant de les quantifier. </t>
  </si>
  <si>
    <t>• Cette description doit être intelligible et concertée avec le client.</t>
  </si>
  <si>
    <t>Exposition à des risques de pérennité, de cybersécurité, de conformité, et de coûts IT, liée à l’introduction par les utilisateurs de services non qualifiés par la DSI (shadow IT).</t>
  </si>
  <si>
    <t>914</t>
  </si>
  <si>
    <t xml:space="preserve">L'offre de services fait l’objet d’une actualisation régulière, basée sur les besoins de l'entreprise identifiés par un travail de veille, avec une attention particulière portée à la gestion de l’obsolescence. </t>
  </si>
  <si>
    <t>• Cette actualisation doit être effectuée en collaboration ou concertation avec le client, au moins une fois par an.</t>
  </si>
  <si>
    <t>915</t>
  </si>
  <si>
    <t>Les coûts de chaque service ainsi que leur décomposition sont connus et suivis, et leur évolution est régulièrement communiquée aux clients.</t>
  </si>
  <si>
    <t>• La qualité de cette communication est un élément essentiel dans la relation contractuelle interne.</t>
  </si>
  <si>
    <t>916</t>
  </si>
  <si>
    <t>La DSI est capable de relier les services délivrés avec les processus ou usages métiers auxquels ils se rattachent.</t>
  </si>
  <si>
    <t>917</t>
  </si>
  <si>
    <t>Demande client</t>
  </si>
  <si>
    <t>La DSI a mis en place un processus de gestion structuré de la demande client pour les services existants (Run).</t>
  </si>
  <si>
    <t>La DSI rencontre régulièrement ses clients pour identifier et actualiser leurs besoins et attentes.</t>
  </si>
  <si>
    <t>•  La fréquence minimale de ces rencontres est d’une fois par an.</t>
  </si>
  <si>
    <t>922</t>
  </si>
  <si>
    <t>Des indicateurs de suivi sont définis, ils font l’objet d’un reporting et d’échanges réguliers et formalisés avec les métiers, leur offrant une vision claire des services qui leur sont délivrés.</t>
  </si>
  <si>
    <t>• Les métiers disposent d’une vision de bout en bout et la DSI leur communique les outils ou indicateurs pour qu'ils puissent vérifier que les services délivrés sont conformes aux engagements pris.
• Le tableau de bord associé au contrat permet d’assurer une communication permanente avec le client. Sa fréquence est adaptée au service et doit être régulière pour qu’il soit un véritable outil de pilotage conjoint.
• La sensibilisation des métiers clients aux coûts de services leur permet de mieux comprendre la valeur ajoutée du service.</t>
  </si>
  <si>
    <t>923</t>
  </si>
  <si>
    <t>La DSI réalise des benchmarks lui permettant de comparer son offre de services à celle d’autres entreprises du même secteur d’activité et de taille comparable, voire même à l’offre de prestataires externes.</t>
  </si>
  <si>
    <t>• Dans les faits, cette démarche vise à questionner la capacité de la DSI à maîtriser ses coûts et à les autoévaluer. 
• Cf : Modèle de pilotage économique et écologique de l’IT, Cigref, 2022</t>
  </si>
  <si>
    <t>924</t>
  </si>
  <si>
    <t>925</t>
  </si>
  <si>
    <t>926</t>
  </si>
  <si>
    <t>927</t>
  </si>
  <si>
    <t>Contrats de services</t>
  </si>
  <si>
    <t>La DSI a mis en place des contrats de services.</t>
  </si>
  <si>
    <t>Lien avec le vecteur Prestataires &amp; fournisseurs</t>
  </si>
  <si>
    <t>Les engagements de niveau de service ou Service level agreement (SLA) sont partagés avec les clients.</t>
  </si>
  <si>
    <t>932</t>
  </si>
  <si>
    <t>Les services délivrés à une fonction de l’entreprise ou à un processus particulier sont regroupés dans un contrat de services passé entre la DSI et l’entité concernée.</t>
  </si>
  <si>
    <t>• La DSI a notamment défini avec les utilisateurs, dans ses contrats de services, la durée et la plage horaire de l’interruption acceptable, et le processus de décision de passage en mode dégradé en cas d’interruption prolongée. On doit s’assurer que le contrat de services est en cohérence avec la gestion de crise et avec les plans de continuité d’activité (PCA) et de reprise d’activité (PRA). Cf Critère 3 de la bonne pratique 5 de ce vecteur.</t>
  </si>
  <si>
    <t>933</t>
  </si>
  <si>
    <t>Les niveaux de service convenus avec les clients de la DSI et avec les métiers sont déclinés dans les contrats de sous-traitance.</t>
  </si>
  <si>
    <t>934</t>
  </si>
  <si>
    <t>Les contrats de services sont rédigés avec les clients de la DSI et font formellement apparaître les accords respectifs. Leur formulation est intelligible par les deux parties.</t>
  </si>
  <si>
    <t>• Il s’agit de formaliser un accord de collaboration où chacun connaît les enjeux de l’autre et accepte ses contraintes.</t>
  </si>
  <si>
    <t>935</t>
  </si>
  <si>
    <t>Le contrat fait figurer l’objectif et les attentes du client ainsi que les devoirs et obligations de chaque partie prenante.</t>
  </si>
  <si>
    <t>• La prise en compte des aspects réglementaires est à intégrer également.</t>
  </si>
  <si>
    <t>936</t>
  </si>
  <si>
    <t xml:space="preserve">Le contrat est régulièrement actualisé, tant en termes de type de services que de structure de coûts. </t>
  </si>
  <si>
    <t>937</t>
  </si>
  <si>
    <t>Activité de production</t>
  </si>
  <si>
    <t>La DSI pilote ses activités de production et de support à l’aide d’un tableau de bord.</t>
  </si>
  <si>
    <t>La DSI a mis en place des ressources et des outils pour gérer et superviser la production, les changements, les configurations, les incidents et les problèmes, les données, les environnements, etc.</t>
  </si>
  <si>
    <t>• La DSI a décrit son organisation et cartographié ses processus internes dans ces domaines. Elle doit pouvoir justifier du pilotage de ses activités au travers de tableaux de bord ou indicateurs ou instances de pilotage. Par ailleurs, elle s’assure de la conformité aux certifications obligatoires de son secteur.</t>
  </si>
  <si>
    <t>942</t>
  </si>
  <si>
    <t>La DSI maîtrise les changements programmés et les interruptions prévisibles de services.</t>
  </si>
  <si>
    <t>• La DSI est capable d’analyser l’impact des dégradations de performance ou des interruptions de services sur les activités de ses clients. Les travaux programmés sont convenus avec le métier.</t>
  </si>
  <si>
    <t>943</t>
  </si>
  <si>
    <t xml:space="preserve">La DSI communique efficacement avec ses clients en cas d’incident. </t>
  </si>
  <si>
    <t>• La DSI a une connaissance actualisée des organisations et réseaux d’utilisateurs potentiellement impactés par l’incident. Les moyens de communication doivent être adaptés au type d’incident.
• La DSI a mis en place des dispositifs pour se conformer aux exigences réglementaires en cas d'incident.</t>
  </si>
  <si>
    <t>944</t>
  </si>
  <si>
    <t>945</t>
  </si>
  <si>
    <t>946</t>
  </si>
  <si>
    <t>947</t>
  </si>
  <si>
    <t>Amélioration continue de services</t>
  </si>
  <si>
    <t>La DSI a mis en place un processus d’amélioration continue basé sur la qualité perçue par l’utilisateur.</t>
  </si>
  <si>
    <t>La DSI a mis en place des outils de mesure du bon fonctionnement et de la performance de ses services, avec un processus de collecte des réclamations et incidents relatifs aux services délivrés aux clients.</t>
  </si>
  <si>
    <t>• La collecte des réclamations est le point de départ du processus d’amélioration continue.</t>
  </si>
  <si>
    <t>952</t>
  </si>
  <si>
    <t>La DSI mesure la satisfaction des utilisateurs via des questionnaires sur la qualité du service lors de sa livraison (ex : NPS, Net Promoter Score).</t>
  </si>
  <si>
    <t xml:space="preserve">• De préférence, ces enquêtes doivent être réalisées par un tiers.
• Les tableaux de bord et enquêtes sont à partager avec les instances clientes. </t>
  </si>
  <si>
    <t>953</t>
  </si>
  <si>
    <t>La DSI a mis en place un processus d’amélioration continue basé sur la qualité de service mesurée et perçue.</t>
  </si>
  <si>
    <t>954</t>
  </si>
  <si>
    <t>Les réclamations ou incidents remontés et les écarts constatés par rapport aux engagements font l’objet d’analyses régulières et de dispositifs de résolution réduisant leurs occurrences futures.</t>
  </si>
  <si>
    <t>955</t>
  </si>
  <si>
    <t>Un tableau de bord de suivi de la qualité de services est établi à partir des indicateurs mentionnés au contrat de services (performance, résolutions d’incidents, etc.).</t>
  </si>
  <si>
    <t>• Les indicateurs sont communiqués à travers des tableaux de bord diffusés aux acteurs responsables de la DSI et aux clients concernés.</t>
  </si>
  <si>
    <t>956</t>
  </si>
  <si>
    <t>Les indicateurs de mesure de la qualité et les enquêtes de satisfaction participent à l’évolution des contrats de services.</t>
  </si>
  <si>
    <t>• Les points d’amélioration issus de l’enquête de satisfaction sont traités avec les clients de la DSI de manière à adapter les services.</t>
  </si>
  <si>
    <t>957</t>
  </si>
  <si>
    <t>La DSI valorise la mise en œuvre d’approches innovantes dans la délivrance de ses services.</t>
  </si>
  <si>
    <t>• L’innovation est intégrée dans le processus d’amélioration continue. Des challenges innovation ou hackathons peuvent être co-initiés de manière à améliorer les services ou créer de nouveaux services. Les clients peuvent être sollicités pour tester des idées innovantes.</t>
  </si>
  <si>
    <t>Piloter la performance économique, opérationnelle et écologique du SI.</t>
  </si>
  <si>
    <t>Objectifs de performance</t>
  </si>
  <si>
    <t>La DSI a défini ses objectifs prioritaires en mettant en évidence leur contribution à ceux de l'entreprise et en les structurant, par exemple selon les volets de l'IT SCORECARD définis par l'ISACA France.</t>
  </si>
  <si>
    <t>Lien avec le vecteur Stratégie</t>
  </si>
  <si>
    <r>
      <rPr>
        <sz val="11"/>
        <color indexed="8"/>
        <rFont val="Calibri"/>
      </rPr>
      <t>Les objectifs de la DSI sont définis conjointement avec les métiers, notamment en ce qui concerne la performance des processus informatiques (</t>
    </r>
    <r>
      <rPr>
        <i val="1"/>
        <sz val="11"/>
        <color indexed="8"/>
        <rFont val="Calibri"/>
      </rPr>
      <t>build, run</t>
    </r>
    <r>
      <rPr>
        <sz val="11"/>
        <color indexed="8"/>
        <rFont val="Calibri"/>
      </rPr>
      <t>, évolutions).</t>
    </r>
  </si>
  <si>
    <t>Contribuer à l’atteinte des objectifs de performance de l’entreprise (financiers, opérationnels, réglementaires, et enjeux ESG).</t>
  </si>
  <si>
    <t>Sur-qualité des services par rapport au besoin réel.</t>
  </si>
  <si>
    <t>1212</t>
  </si>
  <si>
    <t>Les objectifs de la DSI sont définis conjointement avec les clients, notamment en ce qui concerne la maîtrise des coûts des services informatiques fournis.</t>
  </si>
  <si>
    <r>
      <rPr>
        <sz val="11"/>
        <color indexed="8"/>
        <rFont val="Calibri"/>
      </rPr>
      <t>Maîtriser le coût de possession et le coût de transformation du SI (</t>
    </r>
    <r>
      <rPr>
        <i val="1"/>
        <sz val="11"/>
        <color indexed="8"/>
        <rFont val="Calibri"/>
      </rPr>
      <t>build/run</t>
    </r>
    <r>
      <rPr>
        <sz val="11"/>
        <color indexed="8"/>
        <rFont val="Calibri"/>
      </rPr>
      <t xml:space="preserve"> et transformation).</t>
    </r>
  </si>
  <si>
    <t>Sous-estimation de l’impact de la transformation du modèle de sourcing de la DSI (sous-estimation des changements, ex : Move to cloud).</t>
  </si>
  <si>
    <t>1213</t>
  </si>
  <si>
    <r>
      <rPr>
        <sz val="11"/>
        <color indexed="49"/>
        <rFont val="Calibri"/>
      </rPr>
      <t>Budget &amp; performance</t>
    </r>
  </si>
  <si>
    <t>Les objectifs de la DSI sont définis conjointement avec les clients, notamment en ce qui concerne la gestion des compétences informatiques et la préparation du futur.</t>
  </si>
  <si>
    <t>Associer les instances internes (direction générale, métiers et DSI) au pilotage de la performance du SI et du numérique.</t>
  </si>
  <si>
    <t>Sous-estimation de l’impact des nouvelles technologies, de la menace cyber, de la dette technique…</t>
  </si>
  <si>
    <t>1214</t>
  </si>
  <si>
    <t>Les objectifs de la DSI sont définis conjointement avec les clients, notamment en ce qui concerne l’identification et la gestion des risques liés aux systèmes d’information.</t>
  </si>
  <si>
    <t>Impliquer les parties prenantes externes dans une démarche de performance partagée et de transparence contractuelle.</t>
  </si>
  <si>
    <t>Manque de processus structuré assurant le suivi de la performance opérationnelle et financière du SI.</t>
  </si>
  <si>
    <t>1215</t>
  </si>
  <si>
    <t>Les objectifs de la DSI sont définis conjointement avec les clients, notamment en ce qui concerne les enjeux de conformité et de responsabilité sociétale et environnementale (RSE).</t>
  </si>
  <si>
    <t>Donner de la visibilité à la direction générale sur l’efficacité du numérique dans l’entreprise.</t>
  </si>
  <si>
    <t>1216</t>
  </si>
  <si>
    <t>Les objectifs de la DSI sont définis conjointement avec les clients, notamment en ce qui concerne sa contribution à la génération de valeur pour l’entreprise.</t>
  </si>
  <si>
    <t>1217</t>
  </si>
  <si>
    <t>Les objectifs de la DSI sont communiqués à toutes les parties prenantes (collaborateurs de la DSI, clients internes ou externes, comités de direction des autres directions, direction générale, partenaires, etc.).</t>
  </si>
  <si>
    <t>1218</t>
  </si>
  <si>
    <t>Les objectifs sont revus régulièrement (au moins annuellement) à partir des mesures observées et de leur niveau d'atteinte, et au regard de la stratégie de l'entreprise et de son évolution.</t>
  </si>
  <si>
    <t>--&gt; Du au fait qu'on ait un critère 8</t>
  </si>
  <si>
    <t>Des indicateurs de mesure de la performance du SI sont définis et le niveau d'atteinte des objectifs de la DSI est suivi et partagé régulièrement avec les parties prenantes.</t>
  </si>
  <si>
    <t>Lien avec les vecteurs Prestataires &amp; fournisseurs, Services, RSE et Risques &amp; conformité</t>
  </si>
  <si>
    <t>Des indicateurs de mesure de la performance (quantitatifs et qualitatifs) sont formalisés dans des tableaux de bord. Ils permettent de mesurer le niveau d'atteinte des objectifs du numérique.</t>
  </si>
  <si>
    <t xml:space="preserve">• L’IT SCORECARD publié par ISACA France peut être utilisé pour trouver des exemples d’indicateurs.
• Ces indicateurs sont formellement définis. Pour les aspects quantitatifs, les données servant à la mesure de l'indicateur doivent être extraites, si possible de façon automatisée, du ou des SI existants. </t>
  </si>
  <si>
    <t>1222</t>
  </si>
  <si>
    <t>Des valeurs cibles d'amélioration ou des seuils d'alerte sont associés aux indicateurs de mesure de la performance.</t>
  </si>
  <si>
    <t>• Les indicateurs doivent permettre de mesurer : 
- les engagements de service négociés avec les métiers (performance) ; 
- la satisfaction des utilisateurs (perception) ; 
- la performance environnementale du numérique ; 
- le niveau de conformité par rapport aux exigences réglementaires, aux engagements contractuels et aux politiques internes (sécurité, RSE, architecture, etc.).</t>
  </si>
  <si>
    <t>1223</t>
  </si>
  <si>
    <t>Des moyens de mesure et de contrôle de l’atteinte des objectifs (définition d’indicateurs, mesures régulières) sont en place au niveau de la DSI avec les parties prenantes concernées.</t>
  </si>
  <si>
    <t>• La DSI analyse les résultats de ces indicateurs et leur écart par rapport aux objectifs afin de mettre en œuvre les actions correctives éventuelles.</t>
  </si>
  <si>
    <t>1224</t>
  </si>
  <si>
    <t>Les indicateurs de mesure de la performance sont revus et mis à jour régulièrement (changements de stratégie ou d’objectifs de l'entreprise ou de la DSI) afin de permettre des améliorations de cette mesure.</t>
  </si>
  <si>
    <t>• Les règles de gestion des indicateurs doivent résulter de règles de gestion communes et partagées pour constituer une base de décision et alimenter les décisions.</t>
  </si>
  <si>
    <t>1225</t>
  </si>
  <si>
    <t>Les indicateurs de performance sont consolidés dans des tableaux de bord qui sont partagés régulièrement avec les parties prenantes et la direction générale dans un format adapté en faisant apparaître la contribution de chacun.</t>
  </si>
  <si>
    <t>• Dans un but de transparence et d'amélioration de la communication, la DSI publie et partage périodiquement, avec les parties prenantes et la direction générale, des tableaux de bord restituant de façon synthétique les niveaux et les tendances de ces indicateurs.
• La publication doit être faite « au fil de l'eau » pour donner une vision la plus à jour possible de la performance.
• Ces tableaux de bord peuvent être également partagés avec les collaborateurs de la DSI à des fins de management.</t>
  </si>
  <si>
    <t>1226</t>
  </si>
  <si>
    <t>1227</t>
  </si>
  <si>
    <t>Budget</t>
  </si>
  <si>
    <t>La DSI met en œuvre un processus de gestion budgétaire permettant de gérer les arbitrages avec la direction générale et les directions métiers et parties prenantes, relatif aux projets, aux évolutions et au fonctionnement récurrent.</t>
  </si>
  <si>
    <t>Un budget consolidant l'ensemble des coûts de la DSI est établi.</t>
  </si>
  <si>
    <t>1232</t>
  </si>
  <si>
    <t>Les coûts sont consolidés par périmètre de responsabilité.</t>
  </si>
  <si>
    <t>1233</t>
  </si>
  <si>
    <t>Un budget consolidant l’ensemble des coûts de la filière numérique existe.</t>
  </si>
  <si>
    <t>• Ce budget consolidé recouvre non seulement les coûts placés sous la responsabilité de la DSI, mais aussi ceux d’entités ou de correspondants informatiques rattachés à des directions opérationnelles ou fonctionnelles.</t>
  </si>
  <si>
    <t>1234</t>
  </si>
  <si>
    <t>Le budget du numérique est construit sur la base de natures de dépenses qui lui sont propres, il est ventilé par centre de responsabilité pour faciliter le pilotage.</t>
  </si>
  <si>
    <t>1235</t>
  </si>
  <si>
    <t>Le budget du numérique permet d'identifier les ressources allouées aux projets (transformation), à la maintenance évolutive, et aux autres coûts récurrents, en particulier la production informatique.</t>
  </si>
  <si>
    <t>• Cette distinction en 3 parties est essentielle car chacune se pilote selon un mode différent : run, change et build.
• Pour les projets ou build, il s’agit d’un investissement qui doit être « rentable » pour l'entreprise.
• Pour le récurrent ou run, on est plus proche d'une « usine » de production de services (placée sous la responsabilité hiérarchique ou fonctionnelle de la DSI) dont les coûts doivent être optimisés.
• Pour la gestion des changements ou change, il s’agit de la maintenance évolutive arbitrée dans le cadre d'une enveloppe capacitaire entre la DSI et les métiers. Les évolutions doivent être encadrées par un budget négocié par domaine applicatif.
• L'approche agile amène à regrouper les 3 familles et à se concentrer sur la valeur pour prioriser.</t>
  </si>
  <si>
    <t>1236</t>
  </si>
  <si>
    <t>L'organisation a mis en place un processus budgétaire. Il est formalisé et clarifie les rôles et les responsabilités.</t>
  </si>
  <si>
    <t>1237</t>
  </si>
  <si>
    <t>Le numérique fait l'objet d'un processus budgétaire dédié. Les rôles et responsabilités du processus budgétaire sont formellement attribués (cadrage, élaboration, suivi des écarts, mises à jour, …). Il existe un processus d'arbitrage clairement défini.</t>
  </si>
  <si>
    <t>• Pour faire fonctionner ce processus, la mise en place d'un contrôle de gestion du numérique est recommandée.
• Ce contrôle de gestion contribuera à l'élaboration du budget et à ses révisions, suivra les réalisations par nature et périmètre et par destination en les comparant à la fois au budget et aux réalisations des années précédentes.
• Le processus budgétaire doit inclure la définition des règles d'immobilisation en relation avec la direction financière (Capex/Opex, projets, durée d'amortissement, etc...).
• Les critères de priorisation des projets numériques sont revus de façon régulière.
• Le processus de décision et de priorisation est adapté au mode agile.
• L'allocation des ressources tient compte des différents types d'approvisionnements qu’ils soient internes ou externes (par exemple les services cloud).</t>
  </si>
  <si>
    <t>Coûts complets des services</t>
  </si>
  <si>
    <t>La DSI calcule le coût complet des prestations du catalogue de services fournis à ses clients, en le décomposant en coûts unitaires et en volumes, afin de co-responsabiliser les métiers sur les coûts du numérique.</t>
  </si>
  <si>
    <t>Un catalogue de services a été défini en relation avec les clients de la DSI et couvre la totalité des prestations fournies.</t>
  </si>
  <si>
    <t>• Ce catalogue est « orienté client » (lisible et compréhensible par le métier).
• Il comprend la mise à disposition des postes de travail, des applications, ainsi que la réalisation des évolutions et des projets.
• Il peut comprendre également des prestations : conseil, expertise, etc.
• Il se situe à un niveau auquel il est possible de prendre des engagements de type SLA (Service Level Agreements).</t>
  </si>
  <si>
    <t>1242</t>
  </si>
  <si>
    <t>La DSI a identifié l'ensemble de ses activités et en maîtrise les coûts, les managers de la DSI comprennent leur contribution au coût complet des services fournis afin de pouvoir les piloter en agissant sur les leviers d'action dont ils ont la responsabilité.</t>
  </si>
  <si>
    <t>• Le Modèle de pilotage économique et écologique de l'IT du Cigref peut fournir une liste type d'activités qu'on retrouve dans toutes les DSI.
• Les dépenses sont affectées par centre de responsabilité et réparties par nature d'activité.</t>
  </si>
  <si>
    <t>1243</t>
  </si>
  <si>
    <t>Le coût unitaire des services numériques fournis est calculé avec une méthode documentée et transparente, permettant d’en expliquer les composantes et d’en garantir la traçabilité.</t>
  </si>
  <si>
    <t>• On peut utiliser une méthode reconnue de type Activity Based Costing (ABC), qui doit permettre d'expliquer clairement ses évolutions et de les piloter.
• Le calcul de coûts unitaires justifiables, par exemple en application de la méthode ABC, doit permettre de : 
- Réfléchir avec les clients de la DSI sur le coût des exigences en matière de SLA, le décommissionnement éventuel de certaines applications sur la base d'un coût par utilisateur ou par unité d'oeuvre, etc.,
- Facturer aux clients de la DSI le coût des services,
- Faciliter la réalisation de benchmarking,
- Mettre en évidence la productivité de la DSI (évolution du coût unitaire par inducteur des services fournis).
• Les managers de la DSI disposent d’une vision claire du coût complet des services fournis, leur permettant d’en assurer le pilotage à travers les leviers relevant de leur responsabilité.</t>
  </si>
  <si>
    <t>1244</t>
  </si>
  <si>
    <t>Une revue et une optimisation régulière des coûts unitaires est mise en œuvre.</t>
  </si>
  <si>
    <t>• Celle-ci peut s'appuyer sur du benchmark.</t>
  </si>
  <si>
    <t>1245</t>
  </si>
  <si>
    <t>Une démarche FinOps est mise en œuvre au sein de la DSI.</t>
  </si>
  <si>
    <t>1246</t>
  </si>
  <si>
    <t>1247</t>
  </si>
  <si>
    <t>Pilotage du portefeuille de projets</t>
  </si>
  <si>
    <r>
      <rPr>
        <sz val="11"/>
        <color indexed="8"/>
        <rFont val="Calibri"/>
      </rPr>
      <t xml:space="preserve">L'organisation a mis en place un processus de pilotage du portefeuille de projets fondé sur le suivi de la réalisation des </t>
    </r>
    <r>
      <rPr>
        <i val="1"/>
        <sz val="11"/>
        <color indexed="8"/>
        <rFont val="Calibri"/>
      </rPr>
      <t>business cases</t>
    </r>
    <r>
      <rPr>
        <sz val="11"/>
        <color indexed="8"/>
        <rFont val="Calibri"/>
      </rPr>
      <t>.</t>
    </r>
  </si>
  <si>
    <t>L'entreprise ou la DSI a défini des critères de mesure de la performance des projets et du portefeuille, critères qui comprennent l’alignement aux priorités de l'entreprise et la possibilité de benchmarker la nature des investissements réalisés.</t>
  </si>
  <si>
    <t>• Les critères de mesure de la performance constituent un référentiel partagé au sein de l'organisation.</t>
  </si>
  <si>
    <t>1252</t>
  </si>
  <si>
    <t>Pilotage du portefeuille des projets</t>
  </si>
  <si>
    <t>L'organisation a mis en place un processus de pilotage du portefeuille de projets fondé sur le suivi de la réalisation des business cases</t>
  </si>
  <si>
    <t>Le suivi des projets est articulé avec la gestion opérationnelle du portefeuille de projets. Ce suivi inclut les coûts, les délais, les risques, et les fonctionnalités délivrées. Il est adapté aux différentes méthodes projets, notamment la méthode agile, le cycle en V., etc.</t>
  </si>
  <si>
    <t>1253</t>
  </si>
  <si>
    <t>L'appréciation de la performance du projet tient compte de la valeur générée.</t>
  </si>
  <si>
    <t>1254</t>
  </si>
  <si>
    <t>Un tableau de bord de suivi des projets existe et est partagé avec les directions métiers ainsi que toutes les parties prenantes concernées.</t>
  </si>
  <si>
    <t>• Idéalement, le suivi opérationnel et le suivi économique s’appuient sur un outil de suivi partagé, ou a minima sur un référentiel partagé.</t>
  </si>
  <si>
    <t>1255</t>
  </si>
  <si>
    <t>Les écarts entre réalisation et prévision sont remontés aux instances de pilotage adéquates, afin de mesurer la réalisation de la valeur attendue.</t>
  </si>
  <si>
    <t>1256</t>
  </si>
  <si>
    <r>
      <rPr>
        <sz val="11"/>
        <color indexed="8"/>
        <rFont val="Calibri"/>
      </rPr>
      <t xml:space="preserve">Le </t>
    </r>
    <r>
      <rPr>
        <i val="1"/>
        <sz val="11"/>
        <color indexed="8"/>
        <rFont val="Calibri"/>
      </rPr>
      <t>business case</t>
    </r>
    <r>
      <rPr>
        <sz val="11"/>
        <color indexed="8"/>
        <rFont val="Calibri"/>
      </rPr>
      <t xml:space="preserve"> fait l’objet d’une mise à jour si les écarts constatés le justifient.</t>
    </r>
  </si>
  <si>
    <t>1257</t>
  </si>
  <si>
    <t>Valeur</t>
  </si>
  <si>
    <t>L'organisation a mis en œuvre un cadre de définition de la valeur du numérique et déploie les processus de contrôle nécessaires.</t>
  </si>
  <si>
    <t>L'entreprise a défini les critères de mesure de la valeur et ces critères sont partagés au sein de l'organisation.</t>
  </si>
  <si>
    <t>• Outre les aspects financiers, la valeur prend notamment en compte la dimension RSE.</t>
  </si>
  <si>
    <t>1262</t>
  </si>
  <si>
    <t>La valeur des services du catalogue est mesurée et questionnée à fréquence régulière.</t>
  </si>
  <si>
    <t>1263</t>
  </si>
  <si>
    <t>La valeur est un critère de pilotage pour les projets et le portefeuille de projets.</t>
  </si>
  <si>
    <t>1264</t>
  </si>
  <si>
    <t>Une mesure de la valeur est présente dans le tableau de bord du SI.</t>
  </si>
  <si>
    <t>1265</t>
  </si>
  <si>
    <t>1266</t>
  </si>
  <si>
    <t>1267</t>
  </si>
  <si>
    <t>Promouvoir les apports du numérique au sein de l'organisation</t>
  </si>
  <si>
    <t>Marketing de la DSI</t>
  </si>
  <si>
    <t>La DSI définit sa « raison d'être » et organise son propre marketing.</t>
  </si>
  <si>
    <t>La raison d'être de la DSI est communiquée et partagée. Elle est en ligne avec la stratégie de l'organisation.</t>
  </si>
  <si>
    <t>Développer la confiance à l'égard du numérique au sein de l'organisation.</t>
  </si>
  <si>
    <t>Usages et réalisations non contrôlés, potentiellement risqués (conformité, menace cyber...), induits par une communication insuffisante ou absente.</t>
  </si>
  <si>
    <t>1312</t>
  </si>
  <si>
    <t>Cette raison d'être recouvre les notions d'identité, de vision, d'ambition et de valeur, portées par la DSI.</t>
  </si>
  <si>
    <t>Promouvoir les innovations numériques et les nouveaux usages pour sensibiliser et acculturer.</t>
  </si>
  <si>
    <t>Manque d’attractivité de la DSI en interne et externe à l'organisation, notamment pour recruter ou retenir les collaborateurs au sein de l'organisation.</t>
  </si>
  <si>
    <t>1313</t>
  </si>
  <si>
    <r>
      <rPr>
        <sz val="11"/>
        <color indexed="49"/>
        <rFont val="Calibri"/>
      </rPr>
      <t>Marketing &amp; communication</t>
    </r>
  </si>
  <si>
    <t>La raison d'être est régulièrement actualisée.</t>
  </si>
  <si>
    <t>Faciliter l'adhésion des collaborateurs de l'organisation aux usages et aux transformations numériques.</t>
  </si>
  <si>
    <t>Dégradation de l'image du SI.</t>
  </si>
  <si>
    <t>1314</t>
  </si>
  <si>
    <t>La raison d'être est perçue et incarnée dans les différentes communications (internes et externes).</t>
  </si>
  <si>
    <t>• Elle contribue également à la réputation et à l'attractivité externe.</t>
  </si>
  <si>
    <t>Positionner la DSI comme un acteur stratégique.</t>
  </si>
  <si>
    <t>1315</t>
  </si>
  <si>
    <t>Le marketing de la DSI est organisé à destination de deux cibles principales : les collaborateurs internes à la DSI, l'ensemble des collaborateurs de l'organisation.</t>
  </si>
  <si>
    <t>• Des enquêtes (internes et externes à la DSI) peuvent être organisées pour mesurer la perception de la raison d'être de la DSI par les parties prenantes.</t>
  </si>
  <si>
    <t>Contribuer à la valorisation de l'organisation (via la communication externe).</t>
  </si>
  <si>
    <t>1316</t>
  </si>
  <si>
    <t>Un plan marketing est défini et son exécution est pilotée par la direction ou le management de la DSI.</t>
  </si>
  <si>
    <t>1317</t>
  </si>
  <si>
    <t>Marketing des services</t>
  </si>
  <si>
    <t>La DSI organise le marketing de ses services auprès de ses clients.</t>
  </si>
  <si>
    <t>Lien avec le vecteur Services.</t>
  </si>
  <si>
    <t>Un plan marketing des services est bâti et mis en place.</t>
  </si>
  <si>
    <t>• Le plan marketing peut être mis en place par la DSI ou par la fonction marketing de la DSI.
• Le plan marketing inclut la promotion des services.
• La DSI développe la connaissance des clients et utilisateurs (audience, segmentations, profilage, etc.).
• Le parcours client est connu, analysé et régulièrement mis à jour.
• Les projets SI sont accompagnés dans la conduite du changement.</t>
  </si>
  <si>
    <t>1322</t>
  </si>
  <si>
    <t>La DSI assure une promotion régulière du catalogue de services.</t>
  </si>
  <si>
    <t>• L’offre de services et le catalogue de services de la DSI sont valorisés auprès des utilisateurs.
• La fonction marketing de la DSI définit, valorise, rationalise et publie l’offre de services de la DSI.
• La qualité de service et l’expérience client sont régulièrement mises en avant auprès des clients et utilisateurs (satisfaction, respect des SLAs, communication sur les incidents, etc).
• Des « clubs utilisateurs » et des événements autour des projets/services de la DSI sont organisés et animés.
• Une météo des services est mise en place.</t>
  </si>
  <si>
    <t>1323</t>
  </si>
  <si>
    <t>La DSI mesure et améliore la satisfaction des utilisateurs.</t>
  </si>
  <si>
    <t>• La DSI mesure régulièrement et améliore la satisfaction des clients et des utilisateurs du SI (enquêtes utilisateurs, enquête à chaud, support, etc.).
• Des indicateurs de performance du marketing de la DSI sont définis et suivis.</t>
  </si>
  <si>
    <t>1324</t>
  </si>
  <si>
    <t>La DSI évalue l'adoption des services par les utilisateurs.</t>
  </si>
  <si>
    <t>• Une veille régulière est assurée par le biais de clubs utilisateurs et permet de monitorer les points d'améliorations.
• Des retours d’expérience sont organisés sur les événements et situations identifiés par le feedback.
• Des indicateurs de pilotage sont utilisés pour mesurer l’adoption et la satisfaction des services numériques : taux d’adhésion aux nouveaux services, indice de satisfaction client, nombre d’événements clients et utilisateurs organisés.
• Des guildes, ou communautés sont mises en place afin de fédérer les équipes autour de projets communs et de permettre la diffusion des bonnes pratiques.
• Une communication régulière visant à promouvoir l'hygiène numérique (cybersécurité) est mise en place.</t>
  </si>
  <si>
    <t>1325</t>
  </si>
  <si>
    <t>Le plan marketing fait l'objet d'un pilotage et d'un suivi régulier et actualisé.</t>
  </si>
  <si>
    <t>• Un comité de pilotage est mis en place.
• Il actualise au moins une fois par an une revue de ce qui a été réalisé, mis à jour, etc.</t>
  </si>
  <si>
    <t>1326</t>
  </si>
  <si>
    <t>1327</t>
  </si>
  <si>
    <t>Plan de communication du numérique</t>
  </si>
  <si>
    <t>La DSI communique selon un plan de communication formalisé, structuré et partagé.</t>
  </si>
  <si>
    <t>Lien avec les vecteurs Stratégie et RSE.</t>
  </si>
  <si>
    <t>Le plan de communication du numérique est aligné sur les enjeux de marketing de la DSI et des services du numérique, il est formalisé et partagé avec les parties prenantes.</t>
  </si>
  <si>
    <t>• Le plan de communication identifie et segmente toutes les populations avec lesquelles la DSI communique. (collaborateurs, chefs de projets, acteurs de la DSI, autres acteurs de l’organisation incluant la direction générale, utilisateurs finaux, etc.).
• Le plan de communication doit préciser les axes de communication, ceux-ci sont alignés avec la raison d'être, les enjeux et la stratégie de l'organisation.
• Le plan de communication est validé par la direction générale, il est diffusé et fait l’objet d’une actualisation une fois par an.
• La DSI intègre les enjeux de communication du numérique comme un élément à part entière de sa mission et les inscrit explicitement à son agenda.
• Les responsables des différentes fonctions du SI sont associés à la conception, à la réalisation et à la diffusion de la communication.</t>
  </si>
  <si>
    <t>1332</t>
  </si>
  <si>
    <t>Le plan de communication du numérique est aligné sur le plan de communication de l'organisation.</t>
  </si>
  <si>
    <t>• La communication de la DSI doit être pensée en cohérence avec la stratégie de communication globale. Cette cohérence est garante de son efficacité.</t>
  </si>
  <si>
    <t>1333</t>
  </si>
  <si>
    <t>Le plan de communication différencie les populations ciblées (collaborateurs de la DSI, utilisateurs, métiers, externes à l'organisation) ainsi que les finalités de la communication.</t>
  </si>
  <si>
    <t>• La communication externe à l'organisation, lorsqu'elle porte sur le numérique, est intégrée au plan de communication global de l'organisation.
• Les communications différenciées comprennent notamment la promotion de nouveaux usages, (sensibilisation à la cybersécurité etc…)</t>
  </si>
  <si>
    <t>1334</t>
  </si>
  <si>
    <t>Le plan de communication prend en compte les dimensions d'innovation, de transformation numérique, de cybersécurité, et de numérique responsable.</t>
  </si>
  <si>
    <t>• Chaque action de communication explicite la finalité d'une action ou d'un projet, c'est-à-dire sa contribution à la stratégie de l’organisation, en se basant sur des exemples concrets de réalisations et sur la valeur apportée.
• La DSI communique sur sa contribution à la politique RSE de l’organisation (mixité, handicap, environnement, énergie, etc.).</t>
  </si>
  <si>
    <t>1335</t>
  </si>
  <si>
    <t>Les actions de communication et les moyens utilisés sont adaptés aux populations ciblées et à la finalité.</t>
  </si>
  <si>
    <t>• Les moyens de communication sont variés : diffusion d'information (mail, newsletter), animation de communautés, webinars, etc.
• La communication est proactive et qualitative.
• Différents canaux de communication sont mis en œuvre et utilisés en fonction de la typologie de communication et de la population cible, en privilégiant les canaux de communication internes habituels de l'organisation.</t>
  </si>
  <si>
    <t>1336</t>
  </si>
  <si>
    <t>Des actions sont mises en place régulièrement afin de mesurer l’impact et l’efficacité de la communication, et ces mesures sont utilisées dans la mise à jour du plan de communication.</t>
  </si>
  <si>
    <t>• Des retours d’expérience permettent d’améliorer la communication.
• Des moyens d’évaluation spécifiques à la communication sont utilisés : enquêtes de perception, taux d’ouverture ou de participation, mesure de la compréhension des messages.
• La DSI communique sur sa contribution à la politique RSE de l’organisation (mixité, handicap, environnement, énergie, etc.).
• Les collaborateurs sont formés à la communication, notamment à la communication associée à la conduite du changement.
• La DSI participe à des événements externes (trophées, salons, conférences, etc.) qui contribuent à sa valorisation et à la reconnaissance de ses actions.
• Cas spécifique de la communication externe : le plan de communication et son exécution doivent être revus en fonction des exigences, contraintes, limites, définies par la direction de la communication de l'organisation (contraintes réglementaires, image de l'organisation, contraintes contextuelles...).</t>
  </si>
  <si>
    <t>1337</t>
  </si>
  <si>
    <t>Le plan de communication est évolutif et peut être repensé au fil de l’eau. Des communications opportunistes peuvent être réalisées selon le contexte et les enjeux du moment.</t>
  </si>
  <si>
    <t>1338</t>
  </si>
  <si>
    <t>Le plan de communication intègre la stratégie de participation à des événements externes afin d’assurer la visibilité et la mise en valeur du numérique au sein de l’organisation.</t>
  </si>
  <si>
    <t>Situation de crise</t>
  </si>
  <si>
    <t>Un plan de communication en cas de crise SI est formalisé et partagé en amont afin d’anticiper.</t>
  </si>
  <si>
    <t>Une procédure de communication de crise SI est intégrée dans le dispositif global de gestion de crise de l'organisation. Elle prend en compte l'urgence et l'impact potentiel de la situation de crise.</t>
  </si>
  <si>
    <t>• Par « crise », on entend toute situation exceptionnelle affectant ou pouvant affecter le bon fonctionnement du SI ou de l’organisation.
• Compte tenu de la vitesse de l’impact potentiel, notamment en cas de cyberattaque, une réflexion préalable sur l'urgence de la réaction attendue doit avoir été menée.</t>
  </si>
  <si>
    <t>1342</t>
  </si>
  <si>
    <t>Les risques majeurs susceptibles de conduire à une situation de crise font l'objet de scénarios identifiés qui détaillent les éléments de langage, les modalités de coordination et les actions de communication de crise entre les différents acteurs (SI, métiers, direction de la communication et dirigeants).</t>
  </si>
  <si>
    <t>• L'analyse des risques a été faite et les scénarios pour y faire face ont été préparés. La distinction entre incident « classique » et situation de crise est formalisée au moyen d’un arbre décisionnel (critères : délai, criticité, caractère exceptionnel de l’événement, etc.).
• Il est important de noter que certains scénarios sont soumis à des obligations réglementaires et nécessitent d’intégrer les parties prenantes dans le plan de communication.</t>
  </si>
  <si>
    <t>1343</t>
  </si>
  <si>
    <t>Les outils et ressources nécessaires sont mis en œuvre pour assurer la communication en temps de crise.</t>
  </si>
  <si>
    <t>• Afin de rendre la communication la plus efficiente possible, les outils et ressources adaptés sont identifiés, testés, disponibles et à jour, donc facilement activables, y compris en cas d’indisponibilité partielle ou totale des moyens habituels de communication (par exemple : absence d’e-mail ou d’accès Internet).</t>
  </si>
  <si>
    <t>1344</t>
  </si>
  <si>
    <t>Le plan de communication est testé régulièrement dans le cadre d’exercices de simulation de crise.</t>
  </si>
  <si>
    <t>1345</t>
  </si>
  <si>
    <t>Un retour d’expérience est systématiquement réalisé afin d’améliorer le plan et la procédure de communication de crise.</t>
  </si>
  <si>
    <t>• Cette démarche vise à renforcer l’efficacité de la gestion de crise dans une logique d’amélioration continue.</t>
  </si>
  <si>
    <t>1346</t>
  </si>
  <si>
    <t>1347</t>
  </si>
  <si>
    <t>BP</t>
  </si>
  <si>
    <t>Pour macro --&gt;</t>
  </si>
  <si>
    <t>Nb de critères/niveau</t>
  </si>
  <si>
    <t>Note du niveau</t>
  </si>
  <si>
    <t>inclus</t>
  </si>
  <si>
    <t>hors programme</t>
  </si>
  <si>
    <t>Non renseigné</t>
  </si>
  <si>
    <t>Exigences non respectées</t>
  </si>
  <si>
    <t>Exigences partiellement respectées</t>
  </si>
  <si>
    <t>Exigences respectées</t>
  </si>
  <si>
    <t>Non évalué</t>
  </si>
  <si>
    <t>Faible</t>
  </si>
  <si>
    <t>Insuffisant</t>
  </si>
  <si>
    <t>Satisfaisant</t>
  </si>
  <si>
    <t>Bon</t>
  </si>
  <si>
    <t>Fiche évaluation Vecteur 1</t>
  </si>
  <si>
    <t>1</t>
  </si>
  <si>
    <t>Bonne pratique n°1</t>
  </si>
  <si>
    <r>
      <rPr>
        <b val="1"/>
        <u val="single"/>
        <sz val="10"/>
        <color indexed="8"/>
        <rFont val="Aptos"/>
      </rPr>
      <t>Preuve(s)</t>
    </r>
    <r>
      <rPr>
        <b val="1"/>
        <sz val="10"/>
        <color indexed="8"/>
        <rFont val="Aptos"/>
      </rPr>
      <t xml:space="preserve"> :</t>
    </r>
  </si>
  <si>
    <t>Evaluation</t>
  </si>
  <si>
    <t>Commentaire(s) de l'auditeur :</t>
  </si>
  <si>
    <t>Libellé du document de référence :</t>
  </si>
  <si>
    <t>Fichier joint :</t>
  </si>
  <si>
    <r>
      <rPr>
        <sz val="10"/>
        <color indexed="8"/>
        <rFont val="Aptos"/>
      </rPr>
      <t>111</t>
    </r>
  </si>
  <si>
    <t>Critère 1</t>
  </si>
  <si>
    <t>Critère non évalué</t>
  </si>
  <si>
    <r>
      <rPr>
        <sz val="10"/>
        <color indexed="8"/>
        <rFont val="Aptos"/>
      </rPr>
      <t>112</t>
    </r>
  </si>
  <si>
    <r>
      <rPr>
        <b val="1"/>
        <sz val="10"/>
        <color indexed="8"/>
        <rFont val="Aptos"/>
      </rPr>
      <t>Critère 2</t>
    </r>
  </si>
  <si>
    <r>
      <rPr>
        <sz val="10"/>
        <color indexed="8"/>
        <rFont val="Aptos"/>
      </rPr>
      <t>113</t>
    </r>
  </si>
  <si>
    <t>Critère 3</t>
  </si>
  <si>
    <r>
      <rPr>
        <sz val="10"/>
        <color indexed="8"/>
        <rFont val="Aptos"/>
      </rPr>
      <t>114</t>
    </r>
  </si>
  <si>
    <t>Critère 4</t>
  </si>
  <si>
    <r>
      <rPr>
        <sz val="10"/>
        <color indexed="8"/>
        <rFont val="Aptos"/>
      </rPr>
      <t>115</t>
    </r>
  </si>
  <si>
    <t>Critère 5</t>
  </si>
  <si>
    <r>
      <rPr>
        <sz val="10"/>
        <color indexed="8"/>
        <rFont val="Aptos"/>
      </rPr>
      <t>116</t>
    </r>
  </si>
  <si>
    <t>Critère 6</t>
  </si>
  <si>
    <r>
      <rPr>
        <sz val="10"/>
        <color indexed="8"/>
        <rFont val="Aptos"/>
      </rPr>
      <t>117</t>
    </r>
  </si>
  <si>
    <t>Critère 7</t>
  </si>
  <si>
    <r>
      <rPr>
        <sz val="10"/>
        <color indexed="8"/>
        <rFont val="Aptos"/>
      </rPr>
      <t>11</t>
    </r>
  </si>
  <si>
    <r>
      <rPr>
        <sz val="10"/>
        <color indexed="8"/>
        <rFont val="Aptos"/>
      </rPr>
      <t>122</t>
    </r>
  </si>
  <si>
    <t>Bonne pratique n°2</t>
  </si>
  <si>
    <r>
      <rPr>
        <sz val="10"/>
        <color indexed="8"/>
        <rFont val="Aptos"/>
      </rPr>
      <t>12</t>
    </r>
  </si>
  <si>
    <t>Niv. de maturité</t>
  </si>
  <si>
    <t>Informations complémentaires pour l'auditeur :</t>
  </si>
  <si>
    <r>
      <rPr>
        <sz val="10"/>
        <color indexed="8"/>
        <rFont val="Aptos"/>
      </rPr>
      <t>121</t>
    </r>
  </si>
  <si>
    <r>
      <rPr>
        <sz val="10"/>
        <color indexed="8"/>
        <rFont val="Aptos"/>
      </rPr>
      <t>123</t>
    </r>
  </si>
  <si>
    <r>
      <rPr>
        <sz val="10"/>
        <color indexed="8"/>
        <rFont val="Aptos"/>
      </rPr>
      <t>124</t>
    </r>
  </si>
  <si>
    <r>
      <rPr>
        <sz val="10"/>
        <color indexed="8"/>
        <rFont val="Aptos"/>
      </rPr>
      <t>125</t>
    </r>
  </si>
  <si>
    <r>
      <rPr>
        <sz val="10"/>
        <color indexed="8"/>
        <rFont val="Aptos"/>
      </rPr>
      <t>126</t>
    </r>
  </si>
  <si>
    <r>
      <rPr>
        <sz val="10"/>
        <color indexed="8"/>
        <rFont val="Aptos"/>
      </rPr>
      <t>127</t>
    </r>
  </si>
  <si>
    <r>
      <rPr>
        <sz val="10"/>
        <color indexed="8"/>
        <rFont val="Aptos"/>
      </rPr>
      <t xml:space="preserve">Références :
</t>
    </r>
    <r>
      <rPr>
        <sz val="10"/>
        <color indexed="8"/>
        <rFont val="Aptos"/>
      </rPr>
      <t xml:space="preserve">• Référentiel « Éthique et numérique » Cigref et Syntec Numérique, 2018.
</t>
    </r>
    <r>
      <rPr>
        <sz val="10"/>
        <color indexed="8"/>
        <rFont val="Aptos"/>
      </rPr>
      <t xml:space="preserve">• « IT for Green : contributions des directions numériques aux enjeux RSE et de décarbonation des organisations ». Cigref, 2025. </t>
    </r>
  </si>
  <si>
    <r>
      <rPr>
        <sz val="10"/>
        <color indexed="8"/>
        <rFont val="Aptos"/>
      </rPr>
      <t>133</t>
    </r>
  </si>
  <si>
    <t>Bonne pratique n°3</t>
  </si>
  <si>
    <r>
      <rPr>
        <sz val="10"/>
        <color indexed="8"/>
        <rFont val="Aptos"/>
      </rPr>
      <t>13</t>
    </r>
  </si>
  <si>
    <r>
      <rPr>
        <sz val="10"/>
        <color indexed="8"/>
        <rFont val="Aptos"/>
      </rPr>
      <t>131</t>
    </r>
  </si>
  <si>
    <r>
      <rPr>
        <sz val="10"/>
        <color indexed="8"/>
        <rFont val="Aptos"/>
      </rPr>
      <t>132</t>
    </r>
  </si>
  <si>
    <r>
      <rPr>
        <sz val="10"/>
        <color indexed="8"/>
        <rFont val="Aptos"/>
      </rPr>
      <t>134</t>
    </r>
  </si>
  <si>
    <r>
      <rPr>
        <sz val="10"/>
        <color indexed="8"/>
        <rFont val="Aptos"/>
      </rPr>
      <t>135</t>
    </r>
  </si>
  <si>
    <r>
      <rPr>
        <sz val="10"/>
        <color indexed="8"/>
        <rFont val="Aptos"/>
      </rPr>
      <t>136</t>
    </r>
  </si>
  <si>
    <r>
      <rPr>
        <sz val="10"/>
        <color indexed="8"/>
        <rFont val="Aptos"/>
      </rPr>
      <t>137</t>
    </r>
  </si>
  <si>
    <r>
      <rPr>
        <sz val="10"/>
        <color indexed="8"/>
        <rFont val="Aptos"/>
      </rPr>
      <t>144</t>
    </r>
  </si>
  <si>
    <t>Bonne pratique n°4</t>
  </si>
  <si>
    <r>
      <rPr>
        <sz val="10"/>
        <color indexed="8"/>
        <rFont val="Aptos"/>
      </rPr>
      <t>14</t>
    </r>
  </si>
  <si>
    <r>
      <rPr>
        <sz val="10"/>
        <color indexed="8"/>
        <rFont val="Aptos"/>
      </rPr>
      <t>141</t>
    </r>
  </si>
  <si>
    <r>
      <rPr>
        <sz val="10"/>
        <color indexed="8"/>
        <rFont val="Aptos"/>
      </rPr>
      <t>142</t>
    </r>
  </si>
  <si>
    <r>
      <rPr>
        <sz val="10"/>
        <color indexed="8"/>
        <rFont val="Aptos"/>
      </rPr>
      <t>143</t>
    </r>
  </si>
  <si>
    <r>
      <rPr>
        <sz val="10"/>
        <color indexed="8"/>
        <rFont val="Aptos"/>
      </rPr>
      <t>145</t>
    </r>
  </si>
  <si>
    <r>
      <rPr>
        <sz val="10"/>
        <color indexed="8"/>
        <rFont val="Aptos"/>
      </rPr>
      <t>146</t>
    </r>
  </si>
  <si>
    <r>
      <rPr>
        <sz val="10"/>
        <color indexed="8"/>
        <rFont val="Aptos"/>
      </rPr>
      <t>147</t>
    </r>
  </si>
  <si>
    <t>Bonne pratique n°5</t>
  </si>
  <si>
    <t>Une instance de pilotage stratégique du SI est mise en place au niveau de la direction générale afin de valider le volet numérique du plan stratégique, rendre les arbitrages nécessaires</t>
  </si>
  <si>
    <t>et assurer le suivi de sa mise en œuvre.</t>
  </si>
  <si>
    <t>ENJEUX POUR L’ENTREPRISE</t>
  </si>
  <si>
    <t>Synthèse d'évaluation</t>
  </si>
  <si>
    <t>Zone à remplir par l'auditeur (facultatif)</t>
  </si>
  <si>
    <t>Légende</t>
  </si>
  <si>
    <t>1 : Organisation</t>
  </si>
  <si>
    <t>2 : Contenu Stratégique</t>
  </si>
  <si>
    <t>3 : Communication</t>
  </si>
  <si>
    <t>NE : Non évalué</t>
  </si>
  <si>
    <t>4 : Indicateurs</t>
  </si>
  <si>
    <t>MENACES POUR L’ENTREPRISE</t>
  </si>
  <si>
    <t>5 : Pilotage</t>
  </si>
  <si>
    <t>Evaluation globale du vecteur  1</t>
  </si>
  <si>
    <t>Maturité vecteur</t>
  </si>
  <si>
    <t>Complétude Vecteur</t>
  </si>
  <si>
    <t>Nombre de critères non renseignés</t>
  </si>
  <si>
    <t>Nombre de critères non évalués</t>
  </si>
  <si>
    <t xml:space="preserve">Niveau de maturité du vecteur </t>
  </si>
  <si>
    <t>Concat</t>
  </si>
  <si>
    <t>BP n°1</t>
  </si>
  <si>
    <r>
      <rPr>
        <sz val="11"/>
        <color indexed="13"/>
        <rFont val="Aptos"/>
      </rPr>
      <t>La DSI participe à l'élaboration de la stratégie de l'entreprise.</t>
    </r>
  </si>
  <si>
    <t>Critère 2</t>
  </si>
  <si>
    <r>
      <rPr>
        <sz val="11"/>
        <color indexed="13"/>
        <rFont val="Aptos"/>
      </rPr>
      <t xml:space="preserve">Le volet numérique du plan stratégique intègre les cibles métiers et technologiques ainsi que la planification des ressources nécessaires à leur atteinte. </t>
    </r>
  </si>
  <si>
    <t>Le numérique figure dans les chapitres métiers du plan stratégique même s'il ne fait pas l’objet d’une approche globale ou d’un chapitre dédié</t>
  </si>
  <si>
    <r>
      <rPr>
        <sz val="11"/>
        <color indexed="13"/>
        <rFont val="Aptos"/>
      </rPr>
      <t>Le volet numérique est communiqué conjointement avec le plan stratégique de l’organisation pour en faciliter la compréhension et susciter l’adhésion des métiers.</t>
    </r>
  </si>
  <si>
    <t>La DSI a défini : les cibles visées par la communication (direction générale, directions métiers, responsables de la DSI, principaux acteurs impliqués dans le SI, collaborateurs de l’organisation, parties prenantes externes)ainsi que les moyens de communication (contenu, forme, média, etc.) permettant d’atteindre les cibles identifiées.</t>
  </si>
  <si>
    <t>La DSI évalue l’efficacité de cette communication à l’aide d’indicateurs, d’enquêtes, de feedbacks et de sondages, afin de mesurer l’atteinte de objectifs initiaux.</t>
  </si>
  <si>
    <r>
      <rPr>
        <sz val="11"/>
        <color indexed="13"/>
        <rFont val="Aptos"/>
      </rPr>
      <t xml:space="preserve">Des indicateurs financiers et non financiers sont définis afin de mesurer la contribution du numérique à la stratégie de l’organisation. </t>
    </r>
  </si>
  <si>
    <t xml:space="preserve">La DSI a défini et fait valider des d’indicateurs de différentes natures, couvrant  l’ensemble des enjeux du volet numérique du plan stratégique. </t>
  </si>
  <si>
    <r>
      <rPr>
        <sz val="11"/>
        <color indexed="13"/>
        <rFont val="Aptos"/>
      </rPr>
      <t>Une instance de pilotage stratégique du SI est mise en place au niveau de la direction générale afin de valider le volet numérique du plan stratégique, rendre les arbitrages nécessaires et assurer le suivi de sa mise en œuvre.</t>
    </r>
  </si>
  <si>
    <r>
      <rPr>
        <sz val="10"/>
        <color indexed="8"/>
        <rFont val="Aptos"/>
      </rPr>
      <t>151</t>
    </r>
  </si>
  <si>
    <r>
      <rPr>
        <sz val="10"/>
        <color indexed="8"/>
        <rFont val="Aptos"/>
      </rPr>
      <t>152</t>
    </r>
  </si>
  <si>
    <r>
      <rPr>
        <sz val="10"/>
        <color indexed="8"/>
        <rFont val="Aptos"/>
      </rPr>
      <t>153</t>
    </r>
  </si>
  <si>
    <t>L’instance de pilotage stratégique regroupe les directeurs métiers, le DSI et un représentant de la direction général., Elle se réunit régulièrement, ses décisions sont communiquées et leur application est suivie</t>
  </si>
  <si>
    <r>
      <rPr>
        <sz val="10"/>
        <color indexed="8"/>
        <rFont val="Aptos"/>
      </rPr>
      <t>154</t>
    </r>
  </si>
  <si>
    <r>
      <rPr>
        <sz val="10"/>
        <color indexed="8"/>
        <rFont val="Aptos"/>
      </rPr>
      <t>155</t>
    </r>
  </si>
  <si>
    <t xml:space="preserve">La direction générale réévalue périodiquement le mode de fonctionnement et la performance de cette instance, et en adapte le cas échéant la composition ou le mandat en particulier lors d’évènements majeurs impactant la stratégie.  </t>
  </si>
  <si>
    <t>Fiche évaluation Vecteur 2</t>
  </si>
  <si>
    <t>2</t>
  </si>
  <si>
    <r>
      <rPr>
        <sz val="10"/>
        <color indexed="8"/>
        <rFont val="Aptos"/>
      </rPr>
      <t>211</t>
    </r>
  </si>
  <si>
    <r>
      <rPr>
        <sz val="10"/>
        <color indexed="8"/>
        <rFont val="Aptos"/>
      </rPr>
      <t>212</t>
    </r>
  </si>
  <si>
    <r>
      <rPr>
        <sz val="10"/>
        <color indexed="8"/>
        <rFont val="Aptos"/>
      </rPr>
      <t>213</t>
    </r>
  </si>
  <si>
    <r>
      <rPr>
        <sz val="10"/>
        <color indexed="8"/>
        <rFont val="Aptos"/>
      </rPr>
      <t>214</t>
    </r>
  </si>
  <si>
    <r>
      <rPr>
        <sz val="10"/>
        <color indexed="8"/>
        <rFont val="Aptos"/>
      </rPr>
      <t>215</t>
    </r>
  </si>
  <si>
    <r>
      <rPr>
        <sz val="10"/>
        <color indexed="8"/>
        <rFont val="Aptos"/>
      </rPr>
      <t>216</t>
    </r>
  </si>
  <si>
    <r>
      <rPr>
        <sz val="10"/>
        <color indexed="8"/>
        <rFont val="Aptos"/>
      </rPr>
      <t>217</t>
    </r>
  </si>
  <si>
    <r>
      <rPr>
        <sz val="10"/>
        <color indexed="8"/>
        <rFont val="Aptos"/>
      </rPr>
      <t>21</t>
    </r>
  </si>
  <si>
    <r>
      <rPr>
        <sz val="10"/>
        <color indexed="8"/>
        <rFont val="Aptos"/>
      </rPr>
      <t>222</t>
    </r>
  </si>
  <si>
    <r>
      <rPr>
        <sz val="10"/>
        <color indexed="8"/>
        <rFont val="Aptos"/>
      </rPr>
      <t>22</t>
    </r>
  </si>
  <si>
    <r>
      <rPr>
        <sz val="10"/>
        <color indexed="8"/>
        <rFont val="Aptos"/>
      </rPr>
      <t>221</t>
    </r>
  </si>
  <si>
    <r>
      <rPr>
        <sz val="10"/>
        <color indexed="8"/>
        <rFont val="Aptos"/>
      </rPr>
      <t>223</t>
    </r>
  </si>
  <si>
    <r>
      <rPr>
        <sz val="10"/>
        <color indexed="8"/>
        <rFont val="Aptos"/>
      </rPr>
      <t>224</t>
    </r>
  </si>
  <si>
    <r>
      <rPr>
        <sz val="10"/>
        <color indexed="8"/>
        <rFont val="Aptos"/>
      </rPr>
      <t>225</t>
    </r>
  </si>
  <si>
    <r>
      <rPr>
        <sz val="10"/>
        <color indexed="8"/>
        <rFont val="Aptos"/>
      </rPr>
      <t>226</t>
    </r>
  </si>
  <si>
    <r>
      <rPr>
        <sz val="10"/>
        <color indexed="8"/>
        <rFont val="Aptos"/>
      </rPr>
      <t>227</t>
    </r>
  </si>
  <si>
    <r>
      <rPr>
        <sz val="10"/>
        <color indexed="8"/>
        <rFont val="Aptos"/>
      </rPr>
      <t>233</t>
    </r>
  </si>
  <si>
    <r>
      <rPr>
        <sz val="10"/>
        <color indexed="8"/>
        <rFont val="Aptos"/>
      </rPr>
      <t>23</t>
    </r>
  </si>
  <si>
    <r>
      <rPr>
        <sz val="10"/>
        <color indexed="8"/>
        <rFont val="Aptos"/>
      </rPr>
      <t>231</t>
    </r>
  </si>
  <si>
    <r>
      <rPr>
        <sz val="10"/>
        <color indexed="8"/>
        <rFont val="Aptos"/>
      </rPr>
      <t>232</t>
    </r>
  </si>
  <si>
    <r>
      <rPr>
        <sz val="10"/>
        <color indexed="8"/>
        <rFont val="Aptos"/>
      </rPr>
      <t>234</t>
    </r>
  </si>
  <si>
    <r>
      <rPr>
        <sz val="10"/>
        <color indexed="8"/>
        <rFont val="Aptos"/>
      </rPr>
      <t>235</t>
    </r>
  </si>
  <si>
    <r>
      <rPr>
        <sz val="10"/>
        <color indexed="8"/>
        <rFont val="Aptos"/>
      </rPr>
      <t>236</t>
    </r>
  </si>
  <si>
    <r>
      <rPr>
        <sz val="10"/>
        <color indexed="8"/>
        <rFont val="Aptos"/>
      </rPr>
      <t>237</t>
    </r>
  </si>
  <si>
    <r>
      <rPr>
        <sz val="10"/>
        <color indexed="8"/>
        <rFont val="Aptos"/>
      </rPr>
      <t>244</t>
    </r>
  </si>
  <si>
    <r>
      <rPr>
        <sz val="10"/>
        <color indexed="8"/>
        <rFont val="Aptos"/>
      </rPr>
      <t>24</t>
    </r>
  </si>
  <si>
    <r>
      <rPr>
        <sz val="10"/>
        <color indexed="8"/>
        <rFont val="Aptos"/>
      </rPr>
      <t>241</t>
    </r>
  </si>
  <si>
    <r>
      <rPr>
        <sz val="10"/>
        <color indexed="8"/>
        <rFont val="Aptos"/>
      </rPr>
      <t>242</t>
    </r>
  </si>
  <si>
    <r>
      <rPr>
        <sz val="10"/>
        <color indexed="8"/>
        <rFont val="Aptos"/>
      </rPr>
      <t>243</t>
    </r>
  </si>
  <si>
    <r>
      <rPr>
        <sz val="10"/>
        <color indexed="8"/>
        <rFont val="Aptos"/>
      </rPr>
      <t>245</t>
    </r>
  </si>
  <si>
    <r>
      <rPr>
        <sz val="10"/>
        <color indexed="8"/>
        <rFont val="Aptos"/>
      </rPr>
      <t>246</t>
    </r>
  </si>
  <si>
    <r>
      <rPr>
        <sz val="10"/>
        <color indexed="8"/>
        <rFont val="Aptos"/>
      </rPr>
      <t>247</t>
    </r>
  </si>
  <si>
    <t>Bonne pratique n°6</t>
  </si>
  <si>
    <t>Bonne pratique n°7</t>
  </si>
  <si>
    <t>1 : Vision Globale</t>
  </si>
  <si>
    <t xml:space="preserve">2 : Gouvernance et cadre de référence </t>
  </si>
  <si>
    <t>3 : Veille technologique</t>
  </si>
  <si>
    <t>4 : Agilité de l'organisation</t>
  </si>
  <si>
    <t>5 : Performance</t>
  </si>
  <si>
    <t>6 : Communication</t>
  </si>
  <si>
    <t>Evaluation globale du vecteur  2</t>
  </si>
  <si>
    <r>
      <rPr>
        <sz val="11"/>
        <color indexed="13"/>
        <rFont val="Aptos"/>
      </rPr>
      <t>Une vision globale de l’innovation portée par la direction générale est diffusée au sein de l’organisation.</t>
    </r>
  </si>
  <si>
    <r>
      <rPr>
        <sz val="11"/>
        <color indexed="13"/>
        <rFont val="Aptos"/>
      </rPr>
      <t>Les efforts d'innovation sont encadrés par une politique d'innovation et une gouvernance adaptées.</t>
    </r>
  </si>
  <si>
    <r>
      <rPr>
        <sz val="11"/>
        <color indexed="13"/>
        <rFont val="Aptos"/>
      </rPr>
      <t>La veille est organisée pour éclairer les efforts d’innovation et la stratégie de l’organisation.</t>
    </r>
  </si>
  <si>
    <r>
      <rPr>
        <sz val="11"/>
        <color indexed="13"/>
        <rFont val="Aptos"/>
      </rPr>
      <t xml:space="preserve">L’organisation est structurée de façon à prendre en compte et à traiter les initiatives d’innovation de manière agile.  </t>
    </r>
  </si>
  <si>
    <r>
      <rPr>
        <sz val="10"/>
        <color indexed="8"/>
        <rFont val="Aptos"/>
      </rPr>
      <t>255</t>
    </r>
  </si>
  <si>
    <r>
      <rPr>
        <sz val="10"/>
        <color indexed="8"/>
        <rFont val="Aptos"/>
      </rPr>
      <t>251</t>
    </r>
  </si>
  <si>
    <r>
      <rPr>
        <sz val="11"/>
        <color indexed="13"/>
        <rFont val="Aptos"/>
      </rPr>
      <t>La performance du processus d'innovation fait l’objet d’un suivi dans une logique d'amélioration continue.</t>
    </r>
  </si>
  <si>
    <r>
      <rPr>
        <sz val="10"/>
        <color indexed="8"/>
        <rFont val="Aptos"/>
      </rPr>
      <t>252</t>
    </r>
  </si>
  <si>
    <r>
      <rPr>
        <sz val="10"/>
        <color indexed="8"/>
        <rFont val="Aptos"/>
      </rPr>
      <t>253</t>
    </r>
  </si>
  <si>
    <r>
      <rPr>
        <sz val="10"/>
        <color indexed="8"/>
        <rFont val="Aptos"/>
      </rPr>
      <t>254</t>
    </r>
  </si>
  <si>
    <r>
      <rPr>
        <sz val="10"/>
        <color indexed="8"/>
        <rFont val="Aptos"/>
      </rPr>
      <t>266</t>
    </r>
  </si>
  <si>
    <r>
      <rPr>
        <sz val="10"/>
        <color indexed="8"/>
        <rFont val="Aptos"/>
      </rPr>
      <t>261</t>
    </r>
  </si>
  <si>
    <r>
      <rPr>
        <sz val="11"/>
        <color indexed="13"/>
        <rFont val="Aptos"/>
      </rPr>
      <t>L’innovation fait l’objet d’une communication clairement définie.</t>
    </r>
  </si>
  <si>
    <r>
      <rPr>
        <sz val="10"/>
        <color indexed="8"/>
        <rFont val="Aptos"/>
      </rPr>
      <t>262</t>
    </r>
  </si>
  <si>
    <r>
      <rPr>
        <sz val="10"/>
        <color indexed="8"/>
        <rFont val="Aptos"/>
      </rPr>
      <t>263</t>
    </r>
  </si>
  <si>
    <r>
      <rPr>
        <sz val="10"/>
        <color indexed="8"/>
        <rFont val="Aptos"/>
      </rPr>
      <t>264</t>
    </r>
  </si>
  <si>
    <t>Fiche évaluation Vecteur 3</t>
  </si>
  <si>
    <t>3</t>
  </si>
  <si>
    <t>Il existe un processus itératif de gestion standardisé et intégré des risques numériques, incluant les pratiques et les procédures pour communiquer, consulter, établir le contexte,</t>
  </si>
  <si>
    <t>identifier, analyser, évaluer, traiter, piloter et réviser les risques. Ce processus est intégré à la gestion des risques de l'organisation.</t>
  </si>
  <si>
    <r>
      <rPr>
        <sz val="10"/>
        <color indexed="8"/>
        <rFont val="Aptos"/>
      </rPr>
      <t>311</t>
    </r>
  </si>
  <si>
    <r>
      <rPr>
        <sz val="10"/>
        <color indexed="8"/>
        <rFont val="Aptos"/>
      </rPr>
      <t>312</t>
    </r>
  </si>
  <si>
    <r>
      <rPr>
        <sz val="10"/>
        <color indexed="8"/>
        <rFont val="Aptos"/>
      </rPr>
      <t>313</t>
    </r>
  </si>
  <si>
    <r>
      <rPr>
        <sz val="10"/>
        <color indexed="8"/>
        <rFont val="Aptos"/>
      </rPr>
      <t>314</t>
    </r>
  </si>
  <si>
    <r>
      <rPr>
        <sz val="10"/>
        <color indexed="8"/>
        <rFont val="Aptos"/>
      </rPr>
      <t>315</t>
    </r>
  </si>
  <si>
    <r>
      <rPr>
        <sz val="10"/>
        <color indexed="8"/>
        <rFont val="Aptos"/>
      </rPr>
      <t>316</t>
    </r>
  </si>
  <si>
    <r>
      <rPr>
        <sz val="10"/>
        <color indexed="8"/>
        <rFont val="Aptos"/>
      </rPr>
      <t>317</t>
    </r>
  </si>
  <si>
    <r>
      <rPr>
        <sz val="10"/>
        <color indexed="8"/>
        <rFont val="Aptos"/>
      </rPr>
      <t>31</t>
    </r>
  </si>
  <si>
    <r>
      <rPr>
        <sz val="10"/>
        <color indexed="8"/>
        <rFont val="Aptos"/>
      </rPr>
      <t>322</t>
    </r>
  </si>
  <si>
    <r>
      <rPr>
        <sz val="10"/>
        <color indexed="8"/>
        <rFont val="Aptos"/>
      </rPr>
      <t>32</t>
    </r>
  </si>
  <si>
    <t>La DSI procède à une identification et à une évaluation des risques numériques conjointement avec l'ensemble des directions concernées</t>
  </si>
  <si>
    <t xml:space="preserve">en prenant en compte les enjeux majeurs pour l’organisation. </t>
  </si>
  <si>
    <r>
      <rPr>
        <sz val="10"/>
        <color indexed="8"/>
        <rFont val="Aptos"/>
      </rPr>
      <t>321</t>
    </r>
  </si>
  <si>
    <r>
      <rPr>
        <sz val="10"/>
        <color indexed="8"/>
        <rFont val="Aptos"/>
      </rPr>
      <t>• Cf. Maîtrise du risque numérique - l’atout confiance, ANSSI, 2019</t>
    </r>
  </si>
  <si>
    <r>
      <rPr>
        <sz val="10"/>
        <color indexed="8"/>
        <rFont val="Aptos"/>
      </rPr>
      <t>323</t>
    </r>
  </si>
  <si>
    <r>
      <rPr>
        <sz val="10"/>
        <color indexed="8"/>
        <rFont val="Aptos"/>
      </rPr>
      <t>324</t>
    </r>
  </si>
  <si>
    <r>
      <rPr>
        <sz val="10"/>
        <color indexed="8"/>
        <rFont val="Aptos"/>
      </rPr>
      <t>325</t>
    </r>
  </si>
  <si>
    <r>
      <rPr>
        <sz val="10"/>
        <color indexed="8"/>
        <rFont val="Aptos"/>
      </rPr>
      <t>326</t>
    </r>
  </si>
  <si>
    <r>
      <rPr>
        <sz val="10"/>
        <color indexed="8"/>
        <rFont val="Aptos"/>
      </rPr>
      <t>327</t>
    </r>
  </si>
  <si>
    <r>
      <rPr>
        <sz val="10"/>
        <color indexed="8"/>
        <rFont val="Aptos"/>
      </rPr>
      <t>333</t>
    </r>
  </si>
  <si>
    <r>
      <rPr>
        <sz val="10"/>
        <color indexed="8"/>
        <rFont val="Aptos"/>
      </rPr>
      <t>33</t>
    </r>
  </si>
  <si>
    <t>L’organisation réalise et communique régulièrement une évaluation de l’efficacité des contrôles SI, en regard des enjeux stratégiques, financiers, commerciaux,</t>
  </si>
  <si>
    <t>réglementaires, industriels ou d’innovation.</t>
  </si>
  <si>
    <r>
      <rPr>
        <sz val="10"/>
        <color indexed="8"/>
        <rFont val="Aptos"/>
      </rPr>
      <t>331</t>
    </r>
  </si>
  <si>
    <r>
      <rPr>
        <sz val="10"/>
        <color indexed="8"/>
        <rFont val="Aptos"/>
      </rPr>
      <t>332</t>
    </r>
  </si>
  <si>
    <r>
      <rPr>
        <sz val="10"/>
        <color indexed="8"/>
        <rFont val="Aptos"/>
      </rPr>
      <t>334</t>
    </r>
  </si>
  <si>
    <r>
      <rPr>
        <sz val="10"/>
        <color indexed="8"/>
        <rFont val="Aptos"/>
      </rPr>
      <t>335</t>
    </r>
  </si>
  <si>
    <r>
      <rPr>
        <sz val="10"/>
        <color indexed="8"/>
        <rFont val="Aptos"/>
      </rPr>
      <t>336</t>
    </r>
  </si>
  <si>
    <r>
      <rPr>
        <sz val="10"/>
        <color indexed="8"/>
        <rFont val="Aptos"/>
      </rPr>
      <t>337</t>
    </r>
  </si>
  <si>
    <r>
      <rPr>
        <sz val="10"/>
        <color indexed="8"/>
        <rFont val="Aptos"/>
      </rPr>
      <t>344</t>
    </r>
  </si>
  <si>
    <r>
      <rPr>
        <sz val="10"/>
        <color indexed="8"/>
        <rFont val="Aptos"/>
      </rPr>
      <t>34</t>
    </r>
  </si>
  <si>
    <r>
      <rPr>
        <sz val="10"/>
        <color indexed="8"/>
        <rFont val="Aptos"/>
      </rPr>
      <t>341</t>
    </r>
  </si>
  <si>
    <r>
      <rPr>
        <sz val="10"/>
        <color indexed="8"/>
        <rFont val="Aptos"/>
      </rPr>
      <t>342</t>
    </r>
  </si>
  <si>
    <r>
      <rPr>
        <sz val="10"/>
        <color indexed="8"/>
        <rFont val="Aptos"/>
      </rPr>
      <t>343</t>
    </r>
  </si>
  <si>
    <r>
      <rPr>
        <sz val="10"/>
        <color indexed="8"/>
        <rFont val="Aptos"/>
      </rPr>
      <t>345</t>
    </r>
  </si>
  <si>
    <r>
      <rPr>
        <sz val="10"/>
        <color indexed="8"/>
        <rFont val="Aptos"/>
      </rPr>
      <t>346</t>
    </r>
  </si>
  <si>
    <t>Bonne pratique n°8</t>
  </si>
  <si>
    <t>La DSI assure la conformité aux réglementations numériques et contribue au dispositif de gestion de la conformité réglementaire, contractuelle</t>
  </si>
  <si>
    <t>ainsi que la conformité aux référentiels internes de l’organisation.</t>
  </si>
  <si>
    <t>1 : Cadres standardisé de gestion des risques numériques</t>
  </si>
  <si>
    <t>2 : Enjeux métiers et stratégiques</t>
  </si>
  <si>
    <t>3 : Revue de performance des contrôles</t>
  </si>
  <si>
    <t>4 : Gestion des risques cyber</t>
  </si>
  <si>
    <t xml:space="preserve">5 : Protection  des infrastructures </t>
  </si>
  <si>
    <t>6 : Résilience et continuité d'activité</t>
  </si>
  <si>
    <t>7 : Protection des données</t>
  </si>
  <si>
    <t>38</t>
  </si>
  <si>
    <t>8 : Conformité</t>
  </si>
  <si>
    <t>Evaluation globale du vecteur  3</t>
  </si>
  <si>
    <r>
      <rPr>
        <sz val="11"/>
        <color indexed="13"/>
        <rFont val="Aptos"/>
      </rPr>
      <t>Il existe un processus itératif de gestion standardisé et intégré des risques numériques, incluant les pratiques et les procédures pour communiquer, consulter, établir le contexte, identifier, analyser, évaluer, traiter, piloter et réviser les risques. Ce processus est intégré à la gestion des risques de l'organisation.</t>
    </r>
  </si>
  <si>
    <r>
      <rPr>
        <sz val="10"/>
        <color indexed="8"/>
        <rFont val="Aptos"/>
      </rPr>
      <t>N1</t>
    </r>
  </si>
  <si>
    <r>
      <rPr>
        <sz val="10"/>
        <color indexed="8"/>
        <rFont val="Aptos"/>
      </rPr>
      <t>N3</t>
    </r>
  </si>
  <si>
    <r>
      <rPr>
        <sz val="10"/>
        <color indexed="8"/>
        <rFont val="Aptos"/>
      </rPr>
      <t>N4</t>
    </r>
  </si>
  <si>
    <r>
      <rPr>
        <sz val="10"/>
        <color indexed="8"/>
        <rFont val="Aptos"/>
      </rPr>
      <t>N2</t>
    </r>
  </si>
  <si>
    <t>a</t>
  </si>
  <si>
    <r>
      <rPr>
        <sz val="11"/>
        <color indexed="13"/>
        <rFont val="Aptos"/>
      </rPr>
      <t xml:space="preserve">La DSI procède à une identification et à une évaluation des risques numériques conjointement avec l'ensemble des directions concernées en prenant en compte les enjeux majeurs pour l’organisation. </t>
    </r>
  </si>
  <si>
    <r>
      <rPr>
        <sz val="11"/>
        <color indexed="13"/>
        <rFont val="Aptos"/>
      </rPr>
      <t>L’organisation réalise et communique régulièrement une évaluation de l’efficacité des contrôles SI, en regard des enjeux stratégiques, financiers, commerciaux, réglementaires, industriels ou d’innovation.</t>
    </r>
  </si>
  <si>
    <r>
      <rPr>
        <sz val="11"/>
        <color indexed="13"/>
        <rFont val="Aptos"/>
      </rPr>
      <t>La DSI a défini et a mis en œuvre des dispositifs de protection de l'organisation contre les cyberattaques (rançongiciels, fuite de données, etc.)</t>
    </r>
  </si>
  <si>
    <r>
      <rPr>
        <sz val="11"/>
        <color indexed="13"/>
        <rFont val="Aptos"/>
      </rPr>
      <t>La DSI a défini et mis en œuvre une stratégie relative à la protection des infrastructures numériques et elle en contrôle la bonne exécution.</t>
    </r>
  </si>
  <si>
    <r>
      <rPr>
        <sz val="10"/>
        <color indexed="8"/>
        <rFont val="Aptos"/>
      </rPr>
      <t>351</t>
    </r>
  </si>
  <si>
    <r>
      <rPr>
        <sz val="10"/>
        <color indexed="8"/>
        <rFont val="Aptos"/>
      </rPr>
      <t>352</t>
    </r>
  </si>
  <si>
    <r>
      <rPr>
        <sz val="10"/>
        <color indexed="8"/>
        <rFont val="Aptos"/>
      </rPr>
      <t>353</t>
    </r>
  </si>
  <si>
    <r>
      <rPr>
        <sz val="10"/>
        <color indexed="8"/>
        <rFont val="Aptos"/>
      </rPr>
      <t>354</t>
    </r>
  </si>
  <si>
    <r>
      <rPr>
        <sz val="10"/>
        <color indexed="8"/>
        <rFont val="Aptos"/>
      </rPr>
      <t>355</t>
    </r>
  </si>
  <si>
    <r>
      <rPr>
        <sz val="11"/>
        <color indexed="13"/>
        <rFont val="Aptos"/>
      </rPr>
      <t xml:space="preserve">L'organisation est capable de réagir, e?cacement et dans les délais impartis, à des incidents majeurs ayant un impact significatif sur les métiers et sur l'activité de l'organisation. </t>
    </r>
  </si>
  <si>
    <r>
      <rPr>
        <sz val="10"/>
        <color indexed="8"/>
        <rFont val="Aptos"/>
      </rPr>
      <t>361</t>
    </r>
  </si>
  <si>
    <r>
      <rPr>
        <sz val="10"/>
        <color indexed="8"/>
        <rFont val="Aptos"/>
      </rPr>
      <t>362</t>
    </r>
  </si>
  <si>
    <r>
      <rPr>
        <sz val="10"/>
        <color indexed="8"/>
        <rFont val="Aptos"/>
      </rPr>
      <t>363</t>
    </r>
  </si>
  <si>
    <r>
      <rPr>
        <sz val="10"/>
        <color indexed="8"/>
        <rFont val="Aptos"/>
      </rPr>
      <t>364</t>
    </r>
  </si>
  <si>
    <r>
      <rPr>
        <sz val="10"/>
        <color indexed="8"/>
        <rFont val="Aptos"/>
      </rPr>
      <t>N5</t>
    </r>
  </si>
  <si>
    <r>
      <rPr>
        <sz val="10"/>
        <color indexed="8"/>
        <rFont val="Aptos"/>
      </rPr>
      <t>365</t>
    </r>
  </si>
  <si>
    <r>
      <rPr>
        <sz val="11"/>
        <color indexed="13"/>
        <rFont val="Aptos"/>
      </rPr>
      <t xml:space="preserve">Les données de l'organisation sont protégées avec un niveau de sécurité adapté et leur qualité permet d'alimenter sans risque les systèmes numériques. </t>
    </r>
  </si>
  <si>
    <r>
      <rPr>
        <sz val="10"/>
        <color indexed="8"/>
        <rFont val="Aptos"/>
      </rPr>
      <t>371</t>
    </r>
  </si>
  <si>
    <r>
      <rPr>
        <sz val="10"/>
        <color indexed="8"/>
        <rFont val="Aptos"/>
      </rPr>
      <t>372</t>
    </r>
  </si>
  <si>
    <r>
      <rPr>
        <sz val="10"/>
        <color indexed="8"/>
        <rFont val="Aptos"/>
      </rPr>
      <t>373</t>
    </r>
  </si>
  <si>
    <r>
      <rPr>
        <sz val="10"/>
        <color indexed="8"/>
        <rFont val="Aptos"/>
      </rPr>
      <t>374</t>
    </r>
  </si>
  <si>
    <r>
      <rPr>
        <sz val="10"/>
        <color indexed="8"/>
        <rFont val="Aptos"/>
      </rPr>
      <t>375</t>
    </r>
  </si>
  <si>
    <r>
      <rPr>
        <sz val="11"/>
        <color indexed="13"/>
        <rFont val="Aptos"/>
      </rPr>
      <t>La DSI assure la conformité aux réglementations numériques et contribue au dispositif de gestion de la conformité réglementaire, contractuelle ainsi que la conformité aux référentiels internes de l’organisation.</t>
    </r>
  </si>
  <si>
    <r>
      <rPr>
        <sz val="10"/>
        <color indexed="8"/>
        <rFont val="Aptos"/>
      </rPr>
      <t>381</t>
    </r>
  </si>
  <si>
    <r>
      <rPr>
        <sz val="10"/>
        <color indexed="8"/>
        <rFont val="Aptos"/>
      </rPr>
      <t>382</t>
    </r>
  </si>
  <si>
    <r>
      <rPr>
        <sz val="10"/>
        <color indexed="8"/>
        <rFont val="Aptos"/>
      </rPr>
      <t>383</t>
    </r>
  </si>
  <si>
    <r>
      <rPr>
        <sz val="10"/>
        <color indexed="8"/>
        <rFont val="Aptos"/>
      </rPr>
      <t>384</t>
    </r>
  </si>
  <si>
    <r>
      <rPr>
        <sz val="10"/>
        <color indexed="8"/>
        <rFont val="Aptos"/>
      </rPr>
      <t>385</t>
    </r>
  </si>
  <si>
    <r>
      <rPr>
        <sz val="10"/>
        <color indexed="8"/>
        <rFont val="Aptos"/>
      </rPr>
      <t>386</t>
    </r>
  </si>
  <si>
    <r>
      <rPr>
        <sz val="10"/>
        <color indexed="8"/>
        <rFont val="Aptos"/>
      </rPr>
      <t>387</t>
    </r>
  </si>
  <si>
    <t>Fiche évaluation Vecteur 4</t>
  </si>
  <si>
    <t>4</t>
  </si>
  <si>
    <r>
      <rPr>
        <sz val="10"/>
        <color indexed="8"/>
        <rFont val="Aptos"/>
      </rPr>
      <t>411</t>
    </r>
  </si>
  <si>
    <r>
      <rPr>
        <sz val="10"/>
        <color indexed="8"/>
        <rFont val="Aptos"/>
      </rPr>
      <t>412</t>
    </r>
  </si>
  <si>
    <r>
      <rPr>
        <sz val="10"/>
        <color indexed="8"/>
        <rFont val="Aptos"/>
      </rPr>
      <t>413</t>
    </r>
  </si>
  <si>
    <r>
      <rPr>
        <sz val="10"/>
        <color indexed="8"/>
        <rFont val="Aptos"/>
      </rPr>
      <t>414</t>
    </r>
  </si>
  <si>
    <r>
      <rPr>
        <sz val="10"/>
        <color indexed="8"/>
        <rFont val="Aptos"/>
      </rPr>
      <t>415</t>
    </r>
  </si>
  <si>
    <r>
      <rPr>
        <sz val="10"/>
        <color indexed="8"/>
        <rFont val="Aptos"/>
      </rPr>
      <t>416</t>
    </r>
  </si>
  <si>
    <r>
      <rPr>
        <sz val="10"/>
        <color indexed="8"/>
        <rFont val="Aptos"/>
      </rPr>
      <t>417</t>
    </r>
  </si>
  <si>
    <r>
      <rPr>
        <sz val="10"/>
        <color indexed="8"/>
        <rFont val="Aptos"/>
      </rPr>
      <t>41</t>
    </r>
  </si>
  <si>
    <r>
      <rPr>
        <sz val="10"/>
        <color indexed="8"/>
        <rFont val="Aptos"/>
      </rPr>
      <t>422</t>
    </r>
  </si>
  <si>
    <r>
      <rPr>
        <sz val="10"/>
        <color indexed="8"/>
        <rFont val="Aptos"/>
      </rPr>
      <t>42</t>
    </r>
  </si>
  <si>
    <t>L’organisation  met en œuvre un programme structuré de sensibilisation et de formation à la RSE et au numérique responsable, soutenu par des référents identifiés. Elle en mesure l’impact par</t>
  </si>
  <si>
    <t>des actions régulières.</t>
  </si>
  <si>
    <r>
      <rPr>
        <sz val="10"/>
        <color indexed="8"/>
        <rFont val="Aptos"/>
      </rPr>
      <t>421</t>
    </r>
  </si>
  <si>
    <r>
      <rPr>
        <sz val="10"/>
        <color indexed="8"/>
        <rFont val="Aptos"/>
      </rPr>
      <t>423</t>
    </r>
  </si>
  <si>
    <r>
      <rPr>
        <sz val="10"/>
        <color indexed="8"/>
        <rFont val="Aptos"/>
      </rPr>
      <t>424</t>
    </r>
  </si>
  <si>
    <r>
      <rPr>
        <sz val="10"/>
        <color indexed="8"/>
        <rFont val="Aptos"/>
      </rPr>
      <t>425</t>
    </r>
  </si>
  <si>
    <r>
      <rPr>
        <sz val="10"/>
        <color indexed="8"/>
        <rFont val="Aptos"/>
      </rPr>
      <t>426</t>
    </r>
  </si>
  <si>
    <r>
      <rPr>
        <sz val="10"/>
        <color indexed="8"/>
        <rFont val="Aptos"/>
      </rPr>
      <t>427</t>
    </r>
  </si>
  <si>
    <r>
      <rPr>
        <sz val="10"/>
        <color indexed="8"/>
        <rFont val="Aptos"/>
      </rPr>
      <t>433</t>
    </r>
  </si>
  <si>
    <r>
      <rPr>
        <sz val="10"/>
        <color indexed="8"/>
        <rFont val="Aptos"/>
      </rPr>
      <t>43</t>
    </r>
  </si>
  <si>
    <r>
      <rPr>
        <sz val="10"/>
        <color indexed="8"/>
        <rFont val="Aptos"/>
      </rPr>
      <t>431</t>
    </r>
  </si>
  <si>
    <r>
      <rPr>
        <sz val="10"/>
        <color indexed="8"/>
        <rFont val="Aptos"/>
      </rPr>
      <t>432</t>
    </r>
  </si>
  <si>
    <r>
      <rPr>
        <sz val="10"/>
        <color indexed="8"/>
        <rFont val="Aptos"/>
      </rPr>
      <t>434</t>
    </r>
  </si>
  <si>
    <r>
      <rPr>
        <sz val="10"/>
        <color indexed="8"/>
        <rFont val="Aptos"/>
      </rPr>
      <t>435</t>
    </r>
  </si>
  <si>
    <r>
      <rPr>
        <sz val="10"/>
        <color indexed="8"/>
        <rFont val="Aptos"/>
      </rPr>
      <t>436</t>
    </r>
  </si>
  <si>
    <r>
      <rPr>
        <sz val="10"/>
        <color indexed="8"/>
        <rFont val="Aptos"/>
      </rPr>
      <t>437</t>
    </r>
  </si>
  <si>
    <r>
      <rPr>
        <sz val="10"/>
        <color indexed="8"/>
        <rFont val="Aptos"/>
      </rPr>
      <t>444</t>
    </r>
  </si>
  <si>
    <r>
      <rPr>
        <sz val="10"/>
        <color indexed="8"/>
        <rFont val="Aptos"/>
      </rPr>
      <t>44</t>
    </r>
  </si>
  <si>
    <r>
      <rPr>
        <sz val="10"/>
        <color indexed="8"/>
        <rFont val="Aptos"/>
      </rPr>
      <t>441</t>
    </r>
  </si>
  <si>
    <r>
      <rPr>
        <sz val="10"/>
        <color indexed="8"/>
        <rFont val="Aptos"/>
      </rPr>
      <t>442</t>
    </r>
  </si>
  <si>
    <r>
      <rPr>
        <sz val="10"/>
        <color indexed="8"/>
        <rFont val="Aptos"/>
      </rPr>
      <t>443</t>
    </r>
  </si>
  <si>
    <r>
      <rPr>
        <sz val="10"/>
        <color indexed="8"/>
        <rFont val="Aptos"/>
      </rPr>
      <t>445</t>
    </r>
  </si>
  <si>
    <t>1 : Gouvernance</t>
  </si>
  <si>
    <t>2 : Sensibilisation</t>
  </si>
  <si>
    <t>3 : Eco conception et cycle de vie</t>
  </si>
  <si>
    <t>4 : Politique d'achats</t>
  </si>
  <si>
    <t>5 : Contribution à la RSE globale</t>
  </si>
  <si>
    <t>Evaluation globale du vecteur  4</t>
  </si>
  <si>
    <r>
      <rPr>
        <sz val="11"/>
        <color indexed="13"/>
        <rFont val="Aptos"/>
      </rPr>
      <t xml:space="preserve">Une gouvernance RSE incluant les sujets numériques est mise en place au niveau de l'organisation. </t>
    </r>
  </si>
  <si>
    <r>
      <rPr>
        <sz val="11"/>
        <color indexed="13"/>
        <rFont val="Aptos"/>
      </rPr>
      <t>L’organisation  met en œuvre un programme structuré de sensibilisation et de formation à la RSE et au numérique responsable, soutenu par des référents identifiés. Elle en mesure l’impact par des actions régulières.</t>
    </r>
  </si>
  <si>
    <r>
      <rPr>
        <sz val="11"/>
        <color indexed="13"/>
        <rFont val="Aptos"/>
      </rPr>
      <t>Les enjeux RSE sont intégrés dès la conception des services et des produits numériques et tout au long de leur cycle de vie.</t>
    </r>
  </si>
  <si>
    <r>
      <rPr>
        <sz val="11"/>
        <color indexed="13"/>
        <rFont val="Aptos"/>
      </rPr>
      <t>La DSI mène une politique d'achats responsable</t>
    </r>
  </si>
  <si>
    <r>
      <rPr>
        <sz val="10"/>
        <color indexed="8"/>
        <rFont val="Aptos"/>
      </rPr>
      <t>455</t>
    </r>
  </si>
  <si>
    <r>
      <rPr>
        <sz val="10"/>
        <color indexed="8"/>
        <rFont val="Aptos"/>
      </rPr>
      <t>451</t>
    </r>
  </si>
  <si>
    <r>
      <rPr>
        <sz val="11"/>
        <color indexed="13"/>
        <rFont val="Aptos"/>
      </rPr>
      <t>La filière numérique mesure et pilote sa contribution à la RSE de l'organisation.</t>
    </r>
  </si>
  <si>
    <r>
      <rPr>
        <sz val="10"/>
        <color indexed="8"/>
        <rFont val="Aptos"/>
      </rPr>
      <t>452</t>
    </r>
  </si>
  <si>
    <r>
      <rPr>
        <sz val="10"/>
        <color indexed="8"/>
        <rFont val="Aptos"/>
      </rPr>
      <t>453</t>
    </r>
  </si>
  <si>
    <t>Fiche évaluation Vecteur 5</t>
  </si>
  <si>
    <t>5</t>
  </si>
  <si>
    <t>L'organisation dispose d'une stratégie claire pour la gestion des données et d'un cadre de gouvernance associé visant à traiter les données comme un actif majeur. Cette</t>
  </si>
  <si>
    <t>stratégie inclut l'usage de l'IA.</t>
  </si>
  <si>
    <r>
      <rPr>
        <sz val="10"/>
        <color indexed="8"/>
        <rFont val="Aptos"/>
      </rPr>
      <t>511</t>
    </r>
  </si>
  <si>
    <r>
      <rPr>
        <sz val="10"/>
        <color indexed="8"/>
        <rFont val="Aptos"/>
      </rPr>
      <t>512</t>
    </r>
  </si>
  <si>
    <r>
      <rPr>
        <sz val="10"/>
        <color indexed="8"/>
        <rFont val="Aptos"/>
      </rPr>
      <t>513</t>
    </r>
  </si>
  <si>
    <r>
      <rPr>
        <sz val="10"/>
        <color indexed="8"/>
        <rFont val="Aptos"/>
      </rPr>
      <t>514</t>
    </r>
  </si>
  <si>
    <r>
      <rPr>
        <sz val="10"/>
        <color indexed="8"/>
        <rFont val="Aptos"/>
      </rPr>
      <t>515</t>
    </r>
  </si>
  <si>
    <r>
      <rPr>
        <sz val="10"/>
        <color indexed="8"/>
        <rFont val="Aptos"/>
      </rPr>
      <t>516</t>
    </r>
  </si>
  <si>
    <r>
      <rPr>
        <sz val="10"/>
        <color indexed="8"/>
        <rFont val="Aptos"/>
      </rPr>
      <t>517</t>
    </r>
  </si>
  <si>
    <r>
      <rPr>
        <sz val="10"/>
        <color indexed="8"/>
        <rFont val="Aptos"/>
      </rPr>
      <t>51</t>
    </r>
  </si>
  <si>
    <r>
      <rPr>
        <sz val="10"/>
        <color indexed="8"/>
        <rFont val="Aptos"/>
      </rPr>
      <t>522</t>
    </r>
  </si>
  <si>
    <r>
      <rPr>
        <sz val="10"/>
        <color indexed="8"/>
        <rFont val="Aptos"/>
      </rPr>
      <t>52</t>
    </r>
  </si>
  <si>
    <r>
      <rPr>
        <sz val="10"/>
        <color indexed="8"/>
        <rFont val="Aptos"/>
      </rPr>
      <t>521</t>
    </r>
  </si>
  <si>
    <r>
      <rPr>
        <sz val="10"/>
        <color indexed="8"/>
        <rFont val="Aptos"/>
      </rPr>
      <t>523</t>
    </r>
  </si>
  <si>
    <r>
      <rPr>
        <sz val="10"/>
        <color indexed="8"/>
        <rFont val="Aptos"/>
      </rPr>
      <t>524</t>
    </r>
  </si>
  <si>
    <r>
      <rPr>
        <sz val="10"/>
        <color indexed="8"/>
        <rFont val="Aptos"/>
      </rPr>
      <t>525</t>
    </r>
  </si>
  <si>
    <r>
      <rPr>
        <sz val="10"/>
        <color indexed="8"/>
        <rFont val="Aptos"/>
      </rPr>
      <t>526</t>
    </r>
  </si>
  <si>
    <r>
      <rPr>
        <sz val="10"/>
        <color indexed="8"/>
        <rFont val="Aptos"/>
      </rPr>
      <t>527</t>
    </r>
  </si>
  <si>
    <r>
      <rPr>
        <sz val="10"/>
        <color indexed="8"/>
        <rFont val="Aptos"/>
      </rPr>
      <t>533</t>
    </r>
  </si>
  <si>
    <r>
      <rPr>
        <sz val="10"/>
        <color indexed="8"/>
        <rFont val="Aptos"/>
      </rPr>
      <t>53</t>
    </r>
  </si>
  <si>
    <r>
      <rPr>
        <sz val="10"/>
        <color indexed="8"/>
        <rFont val="Aptos"/>
      </rPr>
      <t>531</t>
    </r>
  </si>
  <si>
    <r>
      <rPr>
        <sz val="10"/>
        <color indexed="8"/>
        <rFont val="Aptos"/>
      </rPr>
      <t>532</t>
    </r>
  </si>
  <si>
    <r>
      <rPr>
        <sz val="10"/>
        <color indexed="8"/>
        <rFont val="Aptos"/>
      </rPr>
      <t>534</t>
    </r>
  </si>
  <si>
    <r>
      <rPr>
        <sz val="10"/>
        <color indexed="8"/>
        <rFont val="Aptos"/>
      </rPr>
      <t>535</t>
    </r>
  </si>
  <si>
    <r>
      <rPr>
        <sz val="10"/>
        <color indexed="8"/>
        <rFont val="Aptos"/>
      </rPr>
      <t>536</t>
    </r>
  </si>
  <si>
    <r>
      <rPr>
        <sz val="10"/>
        <color indexed="8"/>
        <rFont val="Aptos"/>
      </rPr>
      <t>537</t>
    </r>
  </si>
  <si>
    <r>
      <rPr>
        <sz val="10"/>
        <color indexed="8"/>
        <rFont val="Aptos"/>
      </rPr>
      <t>544</t>
    </r>
  </si>
  <si>
    <r>
      <rPr>
        <sz val="10"/>
        <color indexed="8"/>
        <rFont val="Aptos"/>
      </rPr>
      <t>54</t>
    </r>
  </si>
  <si>
    <r>
      <rPr>
        <sz val="10"/>
        <color indexed="8"/>
        <rFont val="Aptos"/>
      </rPr>
      <t>541</t>
    </r>
  </si>
  <si>
    <t>1 : Stratégie et gouvernance</t>
  </si>
  <si>
    <t>2 : Processus</t>
  </si>
  <si>
    <t>3 : Valorisation</t>
  </si>
  <si>
    <t>4 : Sécurisation</t>
  </si>
  <si>
    <t>5 : Intelligence artificielle</t>
  </si>
  <si>
    <t>Evaluation globale du vecteur  5</t>
  </si>
  <si>
    <r>
      <rPr>
        <sz val="11"/>
        <color indexed="13"/>
        <rFont val="Aptos"/>
      </rPr>
      <t>L'organisation dispose d'une stratégie claire pour la gestion des données et d'un cadre de gouvernance associé visant à traiter les données comme un actif majeur. Cette stratégie inclut l'usage de l'IA.</t>
    </r>
  </si>
  <si>
    <r>
      <rPr>
        <sz val="11"/>
        <color indexed="13"/>
        <rFont val="Aptos"/>
      </rPr>
      <t>L'organisation dispose d'un processus de gestion de la donnée.</t>
    </r>
  </si>
  <si>
    <r>
      <rPr>
        <sz val="11"/>
        <color indexed="13"/>
        <rFont val="Aptos"/>
      </rPr>
      <t xml:space="preserve">L'organisation met en place les dispositifs nécessaires pour atteindre les objectifs stratégiques liés aux données, en s’appuyant sur la cartographie réalisée. </t>
    </r>
  </si>
  <si>
    <r>
      <rPr>
        <sz val="11"/>
        <color indexed="13"/>
        <rFont val="Aptos"/>
      </rPr>
      <t>L’organisation a mis en place un dispositif pour protéger ses données.</t>
    </r>
  </si>
  <si>
    <r>
      <rPr>
        <sz val="10"/>
        <color indexed="8"/>
        <rFont val="Aptos"/>
      </rPr>
      <t>542</t>
    </r>
  </si>
  <si>
    <r>
      <rPr>
        <sz val="10"/>
        <color indexed="8"/>
        <rFont val="Aptos"/>
      </rPr>
      <t>543</t>
    </r>
  </si>
  <si>
    <r>
      <rPr>
        <sz val="10"/>
        <color indexed="8"/>
        <rFont val="Aptos"/>
      </rPr>
      <t>545</t>
    </r>
  </si>
  <si>
    <r>
      <rPr>
        <sz val="10"/>
        <color indexed="8"/>
        <rFont val="Aptos"/>
      </rPr>
      <t>555</t>
    </r>
  </si>
  <si>
    <r>
      <rPr>
        <sz val="10"/>
        <color indexed="8"/>
        <rFont val="Aptos"/>
      </rPr>
      <t>551</t>
    </r>
  </si>
  <si>
    <r>
      <rPr>
        <sz val="11"/>
        <color indexed="13"/>
        <rFont val="Aptos"/>
      </rPr>
      <t>L'organisation maîtrise l'exploitation de ses données par l'IA pour atteindre ses objectifs stratégiques.</t>
    </r>
  </si>
  <si>
    <r>
      <rPr>
        <sz val="10"/>
        <color indexed="8"/>
        <rFont val="Aptos"/>
      </rPr>
      <t>552</t>
    </r>
  </si>
  <si>
    <r>
      <rPr>
        <sz val="10"/>
        <color indexed="8"/>
        <rFont val="Aptos"/>
      </rPr>
      <t>553</t>
    </r>
  </si>
  <si>
    <r>
      <rPr>
        <sz val="10"/>
        <color indexed="8"/>
        <rFont val="Aptos"/>
      </rPr>
      <t>554</t>
    </r>
  </si>
  <si>
    <r>
      <rPr>
        <sz val="10"/>
        <color indexed="8"/>
        <rFont val="Aptos"/>
      </rPr>
      <t>556</t>
    </r>
  </si>
  <si>
    <r>
      <rPr>
        <sz val="10"/>
        <color indexed="8"/>
        <rFont val="Aptos"/>
      </rPr>
      <t>557</t>
    </r>
  </si>
  <si>
    <t>Fiche évaluation Vecteur 6</t>
  </si>
  <si>
    <t>6</t>
  </si>
  <si>
    <t>Une cartographie recence les application, les données et les flux de données entre applications, les services techniques, les infrastructures, etc.</t>
  </si>
  <si>
    <t>Mettre en relation cette cartographie SI avec les processus métiers de l'organisation et évolue à l’occasion des projets.</t>
  </si>
  <si>
    <r>
      <rPr>
        <sz val="10"/>
        <color indexed="8"/>
        <rFont val="Aptos"/>
      </rPr>
      <t>611</t>
    </r>
  </si>
  <si>
    <r>
      <rPr>
        <sz val="10"/>
        <color indexed="8"/>
        <rFont val="Aptos"/>
      </rPr>
      <t>612</t>
    </r>
  </si>
  <si>
    <r>
      <rPr>
        <sz val="10"/>
        <color indexed="8"/>
        <rFont val="Aptos"/>
      </rPr>
      <t>613</t>
    </r>
  </si>
  <si>
    <r>
      <rPr>
        <sz val="10"/>
        <color indexed="8"/>
        <rFont val="Aptos"/>
      </rPr>
      <t>614</t>
    </r>
  </si>
  <si>
    <r>
      <rPr>
        <sz val="10"/>
        <color indexed="8"/>
        <rFont val="Aptos"/>
      </rPr>
      <t>615</t>
    </r>
  </si>
  <si>
    <r>
      <rPr>
        <sz val="10"/>
        <color indexed="8"/>
        <rFont val="Aptos"/>
      </rPr>
      <t>616</t>
    </r>
  </si>
  <si>
    <r>
      <rPr>
        <sz val="10"/>
        <color indexed="8"/>
        <rFont val="Aptos"/>
      </rPr>
      <t>617</t>
    </r>
  </si>
  <si>
    <r>
      <rPr>
        <sz val="10"/>
        <color indexed="8"/>
        <rFont val="Aptos"/>
      </rPr>
      <t>61</t>
    </r>
  </si>
  <si>
    <r>
      <rPr>
        <sz val="10"/>
        <color indexed="8"/>
        <rFont val="Aptos"/>
      </rPr>
      <t>622</t>
    </r>
  </si>
  <si>
    <r>
      <rPr>
        <sz val="10"/>
        <color indexed="8"/>
        <rFont val="Aptos"/>
      </rPr>
      <t>62</t>
    </r>
  </si>
  <si>
    <t>Le volet numérique du plan stratégique de l’organisation se décline dans une feuille de route (ou schéma directeur SI), co-construite avec les métiers, qui s’appuie sur la cartographie,</t>
  </si>
  <si>
    <t xml:space="preserve">le schéma d’urbanisation s'il existe, ou à défaut, sur le patrimoine applicatif et sur l’organisation des données. </t>
  </si>
  <si>
    <r>
      <rPr>
        <sz val="10"/>
        <color indexed="8"/>
        <rFont val="Aptos"/>
      </rPr>
      <t>621</t>
    </r>
  </si>
  <si>
    <r>
      <rPr>
        <sz val="10"/>
        <color indexed="8"/>
        <rFont val="Aptos"/>
      </rPr>
      <t>623</t>
    </r>
  </si>
  <si>
    <r>
      <rPr>
        <sz val="10"/>
        <color indexed="8"/>
        <rFont val="Aptos"/>
      </rPr>
      <t>624</t>
    </r>
  </si>
  <si>
    <r>
      <rPr>
        <sz val="10"/>
        <color indexed="8"/>
        <rFont val="Aptos"/>
      </rPr>
      <t>625</t>
    </r>
  </si>
  <si>
    <r>
      <rPr>
        <sz val="10"/>
        <color indexed="8"/>
        <rFont val="Aptos"/>
      </rPr>
      <t>626</t>
    </r>
  </si>
  <si>
    <r>
      <rPr>
        <sz val="10"/>
        <color indexed="8"/>
        <rFont val="Aptos"/>
      </rPr>
      <t>627</t>
    </r>
  </si>
  <si>
    <r>
      <rPr>
        <sz val="10"/>
        <color indexed="8"/>
        <rFont val="Aptos"/>
      </rPr>
      <t>633</t>
    </r>
  </si>
  <si>
    <r>
      <rPr>
        <sz val="10"/>
        <color indexed="8"/>
        <rFont val="Aptos"/>
      </rPr>
      <t>63</t>
    </r>
  </si>
  <si>
    <r>
      <rPr>
        <sz val="10"/>
        <color indexed="8"/>
        <rFont val="Aptos"/>
      </rPr>
      <t>631</t>
    </r>
  </si>
  <si>
    <r>
      <rPr>
        <sz val="10"/>
        <color indexed="8"/>
        <rFont val="Aptos"/>
      </rPr>
      <t>632</t>
    </r>
  </si>
  <si>
    <r>
      <rPr>
        <sz val="10"/>
        <color indexed="8"/>
        <rFont val="Aptos"/>
      </rPr>
      <t>634</t>
    </r>
  </si>
  <si>
    <r>
      <rPr>
        <sz val="10"/>
        <color indexed="8"/>
        <rFont val="Aptos"/>
      </rPr>
      <t>635</t>
    </r>
  </si>
  <si>
    <r>
      <rPr>
        <sz val="10"/>
        <color indexed="8"/>
        <rFont val="Aptos"/>
      </rPr>
      <t>636</t>
    </r>
  </si>
  <si>
    <r>
      <rPr>
        <sz val="10"/>
        <color indexed="8"/>
        <rFont val="Aptos"/>
      </rPr>
      <t>637</t>
    </r>
  </si>
  <si>
    <r>
      <rPr>
        <sz val="10"/>
        <color indexed="8"/>
        <rFont val="Aptos"/>
      </rPr>
      <t>644</t>
    </r>
  </si>
  <si>
    <r>
      <rPr>
        <sz val="10"/>
        <color indexed="8"/>
        <rFont val="Aptos"/>
      </rPr>
      <t>64</t>
    </r>
  </si>
  <si>
    <t>Les enjeux d’architecture sont explicités et partagés au moyen d’un vocabulaire accessible et de schémas explicatifs. Les métiers sont impliqués et responsabilisés dans leurs choix d’investissements,</t>
  </si>
  <si>
    <t>sur la base d’une identification claire des impacts sur leurs processus.</t>
  </si>
  <si>
    <r>
      <rPr>
        <sz val="10"/>
        <color indexed="8"/>
        <rFont val="Aptos"/>
      </rPr>
      <t>641</t>
    </r>
  </si>
  <si>
    <r>
      <rPr>
        <sz val="10"/>
        <color indexed="8"/>
        <rFont val="Aptos"/>
      </rPr>
      <t>642</t>
    </r>
  </si>
  <si>
    <r>
      <rPr>
        <sz val="10"/>
        <color indexed="8"/>
        <rFont val="Aptos"/>
      </rPr>
      <t>643</t>
    </r>
  </si>
  <si>
    <r>
      <rPr>
        <sz val="10"/>
        <color indexed="8"/>
        <rFont val="Aptos"/>
      </rPr>
      <t>645</t>
    </r>
  </si>
  <si>
    <r>
      <rPr>
        <sz val="10"/>
        <color indexed="8"/>
        <rFont val="Aptos"/>
      </rPr>
      <t>646</t>
    </r>
  </si>
  <si>
    <t>Les règles et principes d’architecture sont édictés avec des modalités d’application adaptées aux enjeux et aux risques. Elles constituent un référentiel sur lequel s’appuient les équipes de projets,</t>
  </si>
  <si>
    <t xml:space="preserve">les responsables applicatifs et les métiers. </t>
  </si>
  <si>
    <t>Une organisation est mise en place pour assurer l’application du cadre de référence et piloter son évolution afin de répondre aux besoins de l'organisation</t>
  </si>
  <si>
    <t>et de prendre en compte les évolutions technologiques et méthodologiques (nouvelles pratiques).</t>
  </si>
  <si>
    <t>1 : Cartographie</t>
  </si>
  <si>
    <t>2 : Feuille de route SI</t>
  </si>
  <si>
    <t>3 : Modularité et ouverture de l'architecture</t>
  </si>
  <si>
    <t>4 : Communication vers le métier</t>
  </si>
  <si>
    <t>5 : Règles et Principes</t>
  </si>
  <si>
    <t>6 : Gouvernance et architecture</t>
  </si>
  <si>
    <t>Evaluation globale du vecteur  6</t>
  </si>
  <si>
    <r>
      <rPr>
        <sz val="11"/>
        <color indexed="13"/>
        <rFont val="Aptos"/>
      </rPr>
      <t>Une cartographie recence les application, les données et les flux de données entre applications, les services techniques, les infrastructures, etc. Mettre en relation cette cartographie SI avec les processus métiers de l'organisation et évolue à l’occasion des projets.</t>
    </r>
  </si>
  <si>
    <r>
      <rPr>
        <sz val="11"/>
        <color indexed="13"/>
        <rFont val="Aptos"/>
      </rPr>
      <t xml:space="preserve">Le volet numérique du plan stratégique de l’organisation se décline dans une feuille de route (ou schéma directeur SI), co-construite avec les métiers, qui s’appuie sur la cartographie, le schéma d’urbanisation s'il existe, ou à défaut, sur le patrimoine applicatif et sur l’organisation des données. </t>
    </r>
  </si>
  <si>
    <r>
      <rPr>
        <sz val="11"/>
        <color indexed="13"/>
        <rFont val="Aptos"/>
      </rPr>
      <t>La feuille de route du SI décline une architecture modulaire permettant la coexistence de systèmes d’information aux exigences hétérogènes et l’intégration de solutions diversifiées.</t>
    </r>
  </si>
  <si>
    <r>
      <rPr>
        <sz val="11"/>
        <color indexed="13"/>
        <rFont val="Aptos"/>
      </rPr>
      <t>Les enjeux d’architecture sont explicités et partagés au moyen d’un vocabulaire accessible et de schémas explicatifs. Les métiers sont impliqués et responsabilisés dans leurs choix d’investissements, sur la base d’une identification claire des impacts sur leurs processus.</t>
    </r>
  </si>
  <si>
    <r>
      <rPr>
        <sz val="10"/>
        <color indexed="8"/>
        <rFont val="Aptos"/>
      </rPr>
      <t>655</t>
    </r>
  </si>
  <si>
    <r>
      <rPr>
        <sz val="10"/>
        <color indexed="8"/>
        <rFont val="Aptos"/>
      </rPr>
      <t>651</t>
    </r>
  </si>
  <si>
    <r>
      <rPr>
        <sz val="11"/>
        <color indexed="13"/>
        <rFont val="Aptos"/>
      </rPr>
      <t xml:space="preserve">Les règles et principes d’architecture sont édictés avec des modalités d’application adaptées aux enjeux et aux risques. Elles constituent un référentiel sur lequel s’appuient les équipes de projets, les responsables applicatifs et les métiers. </t>
    </r>
  </si>
  <si>
    <r>
      <rPr>
        <sz val="10"/>
        <color indexed="8"/>
        <rFont val="Aptos"/>
      </rPr>
      <t>652</t>
    </r>
  </si>
  <si>
    <r>
      <rPr>
        <sz val="10"/>
        <color indexed="8"/>
        <rFont val="Aptos"/>
      </rPr>
      <t>Des règles d’architecture permettent de favoriser le time-to-market et l’innovation tout en limitant les risques de perte de maîtrise du SI (sécurité, résilience, maintenabilité, conformité, etc.).</t>
    </r>
  </si>
  <si>
    <r>
      <rPr>
        <sz val="10"/>
        <color indexed="8"/>
        <rFont val="Aptos"/>
      </rPr>
      <t>653</t>
    </r>
  </si>
  <si>
    <r>
      <rPr>
        <sz val="10"/>
        <color indexed="8"/>
        <rFont val="Aptos"/>
      </rPr>
      <t>654</t>
    </r>
  </si>
  <si>
    <r>
      <rPr>
        <sz val="10"/>
        <color indexed="8"/>
        <rFont val="Aptos"/>
      </rPr>
      <t>656</t>
    </r>
  </si>
  <si>
    <r>
      <rPr>
        <sz val="10"/>
        <color indexed="8"/>
        <rFont val="Aptos"/>
      </rPr>
      <t>666</t>
    </r>
  </si>
  <si>
    <r>
      <rPr>
        <sz val="10"/>
        <color indexed="8"/>
        <rFont val="Aptos"/>
      </rPr>
      <t>661</t>
    </r>
  </si>
  <si>
    <r>
      <rPr>
        <sz val="11"/>
        <color indexed="13"/>
        <rFont val="Aptos"/>
      </rPr>
      <t>Une organisation est mise en place pour assurer l’application du cadre de référence et piloter son évolution afin de répondre aux besoins de l'organisation et de prendre en compte les évolutions technologiques et méthodologiques (nouvelles pratiques).</t>
    </r>
  </si>
  <si>
    <r>
      <rPr>
        <sz val="10"/>
        <color indexed="8"/>
        <rFont val="Aptos"/>
      </rPr>
      <t>662</t>
    </r>
  </si>
  <si>
    <r>
      <rPr>
        <sz val="10"/>
        <color indexed="8"/>
        <rFont val="Aptos"/>
      </rPr>
      <t>663</t>
    </r>
  </si>
  <si>
    <r>
      <rPr>
        <sz val="10"/>
        <color indexed="8"/>
        <rFont val="Aptos"/>
      </rPr>
      <t>664</t>
    </r>
  </si>
  <si>
    <r>
      <rPr>
        <sz val="10"/>
        <color indexed="8"/>
        <rFont val="Aptos"/>
      </rPr>
      <t>665</t>
    </r>
  </si>
  <si>
    <r>
      <rPr>
        <sz val="10"/>
        <color indexed="8"/>
        <rFont val="Aptos"/>
      </rPr>
      <t>667</t>
    </r>
  </si>
  <si>
    <t>Fiche évaluation Vecteur 7</t>
  </si>
  <si>
    <t>7</t>
  </si>
  <si>
    <r>
      <rPr>
        <sz val="10"/>
        <color indexed="8"/>
        <rFont val="Aptos"/>
      </rPr>
      <t>711</t>
    </r>
  </si>
  <si>
    <r>
      <rPr>
        <sz val="10"/>
        <color indexed="8"/>
        <rFont val="Aptos"/>
      </rPr>
      <t>712</t>
    </r>
  </si>
  <si>
    <r>
      <rPr>
        <sz val="10"/>
        <color indexed="8"/>
        <rFont val="Aptos"/>
      </rPr>
      <t>713</t>
    </r>
  </si>
  <si>
    <r>
      <rPr>
        <sz val="10"/>
        <color indexed="8"/>
        <rFont val="Aptos"/>
      </rPr>
      <t>714</t>
    </r>
  </si>
  <si>
    <r>
      <rPr>
        <sz val="10"/>
        <color indexed="8"/>
        <rFont val="Aptos"/>
      </rPr>
      <t>715</t>
    </r>
  </si>
  <si>
    <r>
      <rPr>
        <sz val="10"/>
        <color indexed="8"/>
        <rFont val="Aptos"/>
      </rPr>
      <t>716</t>
    </r>
  </si>
  <si>
    <r>
      <rPr>
        <sz val="10"/>
        <color indexed="8"/>
        <rFont val="Aptos"/>
      </rPr>
      <t>717</t>
    </r>
  </si>
  <si>
    <r>
      <rPr>
        <sz val="10"/>
        <color indexed="8"/>
        <rFont val="Aptos"/>
      </rPr>
      <t>71</t>
    </r>
  </si>
  <si>
    <r>
      <rPr>
        <sz val="10"/>
        <color indexed="8"/>
        <rFont val="Aptos"/>
      </rPr>
      <t>722</t>
    </r>
  </si>
  <si>
    <r>
      <rPr>
        <sz val="10"/>
        <color indexed="8"/>
        <rFont val="Aptos"/>
      </rPr>
      <t>72</t>
    </r>
  </si>
  <si>
    <r>
      <rPr>
        <sz val="10"/>
        <color indexed="8"/>
        <rFont val="Aptos"/>
      </rPr>
      <t>721</t>
    </r>
  </si>
  <si>
    <r>
      <rPr>
        <sz val="10"/>
        <color indexed="8"/>
        <rFont val="Aptos"/>
      </rPr>
      <t>723</t>
    </r>
  </si>
  <si>
    <r>
      <rPr>
        <sz val="10"/>
        <color indexed="8"/>
        <rFont val="Aptos"/>
      </rPr>
      <t>724</t>
    </r>
  </si>
  <si>
    <r>
      <rPr>
        <sz val="10"/>
        <color indexed="8"/>
        <rFont val="Aptos"/>
      </rPr>
      <t>725</t>
    </r>
  </si>
  <si>
    <r>
      <rPr>
        <sz val="10"/>
        <color indexed="8"/>
        <rFont val="Aptos"/>
      </rPr>
      <t>726</t>
    </r>
  </si>
  <si>
    <r>
      <rPr>
        <sz val="10"/>
        <color indexed="8"/>
        <rFont val="Aptos"/>
      </rPr>
      <t>727</t>
    </r>
  </si>
  <si>
    <r>
      <rPr>
        <sz val="10"/>
        <color indexed="8"/>
        <rFont val="Aptos"/>
      </rPr>
      <t>733</t>
    </r>
  </si>
  <si>
    <r>
      <rPr>
        <sz val="10"/>
        <color indexed="8"/>
        <rFont val="Aptos"/>
      </rPr>
      <t>73</t>
    </r>
  </si>
  <si>
    <r>
      <rPr>
        <sz val="10"/>
        <color indexed="8"/>
        <rFont val="Aptos"/>
      </rPr>
      <t>731</t>
    </r>
  </si>
  <si>
    <r>
      <rPr>
        <sz val="10"/>
        <color indexed="8"/>
        <rFont val="Aptos"/>
      </rPr>
      <t>732</t>
    </r>
  </si>
  <si>
    <r>
      <rPr>
        <sz val="10"/>
        <color indexed="8"/>
        <rFont val="Aptos"/>
      </rPr>
      <t>734</t>
    </r>
  </si>
  <si>
    <r>
      <rPr>
        <sz val="10"/>
        <color indexed="8"/>
        <rFont val="Aptos"/>
      </rPr>
      <t>735</t>
    </r>
  </si>
  <si>
    <r>
      <rPr>
        <sz val="10"/>
        <color indexed="8"/>
        <rFont val="Aptos"/>
      </rPr>
      <t>736</t>
    </r>
  </si>
  <si>
    <r>
      <rPr>
        <sz val="10"/>
        <color indexed="8"/>
        <rFont val="Aptos"/>
      </rPr>
      <t>737</t>
    </r>
  </si>
  <si>
    <r>
      <rPr>
        <sz val="10"/>
        <color indexed="8"/>
        <rFont val="Aptos"/>
      </rPr>
      <t>744</t>
    </r>
  </si>
  <si>
    <r>
      <rPr>
        <sz val="10"/>
        <color indexed="8"/>
        <rFont val="Aptos"/>
      </rPr>
      <t>74</t>
    </r>
  </si>
  <si>
    <t>Un processus de gestion des priorités de lancement (inter-projets) basé sur les business cases est mis en place</t>
  </si>
  <si>
    <t>et implique les directions métiers au niveau du Comité de direction pour les projets clés.</t>
  </si>
  <si>
    <r>
      <rPr>
        <sz val="10"/>
        <color indexed="8"/>
        <rFont val="Aptos"/>
      </rPr>
      <t>741</t>
    </r>
  </si>
  <si>
    <r>
      <rPr>
        <sz val="10"/>
        <color indexed="8"/>
        <rFont val="Aptos"/>
      </rPr>
      <t>742</t>
    </r>
  </si>
  <si>
    <r>
      <rPr>
        <sz val="10"/>
        <color indexed="8"/>
        <rFont val="Aptos"/>
      </rPr>
      <t>743</t>
    </r>
  </si>
  <si>
    <r>
      <rPr>
        <sz val="10"/>
        <color indexed="8"/>
        <rFont val="Aptos"/>
      </rPr>
      <t>745</t>
    </r>
  </si>
  <si>
    <t>Des projets, impliquant les directions métiers, permet de suivre, recadrer, revoir la priorité ou arrêter les projets en cours, sur la base d’un</t>
  </si>
  <si>
    <t>reporting fiable et exhaustif, le cas échéant en actualisant les business cases.</t>
  </si>
  <si>
    <t>La direction générale fait effectuer des bilans de projet métiers, une fois le fonctionnement nominal atteint, afin d’en tirer les enseignements nécessaires</t>
  </si>
  <si>
    <t>et d’optimiser les processus de décision et de pilotage.</t>
  </si>
  <si>
    <t>1 : Référentiel de projets</t>
  </si>
  <si>
    <t>2 : Business Case</t>
  </si>
  <si>
    <t>3 : Innovation</t>
  </si>
  <si>
    <t>4 : Innovation</t>
  </si>
  <si>
    <t>5 : Suivi et recadrage des projets lancés</t>
  </si>
  <si>
    <t>6 : Bilan de projet métiers</t>
  </si>
  <si>
    <t>Evaluation globale du vecteur  7</t>
  </si>
  <si>
    <r>
      <rPr>
        <sz val="11"/>
        <color indexed="13"/>
        <rFont val="Aptos"/>
      </rPr>
      <t>Tous les projets sont répertoriés dans un référentiel unique pouvant être structuré en programmes afin de faciliter leur gestion  globale.</t>
    </r>
  </si>
  <si>
    <r>
      <rPr>
        <sz val="11"/>
        <color indexed="13"/>
        <rFont val="Aptos"/>
      </rPr>
      <t>Les métiers élaborent un business case avec l’aide de la DSI, pour chaque projet ayant un volet numérique significatif.</t>
    </r>
  </si>
  <si>
    <r>
      <rPr>
        <sz val="11"/>
        <color indexed="13"/>
        <rFont val="Aptos"/>
      </rPr>
      <t>Le portefeuille de projets intègre les projets d’industrialisation des initiatives d’innovation (PoC, MVP, Labs et autres travaux de R&amp;D).</t>
    </r>
  </si>
  <si>
    <r>
      <rPr>
        <sz val="11"/>
        <color indexed="13"/>
        <rFont val="Aptos"/>
      </rPr>
      <t>Un processus de gestion des priorités de lancement (inter-projets) basé sur les business case est mis en place et implique les directions métiers au niveau du Comité de direction pour les projets clés.</t>
    </r>
  </si>
  <si>
    <r>
      <rPr>
        <sz val="10"/>
        <color indexed="8"/>
        <rFont val="Aptos"/>
      </rPr>
      <t>755</t>
    </r>
  </si>
  <si>
    <r>
      <rPr>
        <sz val="10"/>
        <color indexed="8"/>
        <rFont val="Aptos"/>
      </rPr>
      <t>751</t>
    </r>
  </si>
  <si>
    <r>
      <rPr>
        <sz val="11"/>
        <color indexed="13"/>
        <rFont val="Aptos"/>
      </rPr>
      <t>Un processus de management de projets, impliquant les directions métiers, permet de suivre, recadrer, revoir la priorité ou arrêter les projets en cours, sur la base d’un reporting fiable et exhaustif, le cas échéant en actualisant les business cases.</t>
    </r>
  </si>
  <si>
    <r>
      <rPr>
        <sz val="10"/>
        <color indexed="8"/>
        <rFont val="Aptos"/>
      </rPr>
      <t>752</t>
    </r>
  </si>
  <si>
    <r>
      <rPr>
        <sz val="10"/>
        <color indexed="8"/>
        <rFont val="Aptos"/>
      </rPr>
      <t>753</t>
    </r>
  </si>
  <si>
    <r>
      <rPr>
        <sz val="10"/>
        <color indexed="8"/>
        <rFont val="Aptos"/>
      </rPr>
      <t>754</t>
    </r>
  </si>
  <si>
    <r>
      <rPr>
        <sz val="10"/>
        <color indexed="8"/>
        <rFont val="Aptos"/>
      </rPr>
      <t>766</t>
    </r>
  </si>
  <si>
    <r>
      <rPr>
        <sz val="10"/>
        <color indexed="8"/>
        <rFont val="Aptos"/>
      </rPr>
      <t>761</t>
    </r>
  </si>
  <si>
    <r>
      <rPr>
        <sz val="11"/>
        <color indexed="13"/>
        <rFont val="Aptos"/>
      </rPr>
      <t>La direction générale fait effectuer des bilans de projet métier, une fois le fonctionnement nominal atteint, afin d’en tirer les enseignements nécessaires et d’optimiser le processus de décision et de pilotage des projets.</t>
    </r>
  </si>
  <si>
    <r>
      <rPr>
        <sz val="10"/>
        <color indexed="8"/>
        <rFont val="Aptos"/>
      </rPr>
      <t>762</t>
    </r>
  </si>
  <si>
    <r>
      <rPr>
        <sz val="10"/>
        <color indexed="8"/>
        <rFont val="Aptos"/>
      </rPr>
      <t>763</t>
    </r>
  </si>
  <si>
    <r>
      <rPr>
        <sz val="10"/>
        <color indexed="8"/>
        <rFont val="Aptos"/>
      </rPr>
      <t>764</t>
    </r>
  </si>
  <si>
    <r>
      <rPr>
        <sz val="10"/>
        <color indexed="8"/>
        <rFont val="Aptos"/>
      </rPr>
      <t>765</t>
    </r>
  </si>
  <si>
    <t>Fiche évaluation Vecteur 8</t>
  </si>
  <si>
    <t>8</t>
  </si>
  <si>
    <r>
      <rPr>
        <sz val="10"/>
        <color indexed="8"/>
        <rFont val="Aptos"/>
      </rPr>
      <t>811</t>
    </r>
  </si>
  <si>
    <r>
      <rPr>
        <sz val="10"/>
        <color indexed="8"/>
        <rFont val="Aptos"/>
      </rPr>
      <t>812</t>
    </r>
  </si>
  <si>
    <r>
      <rPr>
        <sz val="10"/>
        <color indexed="8"/>
        <rFont val="Aptos"/>
      </rPr>
      <t>813</t>
    </r>
  </si>
  <si>
    <r>
      <rPr>
        <sz val="10"/>
        <color indexed="8"/>
        <rFont val="Aptos"/>
      </rPr>
      <t>814</t>
    </r>
  </si>
  <si>
    <r>
      <rPr>
        <sz val="10"/>
        <color indexed="8"/>
        <rFont val="Aptos"/>
      </rPr>
      <t>815</t>
    </r>
  </si>
  <si>
    <r>
      <rPr>
        <sz val="10"/>
        <color indexed="8"/>
        <rFont val="Aptos"/>
      </rPr>
      <t>816</t>
    </r>
  </si>
  <si>
    <r>
      <rPr>
        <sz val="10"/>
        <color indexed="8"/>
        <rFont val="Aptos"/>
      </rPr>
      <t>817</t>
    </r>
  </si>
  <si>
    <r>
      <rPr>
        <sz val="10"/>
        <color indexed="8"/>
        <rFont val="Aptos"/>
      </rPr>
      <t>81</t>
    </r>
  </si>
  <si>
    <r>
      <rPr>
        <sz val="10"/>
        <color indexed="8"/>
        <rFont val="Aptos"/>
      </rPr>
      <t>822</t>
    </r>
  </si>
  <si>
    <r>
      <rPr>
        <sz val="10"/>
        <color indexed="8"/>
        <rFont val="Aptos"/>
      </rPr>
      <t>82</t>
    </r>
  </si>
  <si>
    <r>
      <rPr>
        <sz val="10"/>
        <color indexed="8"/>
        <rFont val="Aptos"/>
      </rPr>
      <t>821</t>
    </r>
  </si>
  <si>
    <r>
      <rPr>
        <sz val="10"/>
        <color indexed="8"/>
        <rFont val="Aptos"/>
      </rPr>
      <t>823</t>
    </r>
  </si>
  <si>
    <r>
      <rPr>
        <sz val="10"/>
        <color indexed="8"/>
        <rFont val="Aptos"/>
      </rPr>
      <t>824</t>
    </r>
  </si>
  <si>
    <r>
      <rPr>
        <sz val="10"/>
        <color indexed="8"/>
        <rFont val="Aptos"/>
      </rPr>
      <t>825</t>
    </r>
  </si>
  <si>
    <r>
      <rPr>
        <sz val="10"/>
        <color indexed="8"/>
        <rFont val="Aptos"/>
      </rPr>
      <t>826</t>
    </r>
  </si>
  <si>
    <r>
      <rPr>
        <sz val="10"/>
        <color indexed="8"/>
        <rFont val="Aptos"/>
      </rPr>
      <t>827</t>
    </r>
  </si>
  <si>
    <r>
      <rPr>
        <sz val="10"/>
        <color indexed="8"/>
        <rFont val="Aptos"/>
      </rPr>
      <t>833</t>
    </r>
  </si>
  <si>
    <r>
      <rPr>
        <sz val="10"/>
        <color indexed="8"/>
        <rFont val="Aptos"/>
      </rPr>
      <t>83</t>
    </r>
  </si>
  <si>
    <r>
      <rPr>
        <sz val="10"/>
        <color indexed="8"/>
        <rFont val="Aptos"/>
      </rPr>
      <t>831</t>
    </r>
  </si>
  <si>
    <r>
      <rPr>
        <sz val="10"/>
        <color indexed="8"/>
        <rFont val="Aptos"/>
      </rPr>
      <t>832</t>
    </r>
  </si>
  <si>
    <r>
      <rPr>
        <sz val="10"/>
        <color indexed="8"/>
        <rFont val="Aptos"/>
      </rPr>
      <t>834</t>
    </r>
  </si>
  <si>
    <r>
      <rPr>
        <sz val="10"/>
        <color indexed="8"/>
        <rFont val="Aptos"/>
      </rPr>
      <t>835</t>
    </r>
  </si>
  <si>
    <r>
      <rPr>
        <sz val="10"/>
        <color indexed="8"/>
        <rFont val="Aptos"/>
      </rPr>
      <t>836</t>
    </r>
  </si>
  <si>
    <r>
      <rPr>
        <sz val="10"/>
        <color indexed="8"/>
        <rFont val="Aptos"/>
      </rPr>
      <t>837</t>
    </r>
  </si>
  <si>
    <r>
      <rPr>
        <sz val="10"/>
        <color indexed="8"/>
        <rFont val="Aptos"/>
      </rPr>
      <t>844</t>
    </r>
  </si>
  <si>
    <r>
      <rPr>
        <sz val="10"/>
        <color indexed="8"/>
        <rFont val="Aptos"/>
      </rPr>
      <t>84</t>
    </r>
  </si>
  <si>
    <r>
      <rPr>
        <sz val="10"/>
        <color indexed="8"/>
        <rFont val="Aptos"/>
      </rPr>
      <t>841</t>
    </r>
  </si>
  <si>
    <r>
      <rPr>
        <sz val="10"/>
        <color indexed="8"/>
        <rFont val="Aptos"/>
      </rPr>
      <t>842</t>
    </r>
  </si>
  <si>
    <r>
      <rPr>
        <sz val="10"/>
        <color indexed="8"/>
        <rFont val="Aptos"/>
      </rPr>
      <t>843</t>
    </r>
  </si>
  <si>
    <t>Le pilotage du projet/produit est réalisé à l'aide d'indicateurs pertinents permettant de suivre l'avancement à chaque étape. Des dispositifs d'alerte ou d'arbitrage sont en place pour traiter les éventuelles dérives</t>
  </si>
  <si>
    <t>au bon niveau.</t>
  </si>
  <si>
    <t>1 : Objectifs métier du projet</t>
  </si>
  <si>
    <t>2 : Gouvernance du projet</t>
  </si>
  <si>
    <t>3 : Méthode de projet</t>
  </si>
  <si>
    <t>4 : Conformité, contrôle interne et sécurité</t>
  </si>
  <si>
    <t>5 : Pilotage du projet</t>
  </si>
  <si>
    <t>6 : Validation(s) du produit ou de la solution</t>
  </si>
  <si>
    <t>7 : Bilan de projet SI</t>
  </si>
  <si>
    <t>Evaluation globale du vecteur  8</t>
  </si>
  <si>
    <r>
      <rPr>
        <sz val="11"/>
        <color indexed="13"/>
        <rFont val="Aptos"/>
      </rPr>
      <t>Les objectifs métier du projet sont explicites et partagés par toutes les parties prenantes.</t>
    </r>
  </si>
  <si>
    <r>
      <rPr>
        <sz val="11"/>
        <color indexed="13"/>
        <rFont val="Aptos"/>
      </rPr>
      <t>Le mode de gouvernance de projet est clair, partagé et reconnu.</t>
    </r>
  </si>
  <si>
    <r>
      <rPr>
        <sz val="11"/>
        <color indexed="13"/>
        <rFont val="Aptos"/>
      </rPr>
      <t>L’équipe projet fait le choix d’une méthode de travail cohérente avec les objectifs du projet.</t>
    </r>
  </si>
  <si>
    <r>
      <rPr>
        <sz val="11"/>
        <color indexed="13"/>
        <rFont val="Aptos"/>
      </rPr>
      <t>La sécurité, la conformité et le contrôle interne, comme l’implication indispensable des utilisateurs finaux, sont intégrés dès la conception des produits ou solutions SI. </t>
    </r>
  </si>
  <si>
    <r>
      <rPr>
        <sz val="10"/>
        <color indexed="8"/>
        <rFont val="Aptos"/>
      </rPr>
      <t>855</t>
    </r>
  </si>
  <si>
    <r>
      <rPr>
        <sz val="10"/>
        <color indexed="8"/>
        <rFont val="Aptos"/>
      </rPr>
      <t>851</t>
    </r>
  </si>
  <si>
    <r>
      <rPr>
        <sz val="11"/>
        <color indexed="13"/>
        <rFont val="Aptos"/>
      </rPr>
      <t>Le pilotage du projet/produit est réalisé à l'aide d'indicateurs pertinents permettant de suivre l'avancement à chaque étape. Des dispositifs d'alerte ou d'arbitrage sont en place pour traiter les éventuelles dérives au bon niveau.</t>
    </r>
  </si>
  <si>
    <r>
      <rPr>
        <sz val="10"/>
        <color indexed="8"/>
        <rFont val="Aptos"/>
      </rPr>
      <t>852</t>
    </r>
  </si>
  <si>
    <r>
      <rPr>
        <sz val="10"/>
        <color indexed="8"/>
        <rFont val="Aptos"/>
      </rPr>
      <t>853</t>
    </r>
  </si>
  <si>
    <r>
      <rPr>
        <sz val="10"/>
        <color indexed="8"/>
        <rFont val="Aptos"/>
      </rPr>
      <t>854</t>
    </r>
  </si>
  <si>
    <r>
      <rPr>
        <sz val="10"/>
        <color indexed="8"/>
        <rFont val="Aptos"/>
      </rPr>
      <t>866</t>
    </r>
  </si>
  <si>
    <r>
      <rPr>
        <sz val="10"/>
        <color indexed="8"/>
        <rFont val="Aptos"/>
      </rPr>
      <t>861</t>
    </r>
  </si>
  <si>
    <r>
      <rPr>
        <sz val="11"/>
        <color indexed="13"/>
        <rFont val="Aptos"/>
      </rPr>
      <t>Les produits ou solutions développés dans le cadre du projet font l'objet d'un processus de validation formel.</t>
    </r>
  </si>
  <si>
    <r>
      <rPr>
        <sz val="10"/>
        <color indexed="8"/>
        <rFont val="Aptos"/>
      </rPr>
      <t>862</t>
    </r>
  </si>
  <si>
    <r>
      <rPr>
        <sz val="10"/>
        <color indexed="8"/>
        <rFont val="Aptos"/>
      </rPr>
      <t>863</t>
    </r>
  </si>
  <si>
    <r>
      <rPr>
        <sz val="10"/>
        <color indexed="8"/>
        <rFont val="Aptos"/>
      </rPr>
      <t>864</t>
    </r>
  </si>
  <si>
    <r>
      <rPr>
        <sz val="10"/>
        <color indexed="8"/>
        <rFont val="Aptos"/>
      </rPr>
      <t>865</t>
    </r>
  </si>
  <si>
    <r>
      <rPr>
        <sz val="10"/>
        <color indexed="8"/>
        <rFont val="Aptos"/>
      </rPr>
      <t>877</t>
    </r>
  </si>
  <si>
    <r>
      <rPr>
        <sz val="10"/>
        <color indexed="8"/>
        <rFont val="Aptos"/>
      </rPr>
      <t>871</t>
    </r>
  </si>
  <si>
    <r>
      <rPr>
        <sz val="11"/>
        <color indexed="13"/>
        <rFont val="Aptos"/>
      </rPr>
      <t>L’équipe responsable organise un bilan de projet </t>
    </r>
  </si>
  <si>
    <r>
      <rPr>
        <sz val="10"/>
        <color indexed="8"/>
        <rFont val="Aptos"/>
      </rPr>
      <t>872</t>
    </r>
  </si>
  <si>
    <r>
      <rPr>
        <sz val="10"/>
        <color indexed="8"/>
        <rFont val="Aptos"/>
      </rPr>
      <t>873</t>
    </r>
  </si>
  <si>
    <t>Fiche évaluation Vecteur 9</t>
  </si>
  <si>
    <t>9</t>
  </si>
  <si>
    <r>
      <rPr>
        <sz val="10"/>
        <color indexed="8"/>
        <rFont val="Aptos"/>
      </rPr>
      <t>911</t>
    </r>
  </si>
  <si>
    <r>
      <rPr>
        <sz val="10"/>
        <color indexed="8"/>
        <rFont val="Aptos"/>
      </rPr>
      <t>912</t>
    </r>
  </si>
  <si>
    <r>
      <rPr>
        <sz val="10"/>
        <color indexed="8"/>
        <rFont val="Aptos"/>
      </rPr>
      <t>913</t>
    </r>
  </si>
  <si>
    <r>
      <rPr>
        <sz val="10"/>
        <color indexed="8"/>
        <rFont val="Aptos"/>
      </rPr>
      <t>914</t>
    </r>
  </si>
  <si>
    <r>
      <rPr>
        <sz val="10"/>
        <color indexed="8"/>
        <rFont val="Aptos"/>
      </rPr>
      <t>915</t>
    </r>
  </si>
  <si>
    <r>
      <rPr>
        <sz val="10"/>
        <color indexed="8"/>
        <rFont val="Aptos"/>
      </rPr>
      <t>916</t>
    </r>
  </si>
  <si>
    <r>
      <rPr>
        <sz val="10"/>
        <color indexed="8"/>
        <rFont val="Aptos"/>
      </rPr>
      <t>917</t>
    </r>
  </si>
  <si>
    <r>
      <rPr>
        <sz val="10"/>
        <color indexed="8"/>
        <rFont val="Aptos"/>
      </rPr>
      <t>91</t>
    </r>
  </si>
  <si>
    <r>
      <rPr>
        <sz val="10"/>
        <color indexed="8"/>
        <rFont val="Aptos"/>
      </rPr>
      <t>922</t>
    </r>
  </si>
  <si>
    <r>
      <rPr>
        <sz val="10"/>
        <color indexed="8"/>
        <rFont val="Aptos"/>
      </rPr>
      <t>92</t>
    </r>
  </si>
  <si>
    <r>
      <rPr>
        <sz val="10"/>
        <color indexed="8"/>
        <rFont val="Aptos"/>
      </rPr>
      <t>921</t>
    </r>
  </si>
  <si>
    <r>
      <rPr>
        <sz val="10"/>
        <color indexed="8"/>
        <rFont val="Aptos"/>
      </rPr>
      <t>923</t>
    </r>
  </si>
  <si>
    <r>
      <rPr>
        <sz val="10"/>
        <color indexed="8"/>
        <rFont val="Aptos"/>
      </rPr>
      <t>924</t>
    </r>
  </si>
  <si>
    <r>
      <rPr>
        <sz val="10"/>
        <color indexed="8"/>
        <rFont val="Aptos"/>
      </rPr>
      <t>925</t>
    </r>
  </si>
  <si>
    <r>
      <rPr>
        <sz val="10"/>
        <color indexed="8"/>
        <rFont val="Aptos"/>
      </rPr>
      <t>926</t>
    </r>
  </si>
  <si>
    <r>
      <rPr>
        <sz val="10"/>
        <color indexed="8"/>
        <rFont val="Aptos"/>
      </rPr>
      <t>927</t>
    </r>
  </si>
  <si>
    <r>
      <rPr>
        <sz val="10"/>
        <color indexed="8"/>
        <rFont val="Aptos"/>
      </rPr>
      <t>933</t>
    </r>
  </si>
  <si>
    <r>
      <rPr>
        <sz val="10"/>
        <color indexed="8"/>
        <rFont val="Aptos"/>
      </rPr>
      <t>93</t>
    </r>
  </si>
  <si>
    <r>
      <rPr>
        <sz val="10"/>
        <color indexed="8"/>
        <rFont val="Aptos"/>
      </rPr>
      <t>931</t>
    </r>
  </si>
  <si>
    <r>
      <rPr>
        <sz val="10"/>
        <color indexed="8"/>
        <rFont val="Aptos"/>
      </rPr>
      <t>932</t>
    </r>
  </si>
  <si>
    <r>
      <rPr>
        <sz val="10"/>
        <color indexed="8"/>
        <rFont val="Aptos"/>
      </rPr>
      <t>934</t>
    </r>
  </si>
  <si>
    <r>
      <rPr>
        <sz val="10"/>
        <color indexed="8"/>
        <rFont val="Aptos"/>
      </rPr>
      <t>935</t>
    </r>
  </si>
  <si>
    <r>
      <rPr>
        <sz val="10"/>
        <color indexed="8"/>
        <rFont val="Aptos"/>
      </rPr>
      <t>936</t>
    </r>
  </si>
  <si>
    <r>
      <rPr>
        <sz val="10"/>
        <color indexed="8"/>
        <rFont val="Aptos"/>
      </rPr>
      <t>937</t>
    </r>
  </si>
  <si>
    <r>
      <rPr>
        <sz val="10"/>
        <color indexed="8"/>
        <rFont val="Aptos"/>
      </rPr>
      <t>944</t>
    </r>
  </si>
  <si>
    <r>
      <rPr>
        <sz val="10"/>
        <color indexed="8"/>
        <rFont val="Aptos"/>
      </rPr>
      <t>94</t>
    </r>
  </si>
  <si>
    <r>
      <rPr>
        <sz val="10"/>
        <color indexed="8"/>
        <rFont val="Aptos"/>
      </rPr>
      <t>941</t>
    </r>
  </si>
  <si>
    <r>
      <rPr>
        <sz val="10"/>
        <color indexed="8"/>
        <rFont val="Aptos"/>
      </rPr>
      <t>942</t>
    </r>
  </si>
  <si>
    <r>
      <rPr>
        <sz val="10"/>
        <color indexed="8"/>
        <rFont val="Aptos"/>
      </rPr>
      <t>943</t>
    </r>
  </si>
  <si>
    <r>
      <rPr>
        <sz val="10"/>
        <color indexed="8"/>
        <rFont val="Aptos"/>
      </rPr>
      <t>945</t>
    </r>
  </si>
  <si>
    <t>91</t>
  </si>
  <si>
    <t>1 : Offre de service SI</t>
  </si>
  <si>
    <t>92</t>
  </si>
  <si>
    <t>2 : Demande client</t>
  </si>
  <si>
    <t>93</t>
  </si>
  <si>
    <t>3 : Contrats de services</t>
  </si>
  <si>
    <t>94</t>
  </si>
  <si>
    <t>4 : Activité de production</t>
  </si>
  <si>
    <t>95</t>
  </si>
  <si>
    <t>5 : Amélioration continue de services</t>
  </si>
  <si>
    <t>Evaluation globale du vecteur  9</t>
  </si>
  <si>
    <r>
      <rPr>
        <sz val="11"/>
        <color indexed="13"/>
        <rFont val="Aptos"/>
      </rPr>
      <t xml:space="preserve">L'offre de services numériques proposée est claire et connue. </t>
    </r>
  </si>
  <si>
    <r>
      <rPr>
        <sz val="11"/>
        <color indexed="13"/>
        <rFont val="Aptos"/>
      </rPr>
      <t>La DSI a mis en place un processus de gestion structuré de la demande client pour les services existants (Run).</t>
    </r>
  </si>
  <si>
    <r>
      <rPr>
        <sz val="11"/>
        <color indexed="13"/>
        <rFont val="Aptos"/>
      </rPr>
      <t>La DSI a mis en place des contrats de services.</t>
    </r>
  </si>
  <si>
    <r>
      <rPr>
        <sz val="11"/>
        <color indexed="13"/>
        <rFont val="Aptos"/>
      </rPr>
      <t>La DSI pilote ses activités de production et de support à l’aide d’un tableau de bord.</t>
    </r>
  </si>
  <si>
    <r>
      <rPr>
        <sz val="10"/>
        <color indexed="8"/>
        <rFont val="Aptos"/>
      </rPr>
      <t>955</t>
    </r>
  </si>
  <si>
    <r>
      <rPr>
        <sz val="10"/>
        <color indexed="8"/>
        <rFont val="Aptos"/>
      </rPr>
      <t>951</t>
    </r>
  </si>
  <si>
    <r>
      <rPr>
        <sz val="11"/>
        <color indexed="13"/>
        <rFont val="Aptos"/>
      </rPr>
      <t>La DSI a mis en place un processus d’amélioration continue basé sur la qualité perçue par l’utilisateur.</t>
    </r>
  </si>
  <si>
    <r>
      <rPr>
        <sz val="10"/>
        <color indexed="8"/>
        <rFont val="Aptos"/>
      </rPr>
      <t>La DSI a mis en place des outils de mesure du bon fonctionnement et de la performance de ses services, avec un processus de collecte des réclamations et incidents relatifs aux services délivrés aux clients.</t>
    </r>
  </si>
  <si>
    <r>
      <rPr>
        <sz val="10"/>
        <color indexed="8"/>
        <rFont val="Aptos"/>
      </rPr>
      <t>952</t>
    </r>
  </si>
  <si>
    <r>
      <rPr>
        <sz val="10"/>
        <color indexed="8"/>
        <rFont val="Aptos"/>
      </rPr>
      <t>La DSI mesure la satisfaction des utilisateurs via des questionnaires sur la qualité du service lors de sa livraison (ex : NPS, Net Promoter Score).</t>
    </r>
  </si>
  <si>
    <r>
      <rPr>
        <sz val="10"/>
        <color indexed="8"/>
        <rFont val="Aptos"/>
      </rPr>
      <t>953</t>
    </r>
  </si>
  <si>
    <r>
      <rPr>
        <sz val="10"/>
        <color indexed="8"/>
        <rFont val="Aptos"/>
      </rPr>
      <t>954</t>
    </r>
  </si>
  <si>
    <r>
      <rPr>
        <sz val="10"/>
        <color indexed="8"/>
        <rFont val="Aptos"/>
      </rPr>
      <t>956</t>
    </r>
  </si>
  <si>
    <r>
      <rPr>
        <sz val="10"/>
        <color indexed="8"/>
        <rFont val="Aptos"/>
      </rPr>
      <t>957</t>
    </r>
  </si>
  <si>
    <t>Fiche évaluation Vecteur 10</t>
  </si>
  <si>
    <t>10</t>
  </si>
  <si>
    <r>
      <rPr>
        <sz val="10"/>
        <color indexed="8"/>
        <rFont val="Aptos"/>
      </rPr>
      <t>1011</t>
    </r>
  </si>
  <si>
    <r>
      <rPr>
        <sz val="10"/>
        <color indexed="8"/>
        <rFont val="Aptos"/>
      </rPr>
      <t>1012</t>
    </r>
  </si>
  <si>
    <r>
      <rPr>
        <sz val="10"/>
        <color indexed="8"/>
        <rFont val="Aptos"/>
      </rPr>
      <t>1013</t>
    </r>
  </si>
  <si>
    <r>
      <rPr>
        <sz val="10"/>
        <color indexed="8"/>
        <rFont val="Aptos"/>
      </rPr>
      <t>1014</t>
    </r>
  </si>
  <si>
    <r>
      <rPr>
        <sz val="10"/>
        <color indexed="8"/>
        <rFont val="Aptos"/>
      </rPr>
      <t>1015</t>
    </r>
  </si>
  <si>
    <r>
      <rPr>
        <sz val="10"/>
        <color indexed="8"/>
        <rFont val="Aptos"/>
      </rPr>
      <t>1016</t>
    </r>
  </si>
  <si>
    <r>
      <rPr>
        <sz val="10"/>
        <color indexed="8"/>
        <rFont val="Aptos"/>
      </rPr>
      <t>1017</t>
    </r>
  </si>
  <si>
    <r>
      <rPr>
        <sz val="10"/>
        <color indexed="8"/>
        <rFont val="Aptos"/>
      </rPr>
      <t>101</t>
    </r>
  </si>
  <si>
    <r>
      <rPr>
        <sz val="10"/>
        <color indexed="8"/>
        <rFont val="Aptos"/>
      </rPr>
      <t>1022</t>
    </r>
  </si>
  <si>
    <r>
      <rPr>
        <sz val="10"/>
        <color indexed="8"/>
        <rFont val="Aptos"/>
      </rPr>
      <t>102</t>
    </r>
  </si>
  <si>
    <r>
      <rPr>
        <sz val="10"/>
        <color indexed="8"/>
        <rFont val="Aptos"/>
      </rPr>
      <t>1021</t>
    </r>
  </si>
  <si>
    <r>
      <rPr>
        <sz val="10"/>
        <color indexed="8"/>
        <rFont val="Aptos"/>
      </rPr>
      <t>1023</t>
    </r>
  </si>
  <si>
    <r>
      <rPr>
        <sz val="10"/>
        <color indexed="8"/>
        <rFont val="Aptos"/>
      </rPr>
      <t>1024</t>
    </r>
  </si>
  <si>
    <r>
      <rPr>
        <sz val="10"/>
        <color indexed="8"/>
        <rFont val="Aptos"/>
      </rPr>
      <t>1025</t>
    </r>
  </si>
  <si>
    <r>
      <rPr>
        <sz val="10"/>
        <color indexed="8"/>
        <rFont val="Aptos"/>
      </rPr>
      <t>1026</t>
    </r>
  </si>
  <si>
    <r>
      <rPr>
        <sz val="10"/>
        <color indexed="8"/>
        <rFont val="Aptos"/>
      </rPr>
      <t>1027</t>
    </r>
  </si>
  <si>
    <r>
      <rPr>
        <sz val="10"/>
        <color indexed="8"/>
        <rFont val="Aptos"/>
      </rPr>
      <t>1033</t>
    </r>
  </si>
  <si>
    <r>
      <rPr>
        <sz val="10"/>
        <color indexed="8"/>
        <rFont val="Aptos"/>
      </rPr>
      <t>103</t>
    </r>
  </si>
  <si>
    <r>
      <rPr>
        <sz val="10"/>
        <color indexed="8"/>
        <rFont val="Aptos"/>
      </rPr>
      <t>1031</t>
    </r>
  </si>
  <si>
    <r>
      <rPr>
        <sz val="10"/>
        <color indexed="8"/>
        <rFont val="Aptos"/>
      </rPr>
      <t>La DSI construit, à un niveau macro, un plan prévisionnel des compétences aligné sur la stratégie numérique de l'organisation, les besoins numériques des métiers et la politique de make or buy retenue, même en l’absence d’une planification des ressources centrée sur les effectifs à long terme (5-10 ans).</t>
    </r>
  </si>
  <si>
    <r>
      <rPr>
        <sz val="10"/>
        <color indexed="8"/>
        <rFont val="Aptos"/>
      </rPr>
      <t>1032</t>
    </r>
  </si>
  <si>
    <r>
      <rPr>
        <sz val="10"/>
        <color indexed="8"/>
        <rFont val="Aptos"/>
      </rPr>
      <t>Une analyse des écarts, sur le court terme (1-2 ans), est effectuée afin de comparer la situation actuelle avec les besoins exprimés dans le plan prévisionnel.</t>
    </r>
  </si>
  <si>
    <r>
      <rPr>
        <sz val="10"/>
        <color indexed="8"/>
        <rFont val="Aptos"/>
      </rPr>
      <t>1034</t>
    </r>
  </si>
  <si>
    <r>
      <rPr>
        <sz val="10"/>
        <color indexed="8"/>
        <rFont val="Aptos"/>
      </rPr>
      <t>1035</t>
    </r>
  </si>
  <si>
    <r>
      <rPr>
        <sz val="10"/>
        <color indexed="8"/>
        <rFont val="Aptos"/>
      </rPr>
      <t>1036</t>
    </r>
  </si>
  <si>
    <r>
      <rPr>
        <sz val="10"/>
        <color indexed="8"/>
        <rFont val="Aptos"/>
      </rPr>
      <t>1037</t>
    </r>
  </si>
  <si>
    <r>
      <rPr>
        <sz val="10"/>
        <color indexed="8"/>
        <rFont val="Aptos"/>
      </rPr>
      <t>1044</t>
    </r>
  </si>
  <si>
    <r>
      <rPr>
        <sz val="10"/>
        <color indexed="8"/>
        <rFont val="Aptos"/>
      </rPr>
      <t>104</t>
    </r>
  </si>
  <si>
    <r>
      <rPr>
        <sz val="10"/>
        <color indexed="8"/>
        <rFont val="Aptos"/>
      </rPr>
      <t>1041</t>
    </r>
  </si>
  <si>
    <t>0</t>
  </si>
  <si>
    <t>101</t>
  </si>
  <si>
    <t>1 : Plan RH cohérent avec la stratégie numérique</t>
  </si>
  <si>
    <t>102</t>
  </si>
  <si>
    <t>2 : Référentiel</t>
  </si>
  <si>
    <t>103</t>
  </si>
  <si>
    <t>3 : Gestion des emplois et parcours professionnels (GEPP / Strategic Workforce Planning)</t>
  </si>
  <si>
    <t>104</t>
  </si>
  <si>
    <t>4 : Évaluation</t>
  </si>
  <si>
    <t>105</t>
  </si>
  <si>
    <t>5 : Recrutement</t>
  </si>
  <si>
    <t>106</t>
  </si>
  <si>
    <t>6 : Développement des compétences</t>
  </si>
  <si>
    <t>Evaluation globale du vecteur 10</t>
  </si>
  <si>
    <t>017</t>
  </si>
  <si>
    <r>
      <rPr>
        <sz val="11"/>
        <color indexed="13"/>
        <rFont val="Aptos"/>
      </rPr>
      <t>La gestion des ressources humaines du numérique permet de garantir le fonctionnement des systèmes actuels et d’anticiper les besoins futurs de l’organisation.</t>
    </r>
  </si>
  <si>
    <r>
      <rPr>
        <sz val="11"/>
        <color indexed="13"/>
        <rFont val="Aptos"/>
      </rPr>
      <t>Un référentiel des compétences requises est formalisé.</t>
    </r>
  </si>
  <si>
    <r>
      <rPr>
        <sz val="11"/>
        <color indexed="13"/>
        <rFont val="Aptos"/>
      </rPr>
      <t>Un plan d’adéquation des compétences aux besoins actuels et futurs de l'organisation est formalisé et mis en place, et il s'intègre dans le processus RH de l'organisation.</t>
    </r>
  </si>
  <si>
    <r>
      <rPr>
        <sz val="11"/>
        <color indexed="13"/>
        <rFont val="Aptos"/>
      </rPr>
      <t>L’évaluation des compétences et des performances est réalisée.</t>
    </r>
  </si>
  <si>
    <r>
      <rPr>
        <sz val="10"/>
        <color indexed="8"/>
        <rFont val="Aptos"/>
      </rPr>
      <t>1042</t>
    </r>
  </si>
  <si>
    <r>
      <rPr>
        <sz val="10"/>
        <color indexed="8"/>
        <rFont val="Aptos"/>
      </rPr>
      <t>1043</t>
    </r>
  </si>
  <si>
    <r>
      <rPr>
        <sz val="10"/>
        <color indexed="8"/>
        <rFont val="Aptos"/>
      </rPr>
      <t>1045</t>
    </r>
  </si>
  <si>
    <r>
      <rPr>
        <sz val="10"/>
        <color indexed="8"/>
        <rFont val="Aptos"/>
      </rPr>
      <t>1046</t>
    </r>
  </si>
  <si>
    <r>
      <rPr>
        <sz val="10"/>
        <color indexed="8"/>
        <rFont val="Aptos"/>
      </rPr>
      <t>1055</t>
    </r>
  </si>
  <si>
    <r>
      <rPr>
        <sz val="10"/>
        <color indexed="8"/>
        <rFont val="Aptos"/>
      </rPr>
      <t>1051</t>
    </r>
  </si>
  <si>
    <r>
      <rPr>
        <sz val="11"/>
        <color indexed="13"/>
        <rFont val="Aptos"/>
      </rPr>
      <t>Un plan de recrutement est défini et mis en œuvre pour répondre aux besoins en ressources de la DSI.</t>
    </r>
  </si>
  <si>
    <r>
      <rPr>
        <sz val="10"/>
        <color indexed="8"/>
        <rFont val="Aptos"/>
      </rPr>
      <t>1052</t>
    </r>
  </si>
  <si>
    <r>
      <rPr>
        <sz val="10"/>
        <color indexed="8"/>
        <rFont val="Aptos"/>
      </rPr>
      <t>1053</t>
    </r>
  </si>
  <si>
    <r>
      <rPr>
        <sz val="10"/>
        <color indexed="8"/>
        <rFont val="Aptos"/>
      </rPr>
      <t>1066</t>
    </r>
  </si>
  <si>
    <r>
      <rPr>
        <sz val="10"/>
        <color indexed="8"/>
        <rFont val="Aptos"/>
      </rPr>
      <t>1061</t>
    </r>
  </si>
  <si>
    <r>
      <rPr>
        <sz val="11"/>
        <color indexed="13"/>
        <rFont val="Aptos"/>
      </rPr>
      <t>Une stratégie de développement des compétences numériques est définie</t>
    </r>
  </si>
  <si>
    <r>
      <rPr>
        <sz val="10"/>
        <color indexed="8"/>
        <rFont val="Aptos"/>
      </rPr>
      <t>1062</t>
    </r>
  </si>
  <si>
    <r>
      <rPr>
        <sz val="10"/>
        <color indexed="8"/>
        <rFont val="Aptos"/>
      </rPr>
      <t>1063</t>
    </r>
  </si>
  <si>
    <r>
      <rPr>
        <sz val="10"/>
        <color indexed="8"/>
        <rFont val="Aptos"/>
      </rPr>
      <t>1064</t>
    </r>
  </si>
  <si>
    <r>
      <rPr>
        <sz val="10"/>
        <color indexed="8"/>
        <rFont val="Aptos"/>
      </rPr>
      <t>1065</t>
    </r>
  </si>
  <si>
    <t>Fiche évaluation Vecteur 11</t>
  </si>
  <si>
    <r>
      <rPr>
        <sz val="10"/>
        <color indexed="8"/>
        <rFont val="Aptos"/>
      </rPr>
      <t>1111</t>
    </r>
  </si>
  <si>
    <r>
      <rPr>
        <sz val="10"/>
        <color indexed="8"/>
        <rFont val="Aptos"/>
      </rPr>
      <t>1112</t>
    </r>
  </si>
  <si>
    <r>
      <rPr>
        <sz val="10"/>
        <color indexed="8"/>
        <rFont val="Aptos"/>
      </rPr>
      <t>1113</t>
    </r>
  </si>
  <si>
    <r>
      <rPr>
        <sz val="10"/>
        <color indexed="8"/>
        <rFont val="Aptos"/>
      </rPr>
      <t>1114</t>
    </r>
  </si>
  <si>
    <r>
      <rPr>
        <sz val="10"/>
        <color indexed="8"/>
        <rFont val="Aptos"/>
      </rPr>
      <t>1115</t>
    </r>
  </si>
  <si>
    <r>
      <rPr>
        <sz val="10"/>
        <color indexed="8"/>
        <rFont val="Aptos"/>
      </rPr>
      <t>1116</t>
    </r>
  </si>
  <si>
    <r>
      <rPr>
        <sz val="10"/>
        <color indexed="8"/>
        <rFont val="Aptos"/>
      </rPr>
      <t>1117</t>
    </r>
  </si>
  <si>
    <r>
      <rPr>
        <sz val="10"/>
        <color indexed="8"/>
        <rFont val="Aptos"/>
      </rPr>
      <t>1122</t>
    </r>
  </si>
  <si>
    <r>
      <rPr>
        <sz val="10"/>
        <color indexed="8"/>
        <rFont val="Aptos"/>
      </rPr>
      <t>1121</t>
    </r>
  </si>
  <si>
    <r>
      <rPr>
        <sz val="10"/>
        <color indexed="8"/>
        <rFont val="Aptos"/>
      </rPr>
      <t>1123</t>
    </r>
  </si>
  <si>
    <r>
      <rPr>
        <sz val="10"/>
        <color indexed="8"/>
        <rFont val="Aptos"/>
      </rPr>
      <t>1124</t>
    </r>
  </si>
  <si>
    <r>
      <rPr>
        <sz val="10"/>
        <color indexed="8"/>
        <rFont val="Aptos"/>
      </rPr>
      <t>1125</t>
    </r>
  </si>
  <si>
    <r>
      <rPr>
        <sz val="10"/>
        <color indexed="8"/>
        <rFont val="Aptos"/>
      </rPr>
      <t>1126</t>
    </r>
  </si>
  <si>
    <r>
      <rPr>
        <sz val="10"/>
        <color indexed="8"/>
        <rFont val="Aptos"/>
      </rPr>
      <t>1127</t>
    </r>
  </si>
  <si>
    <r>
      <rPr>
        <sz val="10"/>
        <color indexed="8"/>
        <rFont val="Aptos"/>
      </rPr>
      <t>1133</t>
    </r>
  </si>
  <si>
    <r>
      <rPr>
        <sz val="10"/>
        <color indexed="8"/>
        <rFont val="Aptos"/>
      </rPr>
      <t>1131</t>
    </r>
  </si>
  <si>
    <r>
      <rPr>
        <sz val="10"/>
        <color indexed="8"/>
        <rFont val="Aptos"/>
      </rPr>
      <t>1132</t>
    </r>
  </si>
  <si>
    <r>
      <rPr>
        <sz val="10"/>
        <color indexed="8"/>
        <rFont val="Aptos"/>
      </rPr>
      <t>1134</t>
    </r>
  </si>
  <si>
    <r>
      <rPr>
        <sz val="10"/>
        <color indexed="8"/>
        <rFont val="Aptos"/>
      </rPr>
      <t>1135</t>
    </r>
  </si>
  <si>
    <r>
      <rPr>
        <sz val="10"/>
        <color indexed="8"/>
        <rFont val="Aptos"/>
      </rPr>
      <t>1136</t>
    </r>
  </si>
  <si>
    <r>
      <rPr>
        <sz val="10"/>
        <color indexed="8"/>
        <rFont val="Aptos"/>
      </rPr>
      <t>1137</t>
    </r>
  </si>
  <si>
    <r>
      <rPr>
        <sz val="10"/>
        <color indexed="8"/>
        <rFont val="Aptos"/>
      </rPr>
      <t>1144</t>
    </r>
  </si>
  <si>
    <r>
      <rPr>
        <sz val="10"/>
        <color indexed="8"/>
        <rFont val="Aptos"/>
      </rPr>
      <t>1141</t>
    </r>
  </si>
  <si>
    <r>
      <rPr>
        <sz val="10"/>
        <color indexed="8"/>
        <rFont val="Aptos"/>
      </rPr>
      <t>1142</t>
    </r>
  </si>
  <si>
    <r>
      <rPr>
        <sz val="10"/>
        <color indexed="8"/>
        <rFont val="Aptos"/>
      </rPr>
      <t>1143</t>
    </r>
  </si>
  <si>
    <r>
      <rPr>
        <sz val="10"/>
        <color indexed="8"/>
        <rFont val="Aptos"/>
      </rPr>
      <t>1145</t>
    </r>
  </si>
  <si>
    <r>
      <rPr>
        <sz val="10"/>
        <color indexed="8"/>
        <rFont val="Aptos"/>
      </rPr>
      <t>1146</t>
    </r>
  </si>
  <si>
    <t>2 : Etude d'opportunité</t>
  </si>
  <si>
    <t>3 : Sélection et contractualisation</t>
  </si>
  <si>
    <t xml:space="preserve">4 : Conduite du changement </t>
  </si>
  <si>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</si>
  <si>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</si>
  <si>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</si>
  <si>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</si>
  <si>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 Make or Buy et la gouvernance associée ont été définies</t>
    </r>
  </si>
  <si>
    <r>
      <rPr>
        <sz val="11"/>
        <color indexed="13"/>
        <rFont val="Aptos"/>
      </rPr>
      <t>Pour chacune des activités candidates à l'externalisation, une étude d'opportunité et de faisabilité est réalisée.</t>
    </r>
  </si>
  <si>
    <r>
      <rPr>
        <sz val="11"/>
        <color indexed="13"/>
        <rFont val="Aptos"/>
      </rPr>
      <t>Pour tous les achats numériques (services externalisés, prestation de services, achats de logiciels ou de matériels), un processus de sélection et de contractualisation des prestataires est mis en place.</t>
    </r>
  </si>
  <si>
    <r>
      <rPr>
        <sz val="11"/>
        <color indexed="13"/>
        <rFont val="Aptos"/>
      </rPr>
      <t>Pour chacune des activités SI à externaliser, il existe une démarche de transition et de conduite du changement.</t>
    </r>
  </si>
  <si>
    <r>
      <rPr>
        <sz val="10"/>
        <color indexed="8"/>
        <rFont val="Aptos"/>
      </rPr>
      <t>1155</t>
    </r>
  </si>
  <si>
    <r>
      <rPr>
        <sz val="10"/>
        <color indexed="8"/>
        <rFont val="Aptos"/>
      </rPr>
      <t>1151</t>
    </r>
  </si>
  <si>
    <r>
      <rPr>
        <sz val="11"/>
        <color indexed="13"/>
        <rFont val="Aptos"/>
      </rPr>
      <t>Le pilotage opérationnel des services IT externalisés et des prestations est structuré pour garantir la performance et l'amélioration des services fournis.</t>
    </r>
  </si>
  <si>
    <r>
      <rPr>
        <sz val="10"/>
        <color indexed="8"/>
        <rFont val="Aptos"/>
      </rPr>
      <t>1152</t>
    </r>
  </si>
  <si>
    <r>
      <rPr>
        <sz val="10"/>
        <color indexed="8"/>
        <rFont val="Aptos"/>
      </rPr>
      <t>1153</t>
    </r>
  </si>
  <si>
    <r>
      <rPr>
        <sz val="10"/>
        <color indexed="8"/>
        <rFont val="Aptos"/>
      </rPr>
      <t>1154</t>
    </r>
  </si>
  <si>
    <r>
      <rPr>
        <sz val="10"/>
        <color indexed="8"/>
        <rFont val="Aptos"/>
      </rPr>
      <t>1156</t>
    </r>
  </si>
  <si>
    <r>
      <rPr>
        <sz val="10"/>
        <color indexed="8"/>
        <rFont val="Aptos"/>
      </rPr>
      <t>1157</t>
    </r>
  </si>
  <si>
    <r>
      <rPr>
        <sz val="10"/>
        <color indexed="8"/>
        <rFont val="Aptos"/>
      </rPr>
      <t>1166</t>
    </r>
  </si>
  <si>
    <r>
      <rPr>
        <sz val="10"/>
        <color indexed="8"/>
        <rFont val="Aptos"/>
      </rPr>
      <t>1161</t>
    </r>
  </si>
  <si>
    <r>
      <rPr>
        <sz val="11"/>
        <color indexed="13"/>
        <rFont val="Aptos"/>
      </rPr>
      <t>La clôture et la gestion de la réversibilité des services externalisés ont été définies en fonction des enjeux métiers.</t>
    </r>
  </si>
  <si>
    <r>
      <rPr>
        <sz val="10"/>
        <color indexed="8"/>
        <rFont val="Aptos"/>
      </rPr>
      <t>1162</t>
    </r>
  </si>
  <si>
    <r>
      <rPr>
        <sz val="10"/>
        <color indexed="8"/>
        <rFont val="Aptos"/>
      </rPr>
      <t>1163</t>
    </r>
  </si>
  <si>
    <r>
      <rPr>
        <sz val="10"/>
        <color indexed="8"/>
        <rFont val="Aptos"/>
      </rPr>
      <t>1164</t>
    </r>
  </si>
  <si>
    <r>
      <rPr>
        <sz val="10"/>
        <color indexed="8"/>
        <rFont val="Aptos"/>
      </rPr>
      <t>1177</t>
    </r>
  </si>
  <si>
    <r>
      <rPr>
        <sz val="10"/>
        <color indexed="8"/>
        <rFont val="Aptos"/>
      </rPr>
      <t>1171</t>
    </r>
  </si>
  <si>
    <r>
      <rPr>
        <sz val="11"/>
        <color indexed="13"/>
        <rFont val="Aptos"/>
      </rPr>
      <t>La gestion des fournisseurs de matériels et de logiciels est organisée et suivie.</t>
    </r>
  </si>
  <si>
    <r>
      <rPr>
        <sz val="10"/>
        <color indexed="8"/>
        <rFont val="Aptos"/>
      </rPr>
      <t>1172</t>
    </r>
  </si>
  <si>
    <r>
      <rPr>
        <sz val="10"/>
        <color indexed="8"/>
        <rFont val="Aptos"/>
      </rPr>
      <t>1173</t>
    </r>
  </si>
  <si>
    <r>
      <rPr>
        <sz val="10"/>
        <color indexed="8"/>
        <rFont val="Aptos"/>
      </rPr>
      <t>1174</t>
    </r>
  </si>
  <si>
    <r>
      <rPr>
        <sz val="10"/>
        <color indexed="8"/>
        <rFont val="Aptos"/>
      </rPr>
      <t>1175</t>
    </r>
  </si>
  <si>
    <t>Fiche évaluation Vecteur 12</t>
  </si>
  <si>
    <t>La DSI a défini ses objectifs prioritaires en mettant en évidence leur contribution à ceux de l'entreprise et en les structurant,</t>
  </si>
  <si>
    <t>par exemple selon les volets de l'IT SCORECARD définis par l'ISACA France.</t>
  </si>
  <si>
    <r>
      <rPr>
        <sz val="10"/>
        <color indexed="8"/>
        <rFont val="Aptos"/>
      </rPr>
      <t>1211</t>
    </r>
  </si>
  <si>
    <r>
      <rPr>
        <sz val="10"/>
        <color indexed="8"/>
        <rFont val="Aptos"/>
      </rPr>
      <t>Les objectifs de la DSI sont définis conjointement avec les métiers, notamment en ce qui concerne la performance des processus informatiques (build, run, évolutions).</t>
    </r>
  </si>
  <si>
    <r>
      <rPr>
        <sz val="10"/>
        <color indexed="8"/>
        <rFont val="Aptos"/>
      </rPr>
      <t>1212</t>
    </r>
  </si>
  <si>
    <r>
      <rPr>
        <sz val="10"/>
        <color indexed="8"/>
        <rFont val="Aptos"/>
      </rPr>
      <t>1213</t>
    </r>
  </si>
  <si>
    <r>
      <rPr>
        <sz val="10"/>
        <color indexed="8"/>
        <rFont val="Aptos"/>
      </rPr>
      <t>1214</t>
    </r>
  </si>
  <si>
    <r>
      <rPr>
        <sz val="10"/>
        <color indexed="8"/>
        <rFont val="Aptos"/>
      </rPr>
      <t>1215</t>
    </r>
  </si>
  <si>
    <r>
      <rPr>
        <sz val="10"/>
        <color indexed="8"/>
        <rFont val="Aptos"/>
      </rPr>
      <t>1216</t>
    </r>
  </si>
  <si>
    <r>
      <rPr>
        <sz val="10"/>
        <color indexed="8"/>
        <rFont val="Aptos"/>
      </rPr>
      <t>1217</t>
    </r>
  </si>
  <si>
    <r>
      <rPr>
        <sz val="10"/>
        <color indexed="8"/>
        <rFont val="Aptos"/>
      </rPr>
      <t>1218</t>
    </r>
  </si>
  <si>
    <t>Critère 8</t>
  </si>
  <si>
    <r>
      <rPr>
        <sz val="10"/>
        <color indexed="8"/>
        <rFont val="Aptos"/>
      </rPr>
      <t>1222</t>
    </r>
  </si>
  <si>
    <r>
      <rPr>
        <sz val="10"/>
        <color indexed="8"/>
        <rFont val="Aptos"/>
      </rPr>
      <t>1221</t>
    </r>
  </si>
  <si>
    <r>
      <rPr>
        <sz val="10"/>
        <color indexed="8"/>
        <rFont val="Aptos"/>
      </rPr>
      <t>1223</t>
    </r>
  </si>
  <si>
    <r>
      <rPr>
        <sz val="10"/>
        <color indexed="8"/>
        <rFont val="Aptos"/>
      </rPr>
      <t>1224</t>
    </r>
  </si>
  <si>
    <r>
      <rPr>
        <sz val="10"/>
        <color indexed="8"/>
        <rFont val="Aptos"/>
      </rPr>
      <t>1225</t>
    </r>
  </si>
  <si>
    <r>
      <rPr>
        <sz val="10"/>
        <color indexed="8"/>
        <rFont val="Aptos"/>
      </rPr>
      <t>1226</t>
    </r>
  </si>
  <si>
    <r>
      <rPr>
        <sz val="10"/>
        <color indexed="8"/>
        <rFont val="Aptos"/>
      </rPr>
      <t>1227</t>
    </r>
  </si>
  <si>
    <r>
      <rPr>
        <sz val="10"/>
        <color indexed="8"/>
        <rFont val="Aptos"/>
      </rPr>
      <t>1233</t>
    </r>
  </si>
  <si>
    <t>La DSI met en œuvre un processus de gestion budgétaire permettant de gérer les arbitrages avec la direction générale et les directions métiers et parties prenantes,</t>
  </si>
  <si>
    <t>relatif aux projets, aux évolutions et au fonctionnement récurrent.</t>
  </si>
  <si>
    <r>
      <rPr>
        <sz val="10"/>
        <color indexed="8"/>
        <rFont val="Aptos"/>
      </rPr>
      <t>1231</t>
    </r>
  </si>
  <si>
    <r>
      <rPr>
        <sz val="10"/>
        <color indexed="8"/>
        <rFont val="Aptos"/>
      </rPr>
      <t>1232</t>
    </r>
  </si>
  <si>
    <r>
      <rPr>
        <sz val="10"/>
        <color indexed="8"/>
        <rFont val="Aptos"/>
      </rPr>
      <t>1234</t>
    </r>
  </si>
  <si>
    <r>
      <rPr>
        <sz val="10"/>
        <color indexed="8"/>
        <rFont val="Aptos"/>
      </rPr>
      <t>1235</t>
    </r>
  </si>
  <si>
    <r>
      <rPr>
        <sz val="10"/>
        <color indexed="8"/>
        <rFont val="Aptos"/>
      </rPr>
      <t>1236</t>
    </r>
  </si>
  <si>
    <r>
      <rPr>
        <sz val="10"/>
        <color indexed="8"/>
        <rFont val="Aptos"/>
      </rPr>
      <t>1237</t>
    </r>
  </si>
  <si>
    <r>
      <rPr>
        <sz val="10"/>
        <color indexed="8"/>
        <rFont val="Aptos"/>
      </rPr>
      <t>1244</t>
    </r>
  </si>
  <si>
    <t>La DSI calcule le coût complet des prestations du catalogue de services fournis à ses clients, en le décomposant en coûts unitaires et en volumes,</t>
  </si>
  <si>
    <t>afin de co-responsabiliser les métiers sur les coûts du numérique.</t>
  </si>
  <si>
    <r>
      <rPr>
        <sz val="10"/>
        <color indexed="8"/>
        <rFont val="Aptos"/>
      </rPr>
      <t>1241</t>
    </r>
  </si>
  <si>
    <r>
      <rPr>
        <sz val="10"/>
        <color indexed="8"/>
        <rFont val="Aptos"/>
      </rPr>
      <t>1242</t>
    </r>
  </si>
  <si>
    <r>
      <rPr>
        <sz val="10"/>
        <color indexed="8"/>
        <rFont val="Aptos"/>
      </rPr>
      <t>1243</t>
    </r>
  </si>
  <si>
    <r>
      <rPr>
        <sz val="10"/>
        <color indexed="8"/>
        <rFont val="Aptos"/>
      </rPr>
      <t>1245</t>
    </r>
  </si>
  <si>
    <r>
      <rPr>
        <sz val="10"/>
        <color indexed="8"/>
        <rFont val="Aptos"/>
      </rPr>
      <t>1246</t>
    </r>
  </si>
  <si>
    <r>
      <rPr>
        <sz val="10"/>
        <color indexed="8"/>
        <rFont val="Aptos"/>
      </rPr>
      <t>1247</t>
    </r>
  </si>
  <si>
    <t>L'organisation a mis en place un processus de pilotage du portefeuille de projets fondé sur le suivi de la réalisation des business cases.</t>
  </si>
  <si>
    <r>
      <rPr>
        <sz val="10"/>
        <color indexed="25"/>
        <rFont val="Aptos"/>
      </rPr>
      <t>Maîtriser le coût de possession et le coût de transformation du SI (build/run et transformation).</t>
    </r>
  </si>
  <si>
    <t>1 : Objectifs de performance</t>
  </si>
  <si>
    <t>2 : Indicateurs</t>
  </si>
  <si>
    <t>3 : Budget</t>
  </si>
  <si>
    <t>4 : Coûts complets des services</t>
  </si>
  <si>
    <t>5 : Pilotage du portefeuille de projets</t>
  </si>
  <si>
    <t>6 : Valeur</t>
  </si>
  <si>
    <t>Evaluation globale du vecteur 12</t>
  </si>
  <si>
    <r>
      <rPr>
        <sz val="11"/>
        <color indexed="13"/>
        <rFont val="Aptos"/>
      </rPr>
      <t>La DSI a défini ses objectifs prioritaires en mettant en évidence leur contribution à ceux de l'entreprise et en les structurant, par exemple selon les volets de l'IT SCORECARD définis par l'ISACA France.</t>
    </r>
  </si>
  <si>
    <r>
      <rPr>
        <sz val="11"/>
        <color indexed="13"/>
        <rFont val="Aptos"/>
      </rPr>
      <t>Des indicateurs de mesure de la performance du SI sont définis et le niveau d'atteinte des objectifs de la DSI est suivi et partagé régulièrement avec les parties prenantes.</t>
    </r>
  </si>
  <si>
    <r>
      <rPr>
        <sz val="11"/>
        <color indexed="13"/>
        <rFont val="Aptos"/>
      </rPr>
      <t>La DSI met en œuvre un processus de gestion budgétaire permettant de gérer les arbitrages avec la direction générale et les directions métiers et parties prenantes, relatif aux projets, aux évolutions et au fonctionnement récurrent.</t>
    </r>
  </si>
  <si>
    <r>
      <rPr>
        <sz val="11"/>
        <color indexed="13"/>
        <rFont val="Aptos"/>
      </rPr>
      <t>La DSI calcule le coût complet des prestations du catalogue de services fournis à ses clients, en le décomposant en coûts unitaires et en volumes, afin de co-responsabiliser les métiers sur les coûts du numérique.</t>
    </r>
  </si>
  <si>
    <r>
      <rPr>
        <sz val="10"/>
        <color indexed="8"/>
        <rFont val="Aptos"/>
      </rPr>
      <t>1255</t>
    </r>
  </si>
  <si>
    <r>
      <rPr>
        <sz val="10"/>
        <color indexed="8"/>
        <rFont val="Aptos"/>
      </rPr>
      <t>1251</t>
    </r>
  </si>
  <si>
    <r>
      <rPr>
        <sz val="11"/>
        <color indexed="13"/>
        <rFont val="Aptos"/>
      </rPr>
      <t>L'organisation a mis en place un processus de pilotage du portefeuille de projets fondé sur le suivi de la réalisation des business cases</t>
    </r>
  </si>
  <si>
    <r>
      <rPr>
        <sz val="10"/>
        <color indexed="8"/>
        <rFont val="Aptos"/>
      </rPr>
      <t>1252</t>
    </r>
  </si>
  <si>
    <r>
      <rPr>
        <sz val="10"/>
        <color indexed="8"/>
        <rFont val="Aptos"/>
      </rPr>
      <t>1253</t>
    </r>
  </si>
  <si>
    <r>
      <rPr>
        <sz val="10"/>
        <color indexed="8"/>
        <rFont val="Aptos"/>
      </rPr>
      <t>1254</t>
    </r>
  </si>
  <si>
    <r>
      <rPr>
        <sz val="10"/>
        <color indexed="8"/>
        <rFont val="Aptos"/>
      </rPr>
      <t>1256</t>
    </r>
  </si>
  <si>
    <r>
      <rPr>
        <sz val="10"/>
        <color indexed="8"/>
        <rFont val="Aptos"/>
      </rPr>
      <t>Le business case fait l’objet d’une mise à jour si les écarts constatés le justifient.</t>
    </r>
  </si>
  <si>
    <r>
      <rPr>
        <sz val="10"/>
        <color indexed="8"/>
        <rFont val="Aptos"/>
      </rPr>
      <t>1266</t>
    </r>
  </si>
  <si>
    <r>
      <rPr>
        <sz val="10"/>
        <color indexed="8"/>
        <rFont val="Aptos"/>
      </rPr>
      <t>1261</t>
    </r>
  </si>
  <si>
    <r>
      <rPr>
        <sz val="11"/>
        <color indexed="13"/>
        <rFont val="Aptos"/>
      </rPr>
      <t>L'organisation a mis en œuvre un cadre de définition de la valeur du numérique et déploie les processus de contrôle nécessaires.</t>
    </r>
  </si>
  <si>
    <r>
      <rPr>
        <sz val="10"/>
        <color indexed="8"/>
        <rFont val="Aptos"/>
      </rPr>
      <t>1262</t>
    </r>
  </si>
  <si>
    <r>
      <rPr>
        <sz val="10"/>
        <color indexed="8"/>
        <rFont val="Aptos"/>
      </rPr>
      <t>1263</t>
    </r>
  </si>
  <si>
    <r>
      <rPr>
        <sz val="10"/>
        <color indexed="8"/>
        <rFont val="Aptos"/>
      </rPr>
      <t>1264</t>
    </r>
  </si>
  <si>
    <t>Fiche évaluation Vecteur 13</t>
  </si>
  <si>
    <r>
      <rPr>
        <sz val="10"/>
        <color indexed="8"/>
        <rFont val="Aptos"/>
      </rPr>
      <t>1311</t>
    </r>
  </si>
  <si>
    <r>
      <rPr>
        <sz val="10"/>
        <color indexed="8"/>
        <rFont val="Aptos"/>
      </rPr>
      <t>1312</t>
    </r>
  </si>
  <si>
    <r>
      <rPr>
        <sz val="10"/>
        <color indexed="8"/>
        <rFont val="Aptos"/>
      </rPr>
      <t>1313</t>
    </r>
  </si>
  <si>
    <r>
      <rPr>
        <sz val="10"/>
        <color indexed="8"/>
        <rFont val="Aptos"/>
      </rPr>
      <t>1314</t>
    </r>
  </si>
  <si>
    <r>
      <rPr>
        <sz val="10"/>
        <color indexed="8"/>
        <rFont val="Aptos"/>
      </rPr>
      <t>1315</t>
    </r>
  </si>
  <si>
    <r>
      <rPr>
        <sz val="10"/>
        <color indexed="8"/>
        <rFont val="Aptos"/>
      </rPr>
      <t>1316</t>
    </r>
  </si>
  <si>
    <r>
      <rPr>
        <sz val="10"/>
        <color indexed="8"/>
        <rFont val="Aptos"/>
      </rPr>
      <t>1317</t>
    </r>
  </si>
  <si>
    <r>
      <rPr>
        <sz val="10"/>
        <color indexed="8"/>
        <rFont val="Aptos"/>
      </rPr>
      <t>1322</t>
    </r>
  </si>
  <si>
    <r>
      <rPr>
        <sz val="10"/>
        <color indexed="8"/>
        <rFont val="Aptos"/>
      </rPr>
      <t>1321</t>
    </r>
  </si>
  <si>
    <r>
      <rPr>
        <sz val="10"/>
        <color indexed="8"/>
        <rFont val="Aptos"/>
      </rPr>
      <t>1323</t>
    </r>
  </si>
  <si>
    <r>
      <rPr>
        <sz val="10"/>
        <color indexed="8"/>
        <rFont val="Aptos"/>
      </rPr>
      <t>1324</t>
    </r>
  </si>
  <si>
    <r>
      <rPr>
        <sz val="10"/>
        <color indexed="8"/>
        <rFont val="Aptos"/>
      </rPr>
      <t>1325</t>
    </r>
  </si>
  <si>
    <r>
      <rPr>
        <sz val="10"/>
        <color indexed="8"/>
        <rFont val="Aptos"/>
      </rPr>
      <t>1326</t>
    </r>
  </si>
  <si>
    <r>
      <rPr>
        <sz val="10"/>
        <color indexed="8"/>
        <rFont val="Aptos"/>
      </rPr>
      <t>1327</t>
    </r>
  </si>
  <si>
    <r>
      <rPr>
        <sz val="10"/>
        <color indexed="8"/>
        <rFont val="Aptos"/>
      </rPr>
      <t>1333</t>
    </r>
  </si>
  <si>
    <r>
      <rPr>
        <sz val="10"/>
        <color indexed="8"/>
        <rFont val="Aptos"/>
      </rPr>
      <t>1331</t>
    </r>
  </si>
  <si>
    <r>
      <rPr>
        <sz val="10"/>
        <color indexed="8"/>
        <rFont val="Aptos"/>
      </rPr>
      <t>1332</t>
    </r>
  </si>
  <si>
    <r>
      <rPr>
        <sz val="10"/>
        <color indexed="8"/>
        <rFont val="Aptos"/>
      </rPr>
      <t>1334</t>
    </r>
  </si>
  <si>
    <r>
      <rPr>
        <sz val="10"/>
        <color indexed="8"/>
        <rFont val="Aptos"/>
      </rPr>
      <t>1335</t>
    </r>
  </si>
  <si>
    <r>
      <rPr>
        <sz val="10"/>
        <color indexed="8"/>
        <rFont val="Aptos"/>
      </rPr>
      <t>1336</t>
    </r>
  </si>
  <si>
    <r>
      <rPr>
        <sz val="10"/>
        <color indexed="8"/>
        <rFont val="Aptos"/>
      </rPr>
      <t>1337</t>
    </r>
  </si>
  <si>
    <r>
      <rPr>
        <sz val="10"/>
        <color indexed="8"/>
        <rFont val="Aptos"/>
      </rPr>
      <t>1338</t>
    </r>
  </si>
  <si>
    <r>
      <rPr>
        <sz val="10"/>
        <color indexed="8"/>
        <rFont val="Aptos"/>
      </rPr>
      <t>1344</t>
    </r>
  </si>
  <si>
    <t>1 : Marketing de la DSI</t>
  </si>
  <si>
    <t>2 : Marketing des services</t>
  </si>
  <si>
    <t>3 : Plan de communication du numérique</t>
  </si>
  <si>
    <t>4 : Situation de crise</t>
  </si>
  <si>
    <t>Evaluation globale du vecteur 13</t>
  </si>
  <si>
    <r>
      <rPr>
        <sz val="11"/>
        <color indexed="13"/>
        <rFont val="Aptos"/>
      </rPr>
      <t>La DSI définit sa « raison d'être » et organise son propre marketing.</t>
    </r>
  </si>
  <si>
    <r>
      <rPr>
        <sz val="11"/>
        <color indexed="13"/>
        <rFont val="Aptos"/>
      </rPr>
      <t>La DSI organise le marketing de ses services auprès de ses clients.</t>
    </r>
  </si>
  <si>
    <r>
      <rPr>
        <sz val="11"/>
        <color indexed="13"/>
        <rFont val="Aptos"/>
      </rPr>
      <t>La DSI communique selon un plan de communication formalisé, structuré et partagé.</t>
    </r>
  </si>
  <si>
    <r>
      <rPr>
        <sz val="10"/>
        <color indexed="8"/>
        <rFont val="Aptos"/>
      </rPr>
      <t>1341</t>
    </r>
  </si>
  <si>
    <r>
      <rPr>
        <sz val="11"/>
        <color indexed="13"/>
        <rFont val="Aptos"/>
      </rPr>
      <t>Un plan de communication en cas de crise SI est formalisé et partagé en amont afin d’anticiper.</t>
    </r>
  </si>
  <si>
    <r>
      <rPr>
        <sz val="10"/>
        <color indexed="8"/>
        <rFont val="Aptos"/>
      </rPr>
      <t>1342</t>
    </r>
  </si>
  <si>
    <r>
      <rPr>
        <sz val="10"/>
        <color indexed="8"/>
        <rFont val="Aptos"/>
      </rPr>
      <t>1343</t>
    </r>
  </si>
  <si>
    <r>
      <rPr>
        <sz val="10"/>
        <color indexed="8"/>
        <rFont val="Aptos"/>
      </rPr>
      <t>1345</t>
    </r>
  </si>
  <si>
    <t>La DSI a défini ses objectifs prioritaires en mettant en évidence leur contribution à ceux de l'entreprise et en les structurant, par exemple selon les volets</t>
  </si>
  <si>
    <t>de l'IT SCORECARD définis par l'ISACA France.</t>
  </si>
  <si>
    <t>La DSI met en œuvre un processus de gestion budgétaire permettant de gérer les arbitrages avec la direction générale et les directions métiers et parties prenantes, relatif aux projets, aux</t>
  </si>
  <si>
    <t>évolutions et au fonctionnement récurrent.</t>
  </si>
  <si>
    <t>La DSI calcule le coût complet des prestations du catalogue de services fournis à ses clients, en le décomposant en coûts unitaires et en volumes, afin de co-responsabiliser les métiers</t>
  </si>
  <si>
    <t>sur les coûts du numérique.</t>
  </si>
</sst>
</file>

<file path=xl/styles.xml><?xml version="1.0" encoding="utf-8"?>
<styleSheet xmlns="http://schemas.openxmlformats.org/spreadsheetml/2006/main">
  <numFmts count="3">
    <numFmt numFmtId="0" formatCode="General"/>
    <numFmt numFmtId="59" formatCode="#,##0.0&quot; / 5&quot;"/>
    <numFmt numFmtId="60" formatCode="0.0"/>
  </numFmts>
  <fonts count="128">
    <font>
      <sz val="11"/>
      <color indexed="8"/>
      <name val="Calibri"/>
    </font>
    <font>
      <sz val="12"/>
      <color indexed="8"/>
      <name val="Helvetica Neue"/>
    </font>
    <font>
      <sz val="15"/>
      <color indexed="8"/>
      <name val="Calibri"/>
    </font>
    <font>
      <b val="1"/>
      <sz val="26"/>
      <color indexed="11"/>
      <name val="Sitka Banner"/>
    </font>
    <font>
      <b val="1"/>
      <sz val="36"/>
      <color indexed="11"/>
      <name val="Sitka Banner"/>
    </font>
    <font>
      <b val="1"/>
      <sz val="20"/>
      <color indexed="11"/>
      <name val="Sitka Banner"/>
    </font>
    <font>
      <i val="1"/>
      <sz val="14"/>
      <color indexed="12"/>
      <name val="Sitka Banner"/>
    </font>
    <font>
      <b val="1"/>
      <u val="single"/>
      <sz val="12"/>
      <color indexed="12"/>
      <name val="Sitka Banner"/>
    </font>
    <font>
      <b val="1"/>
      <u val="single"/>
      <sz val="12"/>
      <color indexed="13"/>
      <name val="Sitka Banner"/>
    </font>
    <font>
      <sz val="12"/>
      <color indexed="12"/>
      <name val="Sitka Banner"/>
    </font>
    <font>
      <b val="1"/>
      <sz val="12"/>
      <color indexed="14"/>
      <name val="Sitka Banner"/>
    </font>
    <font>
      <sz val="12"/>
      <color indexed="14"/>
      <name val="Sitka Banner"/>
    </font>
    <font>
      <sz val="12"/>
      <color indexed="13"/>
      <name val="Sitka Banner"/>
    </font>
    <font>
      <b val="1"/>
      <sz val="12"/>
      <color indexed="12"/>
      <name val="Sitka Banner"/>
    </font>
    <font>
      <b val="1"/>
      <sz val="12"/>
      <color indexed="15"/>
      <name val="Sitka Banner"/>
    </font>
    <font>
      <b val="1"/>
      <sz val="12"/>
      <color indexed="16"/>
      <name val="Sitka Banner"/>
    </font>
    <font>
      <sz val="12"/>
      <color indexed="15"/>
      <name val="Sitka Banner"/>
    </font>
    <font>
      <sz val="12"/>
      <color indexed="16"/>
      <name val="Sitka Banner"/>
    </font>
    <font>
      <sz val="12"/>
      <color indexed="17"/>
      <name val="Sitka Banner"/>
    </font>
    <font>
      <u val="single"/>
      <sz val="12"/>
      <color indexed="12"/>
      <name val="Sitka Banner"/>
    </font>
    <font>
      <b val="1"/>
      <u val="single"/>
      <sz val="12"/>
      <color indexed="18"/>
      <name val="Sitka Banner"/>
    </font>
    <font>
      <sz val="12"/>
      <color indexed="11"/>
      <name val="Sitka Banner"/>
    </font>
    <font>
      <b val="1"/>
      <sz val="12"/>
      <color indexed="19"/>
      <name val="Sitka Banner"/>
    </font>
    <font>
      <u val="single"/>
      <sz val="12"/>
      <color indexed="17"/>
      <name val="Sitka Banner"/>
    </font>
    <font>
      <b val="1"/>
      <u val="single"/>
      <sz val="12"/>
      <color indexed="19"/>
      <name val="Sitka Banner"/>
    </font>
    <font>
      <b val="1"/>
      <u val="single"/>
      <sz val="12"/>
      <color indexed="14"/>
      <name val="Sitka Banner"/>
    </font>
    <font>
      <sz val="12"/>
      <color indexed="18"/>
      <name val="Sitka Banner"/>
    </font>
    <font>
      <sz val="12"/>
      <color indexed="20"/>
      <name val="Sitka Banner"/>
    </font>
    <font>
      <sz val="12"/>
      <color indexed="21"/>
      <name val="Sitka Banner"/>
    </font>
    <font>
      <sz val="12"/>
      <color indexed="8"/>
      <name val="Sitka Banner"/>
    </font>
    <font>
      <i val="1"/>
      <sz val="12"/>
      <color indexed="16"/>
      <name val="Sitka Banner"/>
    </font>
    <font>
      <b val="1"/>
      <i val="1"/>
      <sz val="12"/>
      <color indexed="16"/>
      <name val="Sitka Banner"/>
    </font>
    <font>
      <sz val="12"/>
      <color indexed="12"/>
      <name val="Amasis MT Pro Light"/>
    </font>
    <font>
      <b val="1"/>
      <sz val="12"/>
      <color indexed="12"/>
      <name val="Amasis MT Pro Light"/>
    </font>
    <font>
      <sz val="16"/>
      <color indexed="12"/>
      <name val="Sitka Banner"/>
    </font>
    <font>
      <sz val="16"/>
      <color indexed="13"/>
      <name val="Sitka Banner"/>
    </font>
    <font>
      <sz val="12"/>
      <color indexed="12"/>
      <name val="Calibri"/>
    </font>
    <font>
      <sz val="12"/>
      <color indexed="13"/>
      <name val="Calibri"/>
    </font>
    <font>
      <b val="1"/>
      <sz val="12"/>
      <color indexed="22"/>
      <name val="Sitka Banner"/>
    </font>
    <font>
      <b val="1"/>
      <sz val="12"/>
      <color indexed="23"/>
      <name val="Sitka Banner"/>
    </font>
    <font>
      <b val="1"/>
      <sz val="12"/>
      <color indexed="18"/>
      <name val="Sitka Banner"/>
    </font>
    <font>
      <u val="single"/>
      <sz val="12"/>
      <color indexed="18"/>
      <name val="Sitka Banner"/>
    </font>
    <font>
      <sz val="11"/>
      <color indexed="25"/>
      <name val="Aptos"/>
    </font>
    <font>
      <b val="1"/>
      <sz val="16"/>
      <color indexed="25"/>
      <name val="Aptos"/>
    </font>
    <font>
      <sz val="10"/>
      <color indexed="8"/>
      <name val="Aptos"/>
    </font>
    <font>
      <sz val="11"/>
      <color indexed="8"/>
      <name val="Aptos"/>
    </font>
    <font>
      <b val="1"/>
      <sz val="22"/>
      <color indexed="11"/>
      <name val="Aptos"/>
    </font>
    <font>
      <b val="1"/>
      <sz val="14"/>
      <color indexed="28"/>
      <name val="Aptos"/>
    </font>
    <font>
      <b val="1"/>
      <sz val="13"/>
      <color indexed="28"/>
      <name val="Aptos"/>
    </font>
    <font>
      <sz val="11"/>
      <color indexed="12"/>
      <name val="Calibri"/>
    </font>
    <font>
      <b val="1"/>
      <sz val="18"/>
      <color indexed="14"/>
      <name val="Calibri"/>
    </font>
    <font>
      <sz val="16"/>
      <color indexed="13"/>
      <name val="Aptos"/>
    </font>
    <font>
      <b val="1"/>
      <sz val="11"/>
      <color indexed="30"/>
      <name val="Aptos"/>
    </font>
    <font>
      <b val="1"/>
      <sz val="11"/>
      <color indexed="13"/>
      <name val="Aptos"/>
    </font>
    <font>
      <b val="1"/>
      <sz val="16"/>
      <color indexed="13"/>
      <name val="Aptos"/>
    </font>
    <font>
      <sz val="16"/>
      <color indexed="8"/>
      <name val="Calibri"/>
    </font>
    <font>
      <b val="1"/>
      <sz val="16"/>
      <color indexed="8"/>
      <name val="Aptos"/>
    </font>
    <font>
      <sz val="11"/>
      <color indexed="37"/>
      <name val="Calibri"/>
    </font>
    <font>
      <b val="1"/>
      <sz val="18"/>
      <color indexed="12"/>
      <name val="Calibri"/>
    </font>
    <font>
      <b val="1"/>
      <sz val="18"/>
      <color indexed="15"/>
      <name val="Calibri"/>
    </font>
    <font>
      <sz val="13"/>
      <color indexed="13"/>
      <name val="Aptos"/>
    </font>
    <font>
      <sz val="26"/>
      <color indexed="14"/>
      <name val="Calibri"/>
    </font>
    <font>
      <sz val="26"/>
      <color indexed="12"/>
      <name val="Calibri"/>
    </font>
    <font>
      <sz val="24"/>
      <color indexed="15"/>
      <name val="Calibri"/>
    </font>
    <font>
      <b val="1"/>
      <sz val="11"/>
      <color indexed="42"/>
      <name val="Aptos"/>
    </font>
    <font>
      <b val="1"/>
      <sz val="11"/>
      <color indexed="28"/>
      <name val="Aptos"/>
    </font>
    <font>
      <b val="1"/>
      <sz val="11"/>
      <color indexed="14"/>
      <name val="Aptos"/>
    </font>
    <font>
      <b val="1"/>
      <sz val="11"/>
      <color indexed="8"/>
      <name val="Aptos"/>
    </font>
    <font>
      <b val="1"/>
      <sz val="11"/>
      <color indexed="12"/>
      <name val="Aptos"/>
    </font>
    <font>
      <b val="1"/>
      <sz val="11"/>
      <color indexed="15"/>
      <name val="Aptos"/>
    </font>
    <font>
      <sz val="10"/>
      <color indexed="8"/>
      <name val="Calibri"/>
    </font>
    <font>
      <sz val="18"/>
      <color indexed="8"/>
      <name val="Calibri"/>
    </font>
    <font>
      <b val="1"/>
      <sz val="14"/>
      <color indexed="25"/>
      <name val="Calibri"/>
    </font>
    <font>
      <sz val="9"/>
      <color indexed="25"/>
      <name val="Calibri"/>
    </font>
    <font>
      <sz val="11"/>
      <color indexed="49"/>
      <name val="Calibri"/>
    </font>
    <font>
      <i val="1"/>
      <sz val="11"/>
      <color indexed="8"/>
      <name val="Calibri"/>
    </font>
    <font>
      <sz val="11"/>
      <color indexed="8"/>
      <name val="Helvetica Neue"/>
    </font>
    <font>
      <i val="1"/>
      <sz val="7"/>
      <color indexed="8"/>
      <name val="Calibri"/>
    </font>
    <font>
      <sz val="10"/>
      <color indexed="8"/>
      <name val="Arial"/>
    </font>
    <font>
      <b val="1"/>
      <sz val="11"/>
      <color indexed="8"/>
      <name val="Calibri"/>
    </font>
    <font>
      <b val="1"/>
      <sz val="10"/>
      <color indexed="8"/>
      <name val="Arial"/>
    </font>
    <font>
      <i val="1"/>
      <sz val="11"/>
      <color indexed="35"/>
      <name val="Calibri"/>
    </font>
    <font>
      <sz val="11"/>
      <color indexed="51"/>
      <name val="Calibri"/>
    </font>
    <font>
      <sz val="11"/>
      <color indexed="44"/>
      <name val="Calibri"/>
    </font>
    <font>
      <sz val="11"/>
      <color indexed="52"/>
      <name val="Calibri"/>
    </font>
    <font>
      <sz val="10"/>
      <color indexed="35"/>
      <name val="Arial"/>
    </font>
    <font>
      <sz val="10"/>
      <color indexed="34"/>
      <name val="Arial"/>
    </font>
    <font>
      <sz val="10"/>
      <color indexed="54"/>
      <name val="Arial"/>
    </font>
    <font>
      <sz val="10"/>
      <color indexed="55"/>
      <name val="Arial"/>
    </font>
    <font>
      <b val="1"/>
      <sz val="18"/>
      <color indexed="13"/>
      <name val="Aptos"/>
    </font>
    <font>
      <b val="1"/>
      <sz val="14"/>
      <color indexed="13"/>
      <name val="Aptos"/>
    </font>
    <font>
      <sz val="18"/>
      <color indexed="13"/>
      <name val="Aptos"/>
    </font>
    <font>
      <b val="1"/>
      <sz val="14"/>
      <color indexed="35"/>
      <name val="Aptos"/>
    </font>
    <font>
      <sz val="10"/>
      <color indexed="54"/>
      <name val="Aptos"/>
    </font>
    <font>
      <sz val="20"/>
      <color indexed="8"/>
      <name val="Aptos"/>
    </font>
    <font>
      <b val="1"/>
      <sz val="20"/>
      <color indexed="13"/>
      <name val="Aptos"/>
    </font>
    <font>
      <sz val="14"/>
      <color indexed="13"/>
      <name val="Aptos"/>
    </font>
    <font>
      <sz val="12"/>
      <color indexed="8"/>
      <name val="Aptos"/>
    </font>
    <font>
      <b val="1"/>
      <sz val="12"/>
      <color indexed="25"/>
      <name val="Aptos"/>
    </font>
    <font>
      <b val="1"/>
      <sz val="14"/>
      <color indexed="25"/>
      <name val="Aptos"/>
    </font>
    <font>
      <b val="1"/>
      <u val="single"/>
      <sz val="10"/>
      <color indexed="8"/>
      <name val="Aptos"/>
    </font>
    <font>
      <b val="1"/>
      <sz val="10"/>
      <color indexed="8"/>
      <name val="Aptos"/>
    </font>
    <font>
      <b val="1"/>
      <sz val="25"/>
      <color indexed="8"/>
      <name val="Aptos"/>
    </font>
    <font>
      <b val="1"/>
      <sz val="10"/>
      <color indexed="35"/>
      <name val="Aptos"/>
    </font>
    <font>
      <sz val="10"/>
      <color indexed="35"/>
      <name val="Aptos"/>
    </font>
    <font>
      <b val="1"/>
      <sz val="25"/>
      <color indexed="25"/>
      <name val="Aptos"/>
    </font>
    <font>
      <sz val="26"/>
      <color indexed="56"/>
      <name val="Calibri"/>
    </font>
    <font>
      <sz val="26"/>
      <color indexed="25"/>
      <name val="Calibri"/>
    </font>
    <font>
      <b val="1"/>
      <sz val="22"/>
      <color indexed="13"/>
      <name val="Aptos"/>
    </font>
    <font>
      <b val="1"/>
      <u val="single"/>
      <sz val="20"/>
      <color indexed="14"/>
      <name val="Aptos"/>
    </font>
    <font>
      <b val="1"/>
      <sz val="10"/>
      <color indexed="13"/>
      <name val="Aptos"/>
    </font>
    <font>
      <sz val="10"/>
      <color indexed="25"/>
      <name val="Aptos"/>
    </font>
    <font>
      <b val="1"/>
      <sz val="11"/>
      <color indexed="57"/>
      <name val="Aptos"/>
    </font>
    <font>
      <sz val="10"/>
      <color indexed="57"/>
      <name val="Aptos"/>
    </font>
    <font>
      <b val="1"/>
      <sz val="13"/>
      <color indexed="13"/>
      <name val="Aptos"/>
    </font>
    <font>
      <b val="1"/>
      <sz val="10"/>
      <color indexed="25"/>
      <name val="Aptos"/>
    </font>
    <font>
      <b val="1"/>
      <sz val="12"/>
      <color indexed="8"/>
      <name val="Aptos"/>
    </font>
    <font>
      <b val="1"/>
      <sz val="12"/>
      <color indexed="13"/>
      <name val="Aptos"/>
    </font>
    <font>
      <b val="1"/>
      <sz val="14"/>
      <color indexed="58"/>
      <name val="Aptos"/>
    </font>
    <font>
      <sz val="10"/>
      <color indexed="18"/>
      <name val="Aptos"/>
    </font>
    <font>
      <sz val="10"/>
      <color indexed="59"/>
      <name val="Aptos"/>
    </font>
    <font>
      <b val="1"/>
      <sz val="10"/>
      <color indexed="18"/>
      <name val="Aptos"/>
    </font>
    <font>
      <sz val="11"/>
      <color indexed="13"/>
      <name val="Aptos"/>
    </font>
    <font>
      <sz val="10"/>
      <color indexed="13"/>
      <name val="Aptos"/>
    </font>
    <font>
      <b val="1"/>
      <sz val="18"/>
      <color indexed="18"/>
      <name val="Aptos Light"/>
    </font>
    <font>
      <b val="1"/>
      <u val="single"/>
      <sz val="20"/>
      <color indexed="25"/>
      <name val="Aptos"/>
    </font>
    <font>
      <sz val="10"/>
      <color indexed="31"/>
      <name val="Aptos"/>
    </font>
    <font>
      <b val="1"/>
      <u val="single"/>
      <sz val="20"/>
      <color indexed="15"/>
      <name val="Aptos"/>
    </font>
  </fonts>
  <fills count="31">
    <fill>
      <patternFill patternType="none"/>
    </fill>
    <fill>
      <patternFill patternType="gray125"/>
    </fill>
    <fill>
      <patternFill patternType="solid">
        <fgColor indexed="9"/>
        <bgColor auto="1"/>
      </patternFill>
    </fill>
    <fill>
      <patternFill patternType="solid">
        <fgColor indexed="24"/>
        <bgColor auto="1"/>
      </patternFill>
    </fill>
    <fill>
      <patternFill patternType="solid">
        <fgColor indexed="13"/>
        <bgColor auto="1"/>
      </patternFill>
    </fill>
    <fill>
      <patternFill patternType="solid">
        <fgColor indexed="26"/>
        <bgColor auto="1"/>
      </patternFill>
    </fill>
    <fill>
      <patternFill patternType="solid">
        <fgColor indexed="27"/>
        <bgColor auto="1"/>
      </patternFill>
    </fill>
    <fill>
      <patternFill patternType="solid">
        <fgColor indexed="29"/>
        <bgColor auto="1"/>
      </patternFill>
    </fill>
    <fill>
      <patternFill patternType="solid">
        <fgColor indexed="14"/>
        <bgColor auto="1"/>
      </patternFill>
    </fill>
    <fill>
      <patternFill patternType="solid">
        <fgColor indexed="36"/>
        <bgColor auto="1"/>
      </patternFill>
    </fill>
    <fill>
      <patternFill patternType="solid">
        <fgColor indexed="12"/>
        <bgColor auto="1"/>
      </patternFill>
    </fill>
    <fill>
      <patternFill patternType="solid">
        <fgColor indexed="38"/>
        <bgColor auto="1"/>
      </patternFill>
    </fill>
    <fill>
      <patternFill patternType="solid">
        <fgColor indexed="39"/>
        <bgColor auto="1"/>
      </patternFill>
    </fill>
    <fill>
      <patternFill patternType="solid">
        <fgColor indexed="15"/>
        <bgColor auto="1"/>
      </patternFill>
    </fill>
    <fill>
      <patternFill patternType="solid">
        <fgColor indexed="40"/>
        <bgColor auto="1"/>
      </patternFill>
    </fill>
    <fill>
      <patternFill patternType="solid">
        <fgColor indexed="41"/>
        <bgColor auto="1"/>
      </patternFill>
    </fill>
    <fill>
      <patternFill patternType="solid">
        <fgColor indexed="43"/>
        <bgColor auto="1"/>
      </patternFill>
    </fill>
    <fill>
      <patternFill patternType="solid">
        <fgColor indexed="45"/>
        <bgColor auto="1"/>
      </patternFill>
    </fill>
    <fill>
      <patternFill patternType="solid">
        <fgColor indexed="46"/>
        <bgColor auto="1"/>
      </patternFill>
    </fill>
    <fill>
      <patternFill patternType="solid">
        <fgColor indexed="47"/>
        <bgColor auto="1"/>
      </patternFill>
    </fill>
    <fill>
      <patternFill patternType="solid">
        <fgColor indexed="34"/>
        <bgColor auto="1"/>
      </patternFill>
    </fill>
    <fill>
      <patternFill patternType="solid">
        <fgColor indexed="33"/>
        <bgColor auto="1"/>
      </patternFill>
    </fill>
    <fill>
      <patternFill patternType="solid">
        <fgColor indexed="50"/>
        <bgColor auto="1"/>
      </patternFill>
    </fill>
    <fill>
      <patternFill patternType="solid">
        <fgColor indexed="35"/>
        <bgColor auto="1"/>
      </patternFill>
    </fill>
    <fill>
      <patternFill patternType="solid">
        <fgColor indexed="53"/>
        <bgColor auto="1"/>
      </patternFill>
    </fill>
    <fill>
      <patternFill patternType="solid">
        <fgColor indexed="54"/>
        <bgColor auto="1"/>
      </patternFill>
    </fill>
    <fill>
      <patternFill patternType="solid">
        <fgColor indexed="55"/>
        <bgColor auto="1"/>
      </patternFill>
    </fill>
    <fill>
      <patternFill patternType="solid">
        <fgColor indexed="25"/>
        <bgColor auto="1"/>
      </patternFill>
    </fill>
    <fill>
      <patternFill patternType="solid">
        <fgColor indexed="30"/>
        <bgColor auto="1"/>
      </patternFill>
    </fill>
    <fill>
      <patternFill patternType="solid">
        <fgColor indexed="11"/>
        <bgColor auto="1"/>
      </patternFill>
    </fill>
    <fill>
      <patternFill patternType="solid">
        <fgColor indexed="51"/>
        <bgColor auto="1"/>
      </patternFill>
    </fill>
  </fills>
  <borders count="290">
    <border>
      <left/>
      <right/>
      <top/>
      <bottom/>
      <diagonal/>
    </border>
    <border>
      <left style="thin">
        <color indexed="10"/>
      </left>
      <right/>
      <top style="thin">
        <color indexed="10"/>
      </top>
      <bottom/>
      <diagonal/>
    </border>
    <border>
      <left/>
      <right/>
      <top style="thin">
        <color indexed="10"/>
      </top>
      <bottom/>
      <diagonal/>
    </border>
    <border>
      <left/>
      <right style="thin">
        <color indexed="10"/>
      </right>
      <top style="thin">
        <color indexed="10"/>
      </top>
      <bottom/>
      <diagonal/>
    </border>
    <border>
      <left style="thin">
        <color indexed="10"/>
      </left>
      <right/>
      <top/>
      <bottom/>
      <diagonal/>
    </border>
    <border>
      <left/>
      <right/>
      <top/>
      <bottom/>
      <diagonal/>
    </border>
    <border>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top/>
      <bottom style="thin">
        <color indexed="25"/>
      </bottom>
      <diagonal/>
    </border>
    <border>
      <left/>
      <right style="thin">
        <color indexed="25"/>
      </right>
      <top/>
      <bottom/>
      <diagonal/>
    </border>
    <border>
      <left style="thin">
        <color indexed="25"/>
      </left>
      <right style="thin">
        <color indexed="25"/>
      </right>
      <top style="thin">
        <color indexed="25"/>
      </top>
      <bottom style="thin">
        <color indexed="25"/>
      </bottom>
      <diagonal/>
    </border>
    <border>
      <left style="thin">
        <color indexed="25"/>
      </left>
      <right/>
      <top/>
      <bottom/>
      <diagonal/>
    </border>
    <border>
      <left/>
      <right/>
      <top style="thin">
        <color indexed="25"/>
      </top>
      <bottom/>
      <diagonal/>
    </border>
    <border>
      <left style="thin">
        <color indexed="10"/>
      </left>
      <right style="thin">
        <color indexed="10"/>
      </right>
      <top style="thin">
        <color indexed="10"/>
      </top>
      <bottom style="thin">
        <color indexed="10"/>
      </bottom>
      <diagonal/>
    </border>
    <border>
      <left/>
      <right/>
      <top/>
      <bottom style="thin">
        <color indexed="16"/>
      </bottom>
      <diagonal/>
    </border>
    <border>
      <left/>
      <right style="thin">
        <color indexed="16"/>
      </right>
      <top/>
      <bottom/>
      <diagonal/>
    </border>
    <border>
      <left style="thin">
        <color indexed="16"/>
      </left>
      <right style="thin">
        <color indexed="16"/>
      </right>
      <top/>
      <bottom/>
      <diagonal/>
    </border>
    <border>
      <left style="thin">
        <color indexed="16"/>
      </left>
      <right style="thin">
        <color indexed="16"/>
      </right>
      <top style="thin">
        <color indexed="16"/>
      </top>
      <bottom style="thin">
        <color indexed="16"/>
      </bottom>
      <diagonal/>
    </border>
    <border>
      <left style="thin">
        <color indexed="16"/>
      </left>
      <right/>
      <top/>
      <bottom/>
      <diagonal/>
    </border>
    <border>
      <left style="thin">
        <color indexed="10"/>
      </left>
      <right/>
      <top/>
      <bottom style="medium">
        <color indexed="14"/>
      </bottom>
      <diagonal/>
    </border>
    <border>
      <left/>
      <right/>
      <top/>
      <bottom style="medium">
        <color indexed="14"/>
      </bottom>
      <diagonal/>
    </border>
    <border>
      <left/>
      <right/>
      <top style="thin">
        <color indexed="16"/>
      </top>
      <bottom/>
      <diagonal/>
    </border>
    <border>
      <left/>
      <right/>
      <top style="thin">
        <color indexed="16"/>
      </top>
      <bottom style="thin">
        <color indexed="8"/>
      </bottom>
      <diagonal/>
    </border>
    <border>
      <left/>
      <right/>
      <top style="thin">
        <color indexed="16"/>
      </top>
      <bottom style="thin">
        <color indexed="30"/>
      </bottom>
      <diagonal/>
    </border>
    <border>
      <left/>
      <right/>
      <top/>
      <bottom style="thin">
        <color indexed="31"/>
      </bottom>
      <diagonal/>
    </border>
    <border>
      <left style="thin">
        <color indexed="10"/>
      </left>
      <right/>
      <top style="medium">
        <color indexed="14"/>
      </top>
      <bottom/>
      <diagonal/>
    </border>
    <border>
      <left/>
      <right/>
      <top style="medium">
        <color indexed="14"/>
      </top>
      <bottom/>
      <diagonal/>
    </border>
    <border>
      <left/>
      <right style="thin">
        <color indexed="8"/>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30"/>
      </right>
      <top/>
      <bottom/>
      <diagonal/>
    </border>
    <border>
      <left style="thin">
        <color indexed="30"/>
      </left>
      <right style="thin">
        <color indexed="30"/>
      </right>
      <top style="thin">
        <color indexed="30"/>
      </top>
      <bottom style="thin">
        <color indexed="30"/>
      </bottom>
      <diagonal/>
    </border>
    <border>
      <left style="thin">
        <color indexed="30"/>
      </left>
      <right style="thin">
        <color indexed="31"/>
      </right>
      <top/>
      <bottom/>
      <diagonal/>
    </border>
    <border>
      <left style="thin">
        <color indexed="31"/>
      </left>
      <right style="thin">
        <color indexed="31"/>
      </right>
      <top style="thin">
        <color indexed="31"/>
      </top>
      <bottom/>
      <diagonal/>
    </border>
    <border>
      <left style="thin">
        <color indexed="31"/>
      </left>
      <right/>
      <top/>
      <bottom/>
      <diagonal/>
    </border>
    <border>
      <left style="thin">
        <color indexed="31"/>
      </left>
      <right style="thin">
        <color indexed="31"/>
      </right>
      <top/>
      <bottom/>
      <diagonal/>
    </border>
    <border>
      <left style="thin">
        <color indexed="8"/>
      </left>
      <right style="thin">
        <color indexed="8"/>
      </right>
      <top style="thin">
        <color indexed="8"/>
      </top>
      <bottom style="medium">
        <color indexed="8"/>
      </bottom>
      <diagonal/>
    </border>
    <border>
      <left style="thin">
        <color indexed="30"/>
      </left>
      <right style="thin">
        <color indexed="30"/>
      </right>
      <top style="thin">
        <color indexed="30"/>
      </top>
      <bottom style="medium">
        <color indexed="8"/>
      </bottom>
      <diagonal/>
    </border>
    <border>
      <left style="thin">
        <color indexed="31"/>
      </left>
      <right/>
      <top/>
      <bottom style="thin">
        <color indexed="31"/>
      </bottom>
      <diagonal/>
    </border>
    <border>
      <left/>
      <right/>
      <top style="thin">
        <color indexed="8"/>
      </top>
      <bottom/>
      <diagonal/>
    </border>
    <border>
      <left/>
      <right style="medium">
        <color indexed="8"/>
      </right>
      <top/>
      <bottom/>
      <diagonal/>
    </border>
    <border>
      <left style="medium">
        <color indexed="8"/>
      </left>
      <right style="thin">
        <color indexed="31"/>
      </right>
      <top style="medium">
        <color indexed="8"/>
      </top>
      <bottom style="medium">
        <color indexed="8"/>
      </bottom>
      <diagonal/>
    </border>
    <border>
      <left style="thin">
        <color indexed="31"/>
      </left>
      <right style="medium">
        <color indexed="8"/>
      </right>
      <top style="medium">
        <color indexed="8"/>
      </top>
      <bottom style="medium">
        <color indexed="8"/>
      </bottom>
      <diagonal/>
    </border>
    <border>
      <left style="medium">
        <color indexed="8"/>
      </left>
      <right style="medium">
        <color indexed="8"/>
      </right>
      <top/>
      <bottom/>
      <diagonal/>
    </border>
    <border>
      <left style="medium">
        <color indexed="8"/>
      </left>
      <right style="medium">
        <color indexed="8"/>
      </right>
      <top style="medium">
        <color indexed="8"/>
      </top>
      <bottom style="medium">
        <color indexed="8"/>
      </bottom>
      <diagonal/>
    </border>
    <border>
      <left style="medium">
        <color indexed="8"/>
      </left>
      <right/>
      <top/>
      <bottom/>
      <diagonal/>
    </border>
    <border>
      <left/>
      <right/>
      <top style="thin">
        <color indexed="31"/>
      </top>
      <bottom/>
      <diagonal/>
    </border>
    <border>
      <left/>
      <right/>
      <top/>
      <bottom style="thin">
        <color indexed="8"/>
      </bottom>
      <diagonal/>
    </border>
    <border>
      <left/>
      <right/>
      <top style="medium">
        <color indexed="8"/>
      </top>
      <bottom style="thin">
        <color indexed="8"/>
      </bottom>
      <diagonal/>
    </border>
    <border>
      <left/>
      <right/>
      <top style="medium">
        <color indexed="8"/>
      </top>
      <bottom style="thin">
        <color indexed="30"/>
      </bottom>
      <diagonal/>
    </border>
    <border>
      <left style="thin">
        <color indexed="31"/>
      </left>
      <right style="thin">
        <color indexed="31"/>
      </right>
      <top style="thin">
        <color indexed="31"/>
      </top>
      <bottom style="thin">
        <color indexed="25"/>
      </bottom>
      <diagonal/>
    </border>
    <border>
      <left style="thin">
        <color indexed="30"/>
      </left>
      <right style="thin">
        <color indexed="25"/>
      </right>
      <top/>
      <bottom/>
      <diagonal/>
    </border>
    <border>
      <left style="thin">
        <color indexed="25"/>
      </left>
      <right style="thin">
        <color indexed="25"/>
      </right>
      <top style="thin">
        <color indexed="25"/>
      </top>
      <bottom/>
      <diagonal/>
    </border>
    <border>
      <left style="thin">
        <color indexed="25"/>
      </left>
      <right/>
      <top/>
      <bottom style="thin">
        <color indexed="25"/>
      </bottom>
      <diagonal/>
    </border>
    <border>
      <left/>
      <right/>
      <top/>
      <bottom style="thin">
        <color indexed="15"/>
      </bottom>
      <diagonal/>
    </border>
    <border>
      <left style="thin">
        <color indexed="30"/>
      </left>
      <right style="thin">
        <color indexed="15"/>
      </right>
      <top/>
      <bottom/>
      <diagonal/>
    </border>
    <border>
      <left style="thin">
        <color indexed="15"/>
      </left>
      <right style="thin">
        <color indexed="15"/>
      </right>
      <top style="thin">
        <color indexed="15"/>
      </top>
      <bottom/>
      <diagonal/>
    </border>
    <border>
      <left style="thin">
        <color indexed="15"/>
      </left>
      <right/>
      <top/>
      <bottom/>
      <diagonal/>
    </border>
    <border>
      <left style="thin">
        <color indexed="15"/>
      </left>
      <right style="thin">
        <color indexed="15"/>
      </right>
      <top/>
      <bottom/>
      <diagonal/>
    </border>
    <border>
      <left style="thin">
        <color indexed="15"/>
      </left>
      <right/>
      <top/>
      <bottom style="thin">
        <color indexed="15"/>
      </bottom>
      <diagonal/>
    </border>
    <border>
      <left/>
      <right/>
      <top style="thin">
        <color indexed="15"/>
      </top>
      <bottom/>
      <diagonal/>
    </border>
    <border>
      <left/>
      <right/>
      <top/>
      <bottom style="thin">
        <color indexed="11"/>
      </bottom>
      <diagonal/>
    </border>
    <border>
      <left style="thin">
        <color indexed="30"/>
      </left>
      <right style="thin">
        <color indexed="11"/>
      </right>
      <top/>
      <bottom/>
      <diagonal/>
    </border>
    <border>
      <left style="thin">
        <color indexed="11"/>
      </left>
      <right style="thin">
        <color indexed="11"/>
      </right>
      <top style="thin">
        <color indexed="11"/>
      </top>
      <bottom/>
      <diagonal/>
    </border>
    <border>
      <left style="thin">
        <color indexed="11"/>
      </left>
      <right/>
      <top/>
      <bottom/>
      <diagonal/>
    </border>
    <border>
      <left style="thin">
        <color indexed="11"/>
      </left>
      <right style="thin">
        <color indexed="11"/>
      </right>
      <top/>
      <bottom/>
      <diagonal/>
    </border>
    <border>
      <left style="thin">
        <color indexed="11"/>
      </left>
      <right/>
      <top/>
      <bottom style="thin">
        <color indexed="11"/>
      </bottom>
      <diagonal/>
    </border>
    <border>
      <left/>
      <right/>
      <top style="thin">
        <color indexed="11"/>
      </top>
      <bottom/>
      <diagonal/>
    </border>
    <border>
      <left style="thin">
        <color indexed="10"/>
      </left>
      <right/>
      <top/>
      <bottom style="medium">
        <color indexed="12"/>
      </bottom>
      <diagonal/>
    </border>
    <border>
      <left/>
      <right/>
      <top/>
      <bottom style="medium">
        <color indexed="12"/>
      </bottom>
      <diagonal/>
    </border>
    <border>
      <left style="thin">
        <color indexed="10"/>
      </left>
      <right/>
      <top style="medium">
        <color indexed="12"/>
      </top>
      <bottom/>
      <diagonal/>
    </border>
    <border>
      <left/>
      <right/>
      <top style="medium">
        <color indexed="12"/>
      </top>
      <bottom/>
      <diagonal/>
    </border>
    <border>
      <left style="thin">
        <color indexed="31"/>
      </left>
      <right/>
      <top/>
      <bottom style="thin">
        <color indexed="8"/>
      </bottom>
      <diagonal/>
    </border>
    <border>
      <left style="thin">
        <color indexed="10"/>
      </left>
      <right/>
      <top/>
      <bottom style="medium">
        <color indexed="15"/>
      </bottom>
      <diagonal/>
    </border>
    <border>
      <left/>
      <right/>
      <top/>
      <bottom style="medium">
        <color indexed="15"/>
      </bottom>
      <diagonal/>
    </border>
    <border>
      <left style="thin">
        <color indexed="10"/>
      </left>
      <right/>
      <top style="medium">
        <color indexed="15"/>
      </top>
      <bottom/>
      <diagonal/>
    </border>
    <border>
      <left/>
      <right/>
      <top style="medium">
        <color indexed="15"/>
      </top>
      <bottom/>
      <diagonal/>
    </border>
    <border>
      <left style="thin">
        <color indexed="25"/>
      </left>
      <right/>
      <top/>
      <bottom style="thin">
        <color indexed="8"/>
      </bottom>
      <diagonal/>
    </border>
    <border>
      <left style="thin">
        <color indexed="15"/>
      </left>
      <right style="thin">
        <color indexed="15"/>
      </right>
      <top style="thin">
        <color indexed="15"/>
      </top>
      <bottom style="thin">
        <color indexed="8"/>
      </bottom>
      <diagonal/>
    </border>
    <border>
      <left style="thin">
        <color indexed="30"/>
      </left>
      <right style="thin">
        <color indexed="8"/>
      </right>
      <top/>
      <bottom/>
      <diagonal/>
    </border>
    <border>
      <left style="thin">
        <color indexed="8"/>
      </left>
      <right style="thin">
        <color indexed="8"/>
      </right>
      <top style="thin">
        <color indexed="8"/>
      </top>
      <bottom/>
      <diagonal/>
    </border>
    <border>
      <left style="thin">
        <color indexed="8"/>
      </left>
      <right/>
      <top/>
      <bottom/>
      <diagonal/>
    </border>
    <border>
      <left style="thin">
        <color indexed="8"/>
      </left>
      <right style="thin">
        <color indexed="8"/>
      </right>
      <top/>
      <bottom style="thin">
        <color indexed="8"/>
      </bottom>
      <diagonal/>
    </border>
    <border>
      <left style="thin">
        <color indexed="31"/>
      </left>
      <right style="thin">
        <color indexed="31"/>
      </right>
      <top style="thin">
        <color indexed="31"/>
      </top>
      <bottom style="thin">
        <color indexed="8"/>
      </bottom>
      <diagonal/>
    </border>
    <border>
      <left/>
      <right/>
      <top style="medium">
        <color indexed="8"/>
      </top>
      <bottom/>
      <diagonal/>
    </border>
    <border>
      <left/>
      <right/>
      <top/>
      <bottom style="thick">
        <color indexed="13"/>
      </bottom>
      <diagonal/>
    </border>
    <border>
      <left/>
      <right style="thick">
        <color indexed="13"/>
      </right>
      <top style="thick">
        <color indexed="13"/>
      </top>
      <bottom style="thin">
        <color indexed="13"/>
      </bottom>
      <diagonal/>
    </border>
    <border>
      <left style="thick">
        <color indexed="13"/>
      </left>
      <right/>
      <top style="thick">
        <color indexed="13"/>
      </top>
      <bottom style="thin">
        <color indexed="13"/>
      </bottom>
      <diagonal/>
    </border>
    <border>
      <left/>
      <right style="thick">
        <color indexed="13"/>
      </right>
      <top style="thick">
        <color indexed="13"/>
      </top>
      <bottom style="thick">
        <color indexed="13"/>
      </bottom>
      <diagonal/>
    </border>
    <border>
      <left style="thick">
        <color indexed="13"/>
      </left>
      <right style="thin">
        <color indexed="13"/>
      </right>
      <top style="thick">
        <color indexed="13"/>
      </top>
      <bottom style="thick">
        <color indexed="13"/>
      </bottom>
      <diagonal/>
    </border>
    <border>
      <left style="thin">
        <color indexed="13"/>
      </left>
      <right style="thin">
        <color indexed="16"/>
      </right>
      <top style="thin">
        <color indexed="13"/>
      </top>
      <bottom style="thin">
        <color indexed="13"/>
      </bottom>
      <diagonal/>
    </border>
    <border>
      <left style="thin">
        <color indexed="16"/>
      </left>
      <right style="thin">
        <color indexed="16"/>
      </right>
      <top style="thin">
        <color indexed="13"/>
      </top>
      <bottom style="thin">
        <color indexed="16"/>
      </bottom>
      <diagonal/>
    </border>
    <border>
      <left style="thin">
        <color indexed="13"/>
      </left>
      <right style="thin">
        <color indexed="16"/>
      </right>
      <top style="thin">
        <color indexed="13"/>
      </top>
      <bottom style="thin">
        <color indexed="16"/>
      </bottom>
      <diagonal/>
    </border>
    <border>
      <left/>
      <right/>
      <top style="thick">
        <color indexed="13"/>
      </top>
      <bottom/>
      <diagonal/>
    </border>
    <border>
      <left style="thin">
        <color indexed="10"/>
      </left>
      <right style="thin">
        <color indexed="8"/>
      </right>
      <top style="thin">
        <color indexed="10"/>
      </top>
      <bottom style="thin">
        <color indexed="10"/>
      </bottom>
      <diagonal/>
    </border>
    <border>
      <left style="thin">
        <color indexed="8"/>
      </left>
      <right style="thin">
        <color indexed="8"/>
      </right>
      <top style="thin">
        <color indexed="10"/>
      </top>
      <bottom style="thin">
        <color indexed="10"/>
      </bottom>
      <diagonal/>
    </border>
    <border>
      <left style="thin">
        <color indexed="8"/>
      </left>
      <right style="thin">
        <color indexed="10"/>
      </right>
      <top style="thin">
        <color indexed="10"/>
      </top>
      <bottom style="thin">
        <color indexed="10"/>
      </bottom>
      <diagonal/>
    </border>
    <border>
      <left style="thin">
        <color indexed="8"/>
      </left>
      <right style="thin">
        <color indexed="8"/>
      </right>
      <top style="thin">
        <color indexed="8"/>
      </top>
      <bottom style="thin">
        <color indexed="10"/>
      </bottom>
      <diagonal/>
    </border>
    <border>
      <left style="thin">
        <color indexed="8"/>
      </left>
      <right style="thin">
        <color indexed="8"/>
      </right>
      <top style="thin">
        <color indexed="8"/>
      </top>
      <bottom style="thin">
        <color indexed="26"/>
      </bottom>
      <diagonal/>
    </border>
    <border>
      <left style="thin">
        <color indexed="8"/>
      </left>
      <right style="thin">
        <color indexed="8"/>
      </right>
      <top style="thin">
        <color indexed="8"/>
      </top>
      <bottom style="thin">
        <color indexed="48"/>
      </bottom>
      <diagonal/>
    </border>
    <border>
      <left style="thin">
        <color indexed="10"/>
      </left>
      <right style="thin">
        <color indexed="10"/>
      </right>
      <top style="thin">
        <color indexed="8"/>
      </top>
      <bottom style="thin">
        <color indexed="10"/>
      </bottom>
      <diagonal/>
    </border>
    <border>
      <left style="thin">
        <color indexed="8"/>
      </left>
      <right style="thin">
        <color indexed="8"/>
      </right>
      <top style="thin">
        <color indexed="26"/>
      </top>
      <bottom style="thin">
        <color indexed="26"/>
      </bottom>
      <diagonal/>
    </border>
    <border>
      <left style="thin">
        <color indexed="8"/>
      </left>
      <right style="thin">
        <color indexed="8"/>
      </right>
      <top style="thin">
        <color indexed="48"/>
      </top>
      <bottom style="thin">
        <color indexed="48"/>
      </bottom>
      <diagonal/>
    </border>
    <border>
      <left style="thin">
        <color indexed="8"/>
      </left>
      <right style="thin">
        <color indexed="8"/>
      </right>
      <top style="thin">
        <color indexed="10"/>
      </top>
      <bottom style="thin">
        <color indexed="8"/>
      </bottom>
      <diagonal/>
    </border>
    <border>
      <left style="thin">
        <color indexed="8"/>
      </left>
      <right style="thin">
        <color indexed="8"/>
      </right>
      <top style="thin">
        <color indexed="26"/>
      </top>
      <bottom style="thin">
        <color indexed="8"/>
      </bottom>
      <diagonal/>
    </border>
    <border>
      <left style="thin">
        <color indexed="8"/>
      </left>
      <right style="thin">
        <color indexed="8"/>
      </right>
      <top style="thin">
        <color indexed="48"/>
      </top>
      <bottom style="thin">
        <color indexed="8"/>
      </bottom>
      <diagonal/>
    </border>
    <border>
      <left style="thin">
        <color indexed="8"/>
      </left>
      <right style="thin">
        <color indexed="8"/>
      </right>
      <top/>
      <bottom style="medium">
        <color indexed="8"/>
      </bottom>
      <diagonal/>
    </border>
    <border>
      <left style="thin">
        <color indexed="8"/>
      </left>
      <right style="thin">
        <color indexed="8"/>
      </right>
      <top style="thin">
        <color indexed="10"/>
      </top>
      <bottom style="medium">
        <color indexed="8"/>
      </bottom>
      <diagonal/>
    </border>
    <border>
      <left style="thin">
        <color indexed="8"/>
      </left>
      <right style="thin">
        <color indexed="8"/>
      </right>
      <top style="medium">
        <color indexed="8"/>
      </top>
      <bottom/>
      <diagonal/>
    </border>
    <border>
      <left style="thin">
        <color indexed="8"/>
      </left>
      <right style="thin">
        <color indexed="8"/>
      </right>
      <top style="medium">
        <color indexed="8"/>
      </top>
      <bottom style="thin">
        <color indexed="10"/>
      </bottom>
      <diagonal/>
    </border>
    <border>
      <left style="thin">
        <color indexed="8"/>
      </left>
      <right style="thin">
        <color indexed="8"/>
      </right>
      <top style="medium">
        <color indexed="8"/>
      </top>
      <bottom style="thin">
        <color indexed="26"/>
      </bottom>
      <diagonal/>
    </border>
    <border>
      <left style="thin">
        <color indexed="8"/>
      </left>
      <right style="thin">
        <color indexed="8"/>
      </right>
      <top style="medium">
        <color indexed="8"/>
      </top>
      <bottom style="thin">
        <color indexed="48"/>
      </bottom>
      <diagonal/>
    </border>
    <border>
      <left style="thin">
        <color indexed="8"/>
      </left>
      <right style="thin">
        <color indexed="8"/>
      </right>
      <top style="thin">
        <color indexed="10"/>
      </top>
      <bottom/>
      <diagonal/>
    </border>
    <border>
      <left style="thin">
        <color indexed="8"/>
      </left>
      <right/>
      <top style="thin">
        <color indexed="8"/>
      </top>
      <bottom style="thin">
        <color indexed="10"/>
      </bottom>
      <diagonal/>
    </border>
    <border>
      <left/>
      <right style="thin">
        <color indexed="8"/>
      </right>
      <top style="thin">
        <color indexed="8"/>
      </top>
      <bottom style="thin">
        <color indexed="10"/>
      </bottom>
      <diagonal/>
    </border>
    <border>
      <left style="thin">
        <color indexed="8"/>
      </left>
      <right/>
      <top style="thin">
        <color indexed="10"/>
      </top>
      <bottom style="thin">
        <color indexed="10"/>
      </bottom>
      <diagonal/>
    </border>
    <border>
      <left/>
      <right style="thin">
        <color indexed="8"/>
      </right>
      <top style="thin">
        <color indexed="10"/>
      </top>
      <bottom style="thin">
        <color indexed="10"/>
      </bottom>
      <diagonal/>
    </border>
    <border>
      <left style="thin">
        <color indexed="8"/>
      </left>
      <right style="thin">
        <color indexed="10"/>
      </right>
      <top style="thin">
        <color indexed="10"/>
      </top>
      <bottom style="medium">
        <color indexed="8"/>
      </bottom>
      <diagonal/>
    </border>
    <border>
      <left style="thin">
        <color indexed="10"/>
      </left>
      <right style="thin">
        <color indexed="10"/>
      </right>
      <top style="thin">
        <color indexed="10"/>
      </top>
      <bottom style="medium">
        <color indexed="8"/>
      </bottom>
      <diagonal/>
    </border>
    <border>
      <left style="thin">
        <color indexed="10"/>
      </left>
      <right/>
      <top style="thin">
        <color indexed="10"/>
      </top>
      <bottom style="medium">
        <color indexed="8"/>
      </bottom>
      <diagonal/>
    </border>
    <border>
      <left/>
      <right/>
      <top/>
      <bottom style="medium">
        <color indexed="8"/>
      </bottom>
      <diagonal/>
    </border>
    <border>
      <left/>
      <right style="thin">
        <color indexed="8"/>
      </right>
      <top style="thin">
        <color indexed="10"/>
      </top>
      <bottom style="medium">
        <color indexed="8"/>
      </bottom>
      <diagonal/>
    </border>
    <border>
      <left/>
      <right style="thin">
        <color indexed="10"/>
      </right>
      <top style="thin">
        <color indexed="10"/>
      </top>
      <bottom style="thin">
        <color indexed="10"/>
      </bottom>
      <diagonal/>
    </border>
    <border>
      <left style="thin">
        <color indexed="8"/>
      </left>
      <right style="thin">
        <color indexed="10"/>
      </right>
      <top style="medium">
        <color indexed="8"/>
      </top>
      <bottom style="thin">
        <color indexed="10"/>
      </bottom>
      <diagonal/>
    </border>
    <border>
      <left style="thin">
        <color indexed="10"/>
      </left>
      <right style="thin">
        <color indexed="8"/>
      </right>
      <top style="medium">
        <color indexed="8"/>
      </top>
      <bottom style="thin">
        <color indexed="10"/>
      </bottom>
      <diagonal/>
    </border>
    <border>
      <left style="thin">
        <color indexed="8"/>
      </left>
      <right style="thin">
        <color indexed="10"/>
      </right>
      <top style="thin">
        <color indexed="8"/>
      </top>
      <bottom style="thin">
        <color indexed="10"/>
      </bottom>
      <diagonal/>
    </border>
    <border>
      <left style="thin">
        <color indexed="10"/>
      </left>
      <right style="thin">
        <color indexed="8"/>
      </right>
      <top style="thin">
        <color indexed="10"/>
      </top>
      <bottom style="medium">
        <color indexed="8"/>
      </bottom>
      <diagonal/>
    </border>
    <border>
      <left/>
      <right style="thin">
        <color indexed="10"/>
      </right>
      <top style="thin">
        <color indexed="8"/>
      </top>
      <bottom style="thin">
        <color indexed="10"/>
      </bottom>
      <diagonal/>
    </border>
    <border>
      <left style="thin">
        <color indexed="8"/>
      </left>
      <right style="thin">
        <color indexed="10"/>
      </right>
      <top style="thin">
        <color indexed="10"/>
      </top>
      <bottom/>
      <diagonal/>
    </border>
    <border>
      <left style="thin">
        <color indexed="8"/>
      </left>
      <right style="thin">
        <color indexed="10"/>
      </right>
      <top/>
      <bottom style="thin">
        <color indexed="10"/>
      </bottom>
      <diagonal/>
    </border>
    <border>
      <left style="thin">
        <color indexed="8"/>
      </left>
      <right style="thin">
        <color indexed="8"/>
      </right>
      <top/>
      <bottom style="thin">
        <color indexed="10"/>
      </bottom>
      <diagonal/>
    </border>
    <border>
      <left style="thin">
        <color indexed="10"/>
      </left>
      <right style="thin">
        <color indexed="8"/>
      </right>
      <top style="thin">
        <color indexed="10"/>
      </top>
      <bottom style="thin">
        <color indexed="8"/>
      </bottom>
      <diagonal/>
    </border>
    <border>
      <left style="thin">
        <color indexed="10"/>
      </left>
      <right style="thin">
        <color indexed="8"/>
      </right>
      <top style="thin">
        <color indexed="8"/>
      </top>
      <bottom style="thin">
        <color indexed="10"/>
      </bottom>
      <diagonal/>
    </border>
    <border>
      <left style="thin">
        <color indexed="10"/>
      </left>
      <right style="thin">
        <color indexed="10"/>
      </right>
      <top/>
      <bottom style="thin">
        <color indexed="10"/>
      </bottom>
      <diagonal/>
    </border>
    <border>
      <left style="thin">
        <color indexed="10"/>
      </left>
      <right/>
      <top style="thin">
        <color indexed="8"/>
      </top>
      <bottom style="thin">
        <color indexed="10"/>
      </bottom>
      <diagonal/>
    </border>
    <border>
      <left style="thin">
        <color indexed="10"/>
      </left>
      <right/>
      <top style="thin">
        <color indexed="10"/>
      </top>
      <bottom style="thin">
        <color indexed="10"/>
      </bottom>
      <diagonal/>
    </border>
    <border>
      <left/>
      <right style="medium">
        <color indexed="8"/>
      </right>
      <top style="thin">
        <color indexed="10"/>
      </top>
      <bottom style="medium">
        <color indexed="8"/>
      </bottom>
      <diagonal/>
    </border>
    <border>
      <left style="medium">
        <color indexed="8"/>
      </left>
      <right style="thin">
        <color indexed="8"/>
      </right>
      <top style="thin">
        <color indexed="10"/>
      </top>
      <bottom/>
      <diagonal/>
    </border>
    <border>
      <left style="thin">
        <color indexed="8"/>
      </left>
      <right/>
      <top style="thin">
        <color indexed="10"/>
      </top>
      <bottom/>
      <diagonal/>
    </border>
    <border>
      <left style="medium">
        <color indexed="8"/>
      </left>
      <right style="medium">
        <color indexed="8"/>
      </right>
      <top style="medium">
        <color indexed="8"/>
      </top>
      <bottom/>
      <diagonal/>
    </border>
    <border>
      <left style="medium">
        <color indexed="8"/>
      </left>
      <right style="thin">
        <color indexed="8"/>
      </right>
      <top/>
      <bottom/>
      <diagonal/>
    </border>
    <border>
      <left style="thin">
        <color indexed="10"/>
      </left>
      <right style="medium">
        <color indexed="8"/>
      </right>
      <top/>
      <bottom/>
      <diagonal/>
    </border>
    <border>
      <left style="thin">
        <color indexed="10"/>
      </left>
      <right style="medium">
        <color indexed="8"/>
      </right>
      <top/>
      <bottom style="medium">
        <color indexed="8"/>
      </bottom>
      <diagonal/>
    </border>
    <border>
      <left style="medium">
        <color indexed="8"/>
      </left>
      <right style="medium">
        <color indexed="8"/>
      </right>
      <top/>
      <bottom style="medium">
        <color indexed="8"/>
      </bottom>
      <diagonal/>
    </border>
    <border>
      <left style="medium">
        <color indexed="8"/>
      </left>
      <right/>
      <top/>
      <bottom style="medium">
        <color indexed="8"/>
      </bottom>
      <diagonal/>
    </border>
    <border>
      <left style="medium">
        <color indexed="8"/>
      </left>
      <right/>
      <top style="medium">
        <color indexed="8"/>
      </top>
      <bottom/>
      <diagonal/>
    </border>
    <border>
      <left style="thin">
        <color indexed="10"/>
      </left>
      <right/>
      <top style="medium">
        <color indexed="8"/>
      </top>
      <bottom/>
      <diagonal/>
    </border>
    <border>
      <left style="thin">
        <color indexed="10"/>
      </left>
      <right/>
      <top/>
      <bottom style="medium">
        <color indexed="8"/>
      </bottom>
      <diagonal/>
    </border>
    <border>
      <left/>
      <right style="medium">
        <color indexed="8"/>
      </right>
      <top style="medium">
        <color indexed="8"/>
      </top>
      <bottom/>
      <diagonal/>
    </border>
    <border>
      <left/>
      <right style="medium">
        <color indexed="8"/>
      </right>
      <top/>
      <bottom style="medium">
        <color indexed="8"/>
      </bottom>
      <diagonal/>
    </border>
    <border>
      <left/>
      <right/>
      <top style="thin">
        <color indexed="8"/>
      </top>
      <bottom style="thin">
        <color indexed="8"/>
      </bottom>
      <diagonal/>
    </border>
    <border>
      <left/>
      <right/>
      <top/>
      <bottom style="medium">
        <color indexed="18"/>
      </bottom>
      <diagonal/>
    </border>
    <border>
      <left/>
      <right style="medium">
        <color indexed="18"/>
      </right>
      <top/>
      <bottom/>
      <diagonal/>
    </border>
    <border>
      <left style="medium">
        <color indexed="18"/>
      </left>
      <right style="medium">
        <color indexed="18"/>
      </right>
      <top style="medium">
        <color indexed="18"/>
      </top>
      <bottom style="medium">
        <color indexed="18"/>
      </bottom>
      <diagonal/>
    </border>
    <border>
      <left style="medium">
        <color indexed="18"/>
      </left>
      <right/>
      <top/>
      <bottom/>
      <diagonal/>
    </border>
    <border>
      <left/>
      <right/>
      <top/>
      <bottom style="medium">
        <color indexed="11"/>
      </bottom>
      <diagonal/>
    </border>
    <border>
      <left/>
      <right/>
      <top style="medium">
        <color indexed="18"/>
      </top>
      <bottom style="medium">
        <color indexed="11"/>
      </bottom>
      <diagonal/>
    </border>
    <border>
      <left/>
      <right style="medium">
        <color indexed="11"/>
      </right>
      <top/>
      <bottom/>
      <diagonal/>
    </border>
    <border>
      <left style="medium">
        <color indexed="11"/>
      </left>
      <right/>
      <top style="medium">
        <color indexed="11"/>
      </top>
      <bottom/>
      <diagonal/>
    </border>
    <border>
      <left/>
      <right/>
      <top style="medium">
        <color indexed="11"/>
      </top>
      <bottom/>
      <diagonal/>
    </border>
    <border>
      <left/>
      <right/>
      <top style="medium">
        <color indexed="11"/>
      </top>
      <bottom style="thin">
        <color indexed="8"/>
      </bottom>
      <diagonal/>
    </border>
    <border>
      <left/>
      <right/>
      <top style="medium">
        <color indexed="11"/>
      </top>
      <bottom style="thin">
        <color indexed="30"/>
      </bottom>
      <diagonal/>
    </border>
    <border>
      <left/>
      <right style="medium">
        <color indexed="11"/>
      </right>
      <top style="medium">
        <color indexed="11"/>
      </top>
      <bottom/>
      <diagonal/>
    </border>
    <border>
      <left style="medium">
        <color indexed="11"/>
      </left>
      <right/>
      <top/>
      <bottom/>
      <diagonal/>
    </border>
    <border>
      <left style="thin">
        <color indexed="8"/>
      </left>
      <right style="thin">
        <color indexed="8"/>
      </right>
      <top style="thin">
        <color indexed="8"/>
      </top>
      <bottom style="medium">
        <color indexed="18"/>
      </bottom>
      <diagonal/>
    </border>
    <border>
      <left style="thin">
        <color indexed="30"/>
      </left>
      <right style="thin">
        <color indexed="13"/>
      </right>
      <top style="thin">
        <color indexed="30"/>
      </top>
      <bottom style="thin">
        <color indexed="30"/>
      </bottom>
      <diagonal/>
    </border>
    <border>
      <left style="thin">
        <color indexed="13"/>
      </left>
      <right style="thin">
        <color indexed="30"/>
      </right>
      <top style="thin">
        <color indexed="30"/>
      </top>
      <bottom style="thin">
        <color indexed="30"/>
      </bottom>
      <diagonal/>
    </border>
    <border>
      <left style="thin">
        <color indexed="30"/>
      </left>
      <right style="medium">
        <color indexed="11"/>
      </right>
      <top/>
      <bottom/>
      <diagonal/>
    </border>
    <border>
      <left style="medium">
        <color indexed="11"/>
      </left>
      <right style="thin">
        <color indexed="8"/>
      </right>
      <top/>
      <bottom/>
      <diagonal/>
    </border>
    <border>
      <left style="thin">
        <color indexed="8"/>
      </left>
      <right style="medium">
        <color indexed="18"/>
      </right>
      <top/>
      <bottom/>
      <diagonal/>
    </border>
    <border>
      <left style="medium">
        <color indexed="18"/>
      </left>
      <right style="thin">
        <color indexed="8"/>
      </right>
      <top style="medium">
        <color indexed="18"/>
      </top>
      <bottom style="thin">
        <color indexed="8"/>
      </bottom>
      <diagonal/>
    </border>
    <border>
      <left style="thin">
        <color indexed="8"/>
      </left>
      <right style="medium">
        <color indexed="18"/>
      </right>
      <top style="medium">
        <color indexed="18"/>
      </top>
      <bottom style="thin">
        <color indexed="8"/>
      </bottom>
      <diagonal/>
    </border>
    <border>
      <left style="medium">
        <color indexed="18"/>
      </left>
      <right style="thin">
        <color indexed="30"/>
      </right>
      <top/>
      <bottom/>
      <diagonal/>
    </border>
    <border>
      <left style="medium">
        <color indexed="18"/>
      </left>
      <right style="thin">
        <color indexed="8"/>
      </right>
      <top style="thin">
        <color indexed="8"/>
      </top>
      <bottom style="thin">
        <color indexed="8"/>
      </bottom>
      <diagonal/>
    </border>
    <border>
      <left style="thin">
        <color indexed="8"/>
      </left>
      <right style="medium">
        <color indexed="18"/>
      </right>
      <top style="thin">
        <color indexed="8"/>
      </top>
      <bottom style="thin">
        <color indexed="8"/>
      </bottom>
      <diagonal/>
    </border>
    <border>
      <left style="medium">
        <color indexed="18"/>
      </left>
      <right style="thin">
        <color indexed="8"/>
      </right>
      <top style="thin">
        <color indexed="8"/>
      </top>
      <bottom style="medium">
        <color indexed="18"/>
      </bottom>
      <diagonal/>
    </border>
    <border>
      <left style="thin">
        <color indexed="8"/>
      </left>
      <right style="medium">
        <color indexed="18"/>
      </right>
      <top style="thin">
        <color indexed="8"/>
      </top>
      <bottom style="medium">
        <color indexed="18"/>
      </bottom>
      <diagonal/>
    </border>
    <border>
      <left/>
      <right/>
      <top style="thin">
        <color indexed="8"/>
      </top>
      <bottom style="thin">
        <color indexed="11"/>
      </bottom>
      <diagonal/>
    </border>
    <border>
      <left/>
      <right/>
      <top style="medium">
        <color indexed="18"/>
      </top>
      <bottom/>
      <diagonal/>
    </border>
    <border>
      <left/>
      <right/>
      <top style="thin">
        <color indexed="30"/>
      </top>
      <bottom style="thin">
        <color indexed="11"/>
      </bottom>
      <diagonal/>
    </border>
    <border>
      <left/>
      <right style="thin">
        <color indexed="11"/>
      </right>
      <top/>
      <bottom/>
      <diagonal/>
    </border>
    <border>
      <left style="thin">
        <color indexed="11"/>
      </left>
      <right style="thin">
        <color indexed="11"/>
      </right>
      <top style="thin">
        <color indexed="11"/>
      </top>
      <bottom style="medium">
        <color indexed="18"/>
      </bottom>
      <diagonal/>
    </border>
    <border>
      <left style="thin">
        <color indexed="11"/>
      </left>
      <right style="thin">
        <color indexed="13"/>
      </right>
      <top style="thin">
        <color indexed="11"/>
      </top>
      <bottom style="thin">
        <color indexed="25"/>
      </bottom>
      <diagonal/>
    </border>
    <border>
      <left style="thin">
        <color indexed="13"/>
      </left>
      <right style="thin">
        <color indexed="11"/>
      </right>
      <top style="thin">
        <color indexed="11"/>
      </top>
      <bottom style="thin">
        <color indexed="25"/>
      </bottom>
      <diagonal/>
    </border>
    <border>
      <left style="thin">
        <color indexed="11"/>
      </left>
      <right style="medium">
        <color indexed="11"/>
      </right>
      <top/>
      <bottom/>
      <diagonal/>
    </border>
    <border>
      <left style="medium">
        <color indexed="18"/>
      </left>
      <right style="thin">
        <color indexed="11"/>
      </right>
      <top style="medium">
        <color indexed="18"/>
      </top>
      <bottom style="medium">
        <color indexed="18"/>
      </bottom>
      <diagonal/>
    </border>
    <border>
      <left style="thin">
        <color indexed="11"/>
      </left>
      <right style="medium">
        <color indexed="18"/>
      </right>
      <top style="medium">
        <color indexed="18"/>
      </top>
      <bottom style="medium">
        <color indexed="18"/>
      </bottom>
      <diagonal/>
    </border>
    <border>
      <left style="medium">
        <color indexed="18"/>
      </left>
      <right style="thin">
        <color indexed="11"/>
      </right>
      <top/>
      <bottom/>
      <diagonal/>
    </border>
    <border>
      <left style="thin">
        <color indexed="11"/>
      </left>
      <right style="thin">
        <color indexed="30"/>
      </right>
      <top style="thin">
        <color indexed="25"/>
      </top>
      <bottom style="thin">
        <color indexed="11"/>
      </bottom>
      <diagonal/>
    </border>
    <border>
      <left style="thin">
        <color indexed="30"/>
      </left>
      <right style="thin">
        <color indexed="11"/>
      </right>
      <top style="thin">
        <color indexed="25"/>
      </top>
      <bottom style="thin">
        <color indexed="11"/>
      </bottom>
      <diagonal/>
    </border>
    <border>
      <left style="medium">
        <color indexed="11"/>
      </left>
      <right/>
      <top/>
      <bottom style="medium">
        <color indexed="11"/>
      </bottom>
      <diagonal/>
    </border>
    <border>
      <left/>
      <right/>
      <top style="thin">
        <color indexed="11"/>
      </top>
      <bottom style="medium">
        <color indexed="11"/>
      </bottom>
      <diagonal/>
    </border>
    <border>
      <left/>
      <right style="medium">
        <color indexed="11"/>
      </right>
      <top/>
      <bottom style="medium">
        <color indexed="11"/>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13"/>
      </bottom>
      <diagonal/>
    </border>
    <border>
      <left style="thin">
        <color indexed="8"/>
      </left>
      <right/>
      <top style="thin">
        <color indexed="8"/>
      </top>
      <bottom style="thin">
        <color indexed="13"/>
      </bottom>
      <diagonal/>
    </border>
    <border>
      <left/>
      <right/>
      <top style="thin">
        <color indexed="8"/>
      </top>
      <bottom style="thin">
        <color indexed="13"/>
      </bottom>
      <diagonal/>
    </border>
    <border>
      <left/>
      <right style="thin">
        <color indexed="8"/>
      </right>
      <top style="thin">
        <color indexed="8"/>
      </top>
      <bottom style="thin">
        <color indexed="13"/>
      </bottom>
      <diagonal/>
    </border>
    <border>
      <left style="thin">
        <color indexed="8"/>
      </left>
      <right style="thin">
        <color indexed="13"/>
      </right>
      <top style="thin">
        <color indexed="13"/>
      </top>
      <bottom style="thin">
        <color indexed="13"/>
      </bottom>
      <diagonal/>
    </border>
    <border>
      <left style="thin">
        <color indexed="13"/>
      </left>
      <right/>
      <top style="thin">
        <color indexed="13"/>
      </top>
      <bottom/>
      <diagonal/>
    </border>
    <border>
      <left/>
      <right/>
      <top style="thin">
        <color indexed="13"/>
      </top>
      <bottom/>
      <diagonal/>
    </border>
    <border>
      <left/>
      <right style="thin">
        <color indexed="8"/>
      </right>
      <top/>
      <bottom style="thin">
        <color indexed="8"/>
      </bottom>
      <diagonal/>
    </border>
    <border>
      <left/>
      <right/>
      <top style="thin">
        <color indexed="13"/>
      </top>
      <bottom style="thin">
        <color indexed="8"/>
      </bottom>
      <diagonal/>
    </border>
    <border>
      <left/>
      <right style="thin">
        <color indexed="8"/>
      </right>
      <top/>
      <bottom style="thin">
        <color indexed="25"/>
      </bottom>
      <diagonal/>
    </border>
    <border>
      <left style="thin">
        <color indexed="8"/>
      </left>
      <right style="thin">
        <color indexed="8"/>
      </right>
      <top style="thin">
        <color indexed="8"/>
      </top>
      <bottom style="thin">
        <color indexed="25"/>
      </bottom>
      <diagonal/>
    </border>
    <border>
      <left style="thin">
        <color indexed="8"/>
      </left>
      <right style="thin">
        <color indexed="8"/>
      </right>
      <top/>
      <bottom style="thin">
        <color indexed="25"/>
      </bottom>
      <diagonal/>
    </border>
    <border>
      <left style="thin">
        <color indexed="8"/>
      </left>
      <right style="thin">
        <color indexed="13"/>
      </right>
      <top style="thin">
        <color indexed="8"/>
      </top>
      <bottom style="thin">
        <color indexed="13"/>
      </bottom>
      <diagonal/>
    </border>
    <border>
      <left style="thin">
        <color indexed="13"/>
      </left>
      <right style="thin">
        <color indexed="13"/>
      </right>
      <top style="thin">
        <color indexed="8"/>
      </top>
      <bottom style="thin">
        <color indexed="13"/>
      </bottom>
      <diagonal/>
    </border>
    <border>
      <left style="thin">
        <color indexed="13"/>
      </left>
      <right style="thin">
        <color indexed="8"/>
      </right>
      <top style="thin">
        <color indexed="8"/>
      </top>
      <bottom style="thin">
        <color indexed="13"/>
      </bottom>
      <diagonal/>
    </border>
    <border>
      <left style="thin">
        <color indexed="25"/>
      </left>
      <right style="thin">
        <color indexed="25"/>
      </right>
      <top/>
      <bottom/>
      <diagonal/>
    </border>
    <border>
      <left style="thin">
        <color indexed="25"/>
      </left>
      <right/>
      <top style="thin">
        <color indexed="25"/>
      </top>
      <bottom/>
      <diagonal/>
    </border>
    <border>
      <left/>
      <right style="thin">
        <color indexed="13"/>
      </right>
      <top style="thin">
        <color indexed="25"/>
      </top>
      <bottom/>
      <diagonal/>
    </border>
    <border>
      <left style="thin">
        <color indexed="13"/>
      </left>
      <right style="thin">
        <color indexed="13"/>
      </right>
      <top style="thin">
        <color indexed="13"/>
      </top>
      <bottom style="thin">
        <color indexed="13"/>
      </bottom>
      <diagonal/>
    </border>
    <border>
      <left style="thin">
        <color indexed="13"/>
      </left>
      <right style="thin">
        <color indexed="25"/>
      </right>
      <top style="thin">
        <color indexed="13"/>
      </top>
      <bottom style="thin">
        <color indexed="13"/>
      </bottom>
      <diagonal/>
    </border>
    <border>
      <left style="thin">
        <color indexed="25"/>
      </left>
      <right style="thin">
        <color indexed="25"/>
      </right>
      <top/>
      <bottom style="thin">
        <color indexed="25"/>
      </bottom>
      <diagonal/>
    </border>
    <border>
      <left/>
      <right style="thin">
        <color indexed="13"/>
      </right>
      <top/>
      <bottom style="thin">
        <color indexed="25"/>
      </bottom>
      <diagonal/>
    </border>
    <border>
      <left style="thin">
        <color indexed="13"/>
      </left>
      <right style="thin">
        <color indexed="13"/>
      </right>
      <top style="thin">
        <color indexed="13"/>
      </top>
      <bottom style="thin">
        <color indexed="8"/>
      </bottom>
      <diagonal/>
    </border>
    <border>
      <left style="thin">
        <color indexed="13"/>
      </left>
      <right style="thin">
        <color indexed="25"/>
      </right>
      <top style="thin">
        <color indexed="13"/>
      </top>
      <bottom style="thin">
        <color indexed="8"/>
      </bottom>
      <diagonal/>
    </border>
    <border>
      <left style="thin">
        <color indexed="25"/>
      </left>
      <right style="dashed">
        <color indexed="25"/>
      </right>
      <top style="thin">
        <color indexed="25"/>
      </top>
      <bottom style="thin">
        <color indexed="25"/>
      </bottom>
      <diagonal/>
    </border>
    <border>
      <left style="dashed">
        <color indexed="25"/>
      </left>
      <right style="dashed">
        <color indexed="25"/>
      </right>
      <top style="thin">
        <color indexed="25"/>
      </top>
      <bottom style="thin">
        <color indexed="25"/>
      </bottom>
      <diagonal/>
    </border>
    <border>
      <left style="dashed">
        <color indexed="25"/>
      </left>
      <right style="thin">
        <color indexed="25"/>
      </right>
      <top style="thin">
        <color indexed="25"/>
      </top>
      <bottom style="thin">
        <color indexed="25"/>
      </bottom>
      <diagonal/>
    </border>
    <border>
      <left style="thin">
        <color indexed="25"/>
      </left>
      <right style="thin">
        <color indexed="25"/>
      </right>
      <top style="thin">
        <color indexed="25"/>
      </top>
      <bottom style="thin">
        <color indexed="8"/>
      </bottom>
      <diagonal/>
    </border>
    <border>
      <left style="thin">
        <color indexed="25"/>
      </left>
      <right/>
      <top style="thin">
        <color indexed="8"/>
      </top>
      <bottom/>
      <diagonal/>
    </border>
    <border>
      <left/>
      <right style="thin">
        <color indexed="25"/>
      </right>
      <top style="thin">
        <color indexed="8"/>
      </top>
      <bottom/>
      <diagonal/>
    </border>
    <border>
      <left style="thin">
        <color indexed="25"/>
      </left>
      <right style="thin">
        <color indexed="25"/>
      </right>
      <top style="thin">
        <color indexed="8"/>
      </top>
      <bottom style="thin">
        <color indexed="8"/>
      </bottom>
      <diagonal/>
    </border>
    <border>
      <left style="thin">
        <color indexed="25"/>
      </left>
      <right style="thin">
        <color indexed="25"/>
      </right>
      <top style="thin">
        <color indexed="8"/>
      </top>
      <bottom style="thin">
        <color indexed="25"/>
      </bottom>
      <diagonal/>
    </border>
    <border>
      <left style="thin">
        <color indexed="25"/>
      </left>
      <right/>
      <top/>
      <bottom style="thin">
        <color indexed="13"/>
      </bottom>
      <diagonal/>
    </border>
    <border>
      <left/>
      <right/>
      <top/>
      <bottom style="thin">
        <color indexed="13"/>
      </bottom>
      <diagonal/>
    </border>
    <border>
      <left/>
      <right style="thin">
        <color indexed="25"/>
      </right>
      <top/>
      <bottom style="thin">
        <color indexed="13"/>
      </bottom>
      <diagonal/>
    </border>
    <border>
      <left/>
      <right style="thin">
        <color indexed="25"/>
      </right>
      <top/>
      <bottom style="thin">
        <color indexed="8"/>
      </bottom>
      <diagonal/>
    </border>
    <border>
      <left style="medium">
        <color indexed="11"/>
      </left>
      <right style="thin">
        <color indexed="11"/>
      </right>
      <top/>
      <bottom/>
      <diagonal/>
    </border>
    <border>
      <left style="medium">
        <color indexed="11"/>
      </left>
      <right style="medium">
        <color indexed="18"/>
      </right>
      <top/>
      <bottom/>
      <diagonal/>
    </border>
    <border>
      <left style="medium">
        <color indexed="18"/>
      </left>
      <right style="medium">
        <color indexed="18"/>
      </right>
      <top/>
      <bottom/>
      <diagonal/>
    </border>
    <border>
      <left style="thin">
        <color indexed="8"/>
      </left>
      <right/>
      <top style="thin">
        <color indexed="13"/>
      </top>
      <bottom style="thin">
        <color indexed="8"/>
      </bottom>
      <diagonal/>
    </border>
    <border>
      <left/>
      <right/>
      <top style="medium">
        <color indexed="11"/>
      </top>
      <bottom style="medium">
        <color indexed="11"/>
      </bottom>
      <diagonal/>
    </border>
    <border>
      <left/>
      <right/>
      <top/>
      <bottom style="medium">
        <color indexed="25"/>
      </bottom>
      <diagonal/>
    </border>
    <border>
      <left/>
      <right/>
      <top style="medium">
        <color indexed="18"/>
      </top>
      <bottom style="medium">
        <color indexed="25"/>
      </bottom>
      <diagonal/>
    </border>
    <border>
      <left/>
      <right style="medium">
        <color indexed="25"/>
      </right>
      <top/>
      <bottom/>
      <diagonal/>
    </border>
    <border>
      <left style="medium">
        <color indexed="25"/>
      </left>
      <right/>
      <top style="medium">
        <color indexed="25"/>
      </top>
      <bottom/>
      <diagonal/>
    </border>
    <border>
      <left/>
      <right/>
      <top style="medium">
        <color indexed="25"/>
      </top>
      <bottom/>
      <diagonal/>
    </border>
    <border>
      <left/>
      <right/>
      <top style="medium">
        <color indexed="25"/>
      </top>
      <bottom style="thin">
        <color indexed="8"/>
      </bottom>
      <diagonal/>
    </border>
    <border>
      <left/>
      <right/>
      <top style="medium">
        <color indexed="25"/>
      </top>
      <bottom style="thin">
        <color indexed="30"/>
      </bottom>
      <diagonal/>
    </border>
    <border>
      <left/>
      <right style="medium">
        <color indexed="25"/>
      </right>
      <top style="medium">
        <color indexed="25"/>
      </top>
      <bottom/>
      <diagonal/>
    </border>
    <border>
      <left style="medium">
        <color indexed="25"/>
      </left>
      <right/>
      <top/>
      <bottom/>
      <diagonal/>
    </border>
    <border>
      <left style="thin">
        <color indexed="30"/>
      </left>
      <right style="medium">
        <color indexed="25"/>
      </right>
      <top/>
      <bottom/>
      <diagonal/>
    </border>
    <border>
      <left style="medium">
        <color indexed="25"/>
      </left>
      <right style="thin">
        <color indexed="8"/>
      </right>
      <top/>
      <bottom/>
      <diagonal/>
    </border>
    <border>
      <left/>
      <right/>
      <top style="thin">
        <color indexed="8"/>
      </top>
      <bottom style="thin">
        <color indexed="25"/>
      </bottom>
      <diagonal/>
    </border>
    <border>
      <left/>
      <right/>
      <top style="thin">
        <color indexed="30"/>
      </top>
      <bottom style="thin">
        <color indexed="25"/>
      </bottom>
      <diagonal/>
    </border>
    <border>
      <left style="thin">
        <color indexed="25"/>
      </left>
      <right style="thin">
        <color indexed="25"/>
      </right>
      <top style="thin">
        <color indexed="25"/>
      </top>
      <bottom style="medium">
        <color indexed="18"/>
      </bottom>
      <diagonal/>
    </border>
    <border>
      <left style="thin">
        <color indexed="25"/>
      </left>
      <right style="thin">
        <color indexed="13"/>
      </right>
      <top style="thin">
        <color indexed="25"/>
      </top>
      <bottom style="thin">
        <color indexed="25"/>
      </bottom>
      <diagonal/>
    </border>
    <border>
      <left style="thin">
        <color indexed="13"/>
      </left>
      <right style="thin">
        <color indexed="25"/>
      </right>
      <top style="thin">
        <color indexed="25"/>
      </top>
      <bottom style="thin">
        <color indexed="25"/>
      </bottom>
      <diagonal/>
    </border>
    <border>
      <left style="thin">
        <color indexed="25"/>
      </left>
      <right style="medium">
        <color indexed="25"/>
      </right>
      <top/>
      <bottom/>
      <diagonal/>
    </border>
    <border>
      <left style="thin">
        <color indexed="30"/>
      </left>
      <right style="thin">
        <color indexed="30"/>
      </right>
      <top style="thin">
        <color indexed="25"/>
      </top>
      <bottom style="thin">
        <color indexed="30"/>
      </bottom>
      <diagonal/>
    </border>
    <border>
      <left style="medium">
        <color indexed="25"/>
      </left>
      <right/>
      <top/>
      <bottom style="medium">
        <color indexed="25"/>
      </bottom>
      <diagonal/>
    </border>
    <border>
      <left/>
      <right/>
      <top style="thin">
        <color indexed="30"/>
      </top>
      <bottom style="medium">
        <color indexed="25"/>
      </bottom>
      <diagonal/>
    </border>
    <border>
      <left/>
      <right style="medium">
        <color indexed="25"/>
      </right>
      <top/>
      <bottom style="medium">
        <color indexed="25"/>
      </bottom>
      <diagonal/>
    </border>
    <border>
      <left style="medium">
        <color indexed="25"/>
      </left>
      <right style="thin">
        <color indexed="25"/>
      </right>
      <top/>
      <bottom/>
      <diagonal/>
    </border>
    <border>
      <left style="medium">
        <color indexed="25"/>
      </left>
      <right style="medium">
        <color indexed="18"/>
      </right>
      <top/>
      <bottom/>
      <diagonal/>
    </border>
    <border>
      <left/>
      <right/>
      <top style="medium">
        <color indexed="18"/>
      </top>
      <bottom style="medium">
        <color indexed="15"/>
      </bottom>
      <diagonal/>
    </border>
    <border>
      <left/>
      <right style="medium">
        <color indexed="15"/>
      </right>
      <top/>
      <bottom/>
      <diagonal/>
    </border>
    <border>
      <left style="medium">
        <color indexed="15"/>
      </left>
      <right/>
      <top style="medium">
        <color indexed="15"/>
      </top>
      <bottom/>
      <diagonal/>
    </border>
    <border>
      <left/>
      <right/>
      <top style="medium">
        <color indexed="15"/>
      </top>
      <bottom style="thin">
        <color indexed="8"/>
      </bottom>
      <diagonal/>
    </border>
    <border>
      <left/>
      <right/>
      <top style="medium">
        <color indexed="15"/>
      </top>
      <bottom style="thin">
        <color indexed="30"/>
      </bottom>
      <diagonal/>
    </border>
    <border>
      <left/>
      <right style="medium">
        <color indexed="15"/>
      </right>
      <top style="medium">
        <color indexed="15"/>
      </top>
      <bottom/>
      <diagonal/>
    </border>
    <border>
      <left style="medium">
        <color indexed="15"/>
      </left>
      <right/>
      <top/>
      <bottom/>
      <diagonal/>
    </border>
    <border>
      <left style="thin">
        <color indexed="30"/>
      </left>
      <right style="medium">
        <color indexed="15"/>
      </right>
      <top/>
      <bottom/>
      <diagonal/>
    </border>
    <border>
      <left style="medium">
        <color indexed="15"/>
      </left>
      <right style="thin">
        <color indexed="8"/>
      </right>
      <top/>
      <bottom/>
      <diagonal/>
    </border>
    <border>
      <left/>
      <right/>
      <top style="thin">
        <color indexed="8"/>
      </top>
      <bottom style="thin">
        <color indexed="15"/>
      </bottom>
      <diagonal/>
    </border>
    <border>
      <left/>
      <right/>
      <top style="thin">
        <color indexed="30"/>
      </top>
      <bottom style="thin">
        <color indexed="15"/>
      </bottom>
      <diagonal/>
    </border>
    <border>
      <left/>
      <right style="thin">
        <color indexed="15"/>
      </right>
      <top/>
      <bottom/>
      <diagonal/>
    </border>
    <border>
      <left style="thin">
        <color indexed="15"/>
      </left>
      <right style="thin">
        <color indexed="15"/>
      </right>
      <top style="thin">
        <color indexed="15"/>
      </top>
      <bottom style="medium">
        <color indexed="18"/>
      </bottom>
      <diagonal/>
    </border>
    <border>
      <left style="thin">
        <color indexed="15"/>
      </left>
      <right style="thin">
        <color indexed="15"/>
      </right>
      <top style="thin">
        <color indexed="15"/>
      </top>
      <bottom style="thin">
        <color indexed="15"/>
      </bottom>
      <diagonal/>
    </border>
    <border>
      <left style="thin">
        <color indexed="15"/>
      </left>
      <right style="medium">
        <color indexed="15"/>
      </right>
      <top/>
      <bottom/>
      <diagonal/>
    </border>
    <border>
      <left style="thin">
        <color indexed="30"/>
      </left>
      <right style="thin">
        <color indexed="30"/>
      </right>
      <top style="thin">
        <color indexed="15"/>
      </top>
      <bottom style="thin">
        <color indexed="30"/>
      </bottom>
      <diagonal/>
    </border>
    <border>
      <left style="medium">
        <color indexed="15"/>
      </left>
      <right/>
      <top/>
      <bottom style="medium">
        <color indexed="15"/>
      </bottom>
      <diagonal/>
    </border>
    <border>
      <left/>
      <right/>
      <top style="thin">
        <color indexed="30"/>
      </top>
      <bottom style="medium">
        <color indexed="15"/>
      </bottom>
      <diagonal/>
    </border>
    <border>
      <left/>
      <right style="medium">
        <color indexed="15"/>
      </right>
      <top/>
      <bottom style="medium">
        <color indexed="15"/>
      </bottom>
      <diagonal/>
    </border>
    <border>
      <left style="thin">
        <color indexed="13"/>
      </left>
      <right style="thin">
        <color indexed="8"/>
      </right>
      <top style="thin">
        <color indexed="13"/>
      </top>
      <bottom style="thin">
        <color indexed="13"/>
      </bottom>
      <diagonal/>
    </border>
    <border>
      <left style="thin">
        <color indexed="13"/>
      </left>
      <right style="thin">
        <color indexed="8"/>
      </right>
      <top style="thin">
        <color indexed="13"/>
      </top>
      <bottom style="thin">
        <color indexed="8"/>
      </bottom>
      <diagonal/>
    </border>
    <border>
      <left/>
      <right style="thin">
        <color indexed="8"/>
      </right>
      <top style="thin">
        <color indexed="8"/>
      </top>
      <bottom/>
      <diagonal/>
    </border>
    <border>
      <left style="thin">
        <color indexed="8"/>
      </left>
      <right/>
      <top style="thin">
        <color indexed="8"/>
      </top>
      <bottom/>
      <diagonal/>
    </border>
    <border>
      <left/>
      <right style="thin">
        <color indexed="8"/>
      </right>
      <top/>
      <bottom style="thin">
        <color indexed="13"/>
      </bottom>
      <diagonal/>
    </border>
    <border>
      <left style="thin">
        <color indexed="8"/>
      </left>
      <right/>
      <top/>
      <bottom style="thin">
        <color indexed="13"/>
      </bottom>
      <diagonal/>
    </border>
    <border>
      <left style="thin">
        <color indexed="25"/>
      </left>
      <right style="dashed">
        <color indexed="25"/>
      </right>
      <top style="thin">
        <color indexed="25"/>
      </top>
      <bottom style="thin">
        <color indexed="8"/>
      </bottom>
      <diagonal/>
    </border>
    <border>
      <left style="dashed">
        <color indexed="25"/>
      </left>
      <right style="dashed">
        <color indexed="25"/>
      </right>
      <top style="thin">
        <color indexed="25"/>
      </top>
      <bottom style="thin">
        <color indexed="8"/>
      </bottom>
      <diagonal/>
    </border>
    <border>
      <left style="dashed">
        <color indexed="25"/>
      </left>
      <right style="thin">
        <color indexed="25"/>
      </right>
      <top style="thin">
        <color indexed="25"/>
      </top>
      <bottom style="thin">
        <color indexed="8"/>
      </bottom>
      <diagonal/>
    </border>
    <border>
      <left style="thin">
        <color indexed="8"/>
      </left>
      <right/>
      <top/>
      <bottom style="thin">
        <color indexed="8"/>
      </bottom>
      <diagonal/>
    </border>
  </borders>
  <cellStyleXfs count="1">
    <xf numFmtId="0" fontId="0" applyNumberFormat="0" applyFont="1" applyFill="0" applyBorder="0" applyAlignment="1" applyProtection="0">
      <alignment vertical="bottom"/>
    </xf>
  </cellStyleXfs>
  <cellXfs count="1178">
    <xf numFmtId="0" fontId="0" applyNumberFormat="0" applyFont="1" applyFill="0" applyBorder="0" applyAlignment="1" applyProtection="0">
      <alignment vertical="bottom"/>
    </xf>
    <xf numFmtId="0" fontId="0" fillId="2" applyNumberFormat="1" applyFont="1" applyFill="1" applyBorder="0" applyAlignment="1" applyProtection="0">
      <alignment vertical="bottom"/>
    </xf>
    <xf numFmtId="0" fontId="0" fillId="2" borderId="1" applyNumberFormat="0" applyFont="1" applyFill="1" applyBorder="1" applyAlignment="1" applyProtection="0">
      <alignment vertical="bottom"/>
    </xf>
    <xf numFmtId="0" fontId="0" fillId="2" borderId="2" applyNumberFormat="0" applyFont="1" applyFill="1" applyBorder="1" applyAlignment="1" applyProtection="0">
      <alignment vertical="bottom"/>
    </xf>
    <xf numFmtId="0" fontId="0" fillId="2" borderId="3" applyNumberFormat="0" applyFont="1" applyFill="1" applyBorder="1" applyAlignment="1" applyProtection="0">
      <alignment vertical="bottom"/>
    </xf>
    <xf numFmtId="0" fontId="0" fillId="2" borderId="4" applyNumberFormat="0" applyFont="1" applyFill="1" applyBorder="1" applyAlignment="1" applyProtection="0">
      <alignment vertical="bottom"/>
    </xf>
    <xf numFmtId="0" fontId="0" fillId="2" borderId="5" applyNumberFormat="0" applyFont="1" applyFill="1" applyBorder="1" applyAlignment="1" applyProtection="0">
      <alignment vertical="bottom"/>
    </xf>
    <xf numFmtId="0" fontId="3" fillId="2" borderId="5" applyNumberFormat="0" applyFont="1" applyFill="1" applyBorder="1" applyAlignment="1" applyProtection="0">
      <alignment vertical="bottom"/>
    </xf>
    <xf numFmtId="49" fontId="4" fillId="2" borderId="5" applyNumberFormat="1" applyFont="1" applyFill="1" applyBorder="1" applyAlignment="1" applyProtection="0">
      <alignment horizontal="left" vertical="center"/>
    </xf>
    <xf numFmtId="0" fontId="0" fillId="2" borderId="6" applyNumberFormat="0" applyFont="1" applyFill="1" applyBorder="1" applyAlignment="1" applyProtection="0">
      <alignment vertical="bottom"/>
    </xf>
    <xf numFmtId="49" fontId="5" fillId="2" borderId="5" applyNumberFormat="1" applyFont="1" applyFill="1" applyBorder="1" applyAlignment="1" applyProtection="0">
      <alignment vertical="top"/>
    </xf>
    <xf numFmtId="0" fontId="0" fillId="2" borderId="7" applyNumberFormat="0" applyFont="1" applyFill="1" applyBorder="1" applyAlignment="1" applyProtection="0">
      <alignment vertical="bottom"/>
    </xf>
    <xf numFmtId="49" fontId="6" fillId="2" borderId="8" applyNumberFormat="1" applyFont="1" applyFill="1" applyBorder="1" applyAlignment="1" applyProtection="0">
      <alignment vertical="bottom"/>
    </xf>
    <xf numFmtId="0" fontId="0" fillId="2" borderId="8" applyNumberFormat="0" applyFont="1" applyFill="1" applyBorder="1" applyAlignment="1" applyProtection="0">
      <alignment vertical="bottom"/>
    </xf>
    <xf numFmtId="0" fontId="0" fillId="2" borderId="9" applyNumberFormat="0" applyFont="1" applyFill="1" applyBorder="1" applyAlignment="1" applyProtection="0">
      <alignment vertical="bottom"/>
    </xf>
    <xf numFmtId="0" fontId="0" applyNumberFormat="1" applyFont="1" applyFill="0" applyBorder="0" applyAlignment="1" applyProtection="0">
      <alignment vertical="bottom"/>
    </xf>
    <xf numFmtId="0" fontId="0" fillId="3" borderId="1" applyNumberFormat="0" applyFont="1" applyFill="1" applyBorder="1" applyAlignment="1" applyProtection="0">
      <alignment vertical="bottom"/>
    </xf>
    <xf numFmtId="0" fontId="0" fillId="3" borderId="2" applyNumberFormat="0" applyFont="1" applyFill="1" applyBorder="1" applyAlignment="1" applyProtection="0">
      <alignment vertical="bottom"/>
    </xf>
    <xf numFmtId="0" fontId="42" fillId="3" borderId="2" applyNumberFormat="0" applyFont="1" applyFill="1" applyBorder="1" applyAlignment="1" applyProtection="0">
      <alignment vertical="bottom"/>
    </xf>
    <xf numFmtId="0" fontId="42" fillId="3" borderId="3" applyNumberFormat="0" applyFont="1" applyFill="1" applyBorder="1" applyAlignment="1" applyProtection="0">
      <alignment vertical="bottom"/>
    </xf>
    <xf numFmtId="0" fontId="0" fillId="3" borderId="4" applyNumberFormat="0" applyFont="1" applyFill="1" applyBorder="1" applyAlignment="1" applyProtection="0">
      <alignment vertical="bottom"/>
    </xf>
    <xf numFmtId="0" fontId="0" fillId="3" borderId="5" applyNumberFormat="0" applyFont="1" applyFill="1" applyBorder="1" applyAlignment="1" applyProtection="0">
      <alignment vertical="bottom"/>
    </xf>
    <xf numFmtId="0" fontId="42" fillId="3" borderId="5" applyNumberFormat="0" applyFont="1" applyFill="1" applyBorder="1" applyAlignment="1" applyProtection="0">
      <alignment vertical="bottom"/>
    </xf>
    <xf numFmtId="49" fontId="43" fillId="3" borderId="5" applyNumberFormat="1" applyFont="1" applyFill="1" applyBorder="1" applyAlignment="1" applyProtection="0">
      <alignment vertical="bottom"/>
    </xf>
    <xf numFmtId="0" fontId="42" fillId="3" borderId="6" applyNumberFormat="0" applyFont="1" applyFill="1" applyBorder="1" applyAlignment="1" applyProtection="0">
      <alignment vertical="bottom"/>
    </xf>
    <xf numFmtId="0" fontId="0" fillId="4" borderId="5" applyNumberFormat="0" applyFont="1" applyFill="1" applyBorder="1" applyAlignment="1" applyProtection="0">
      <alignment vertical="bottom"/>
    </xf>
    <xf numFmtId="0" fontId="0" fillId="3" borderId="6" applyNumberFormat="0" applyFont="1" applyFill="1" applyBorder="1" applyAlignment="1" applyProtection="0">
      <alignment vertical="bottom"/>
    </xf>
    <xf numFmtId="0" fontId="0" fillId="4" borderId="10" applyNumberFormat="0" applyFont="1" applyFill="1" applyBorder="1" applyAlignment="1" applyProtection="0">
      <alignment vertical="bottom"/>
    </xf>
    <xf numFmtId="0" fontId="0" fillId="4" borderId="11" applyNumberFormat="0" applyFont="1" applyFill="1" applyBorder="1" applyAlignment="1" applyProtection="0">
      <alignment vertical="bottom"/>
    </xf>
    <xf numFmtId="49" fontId="44" fillId="4" borderId="12" applyNumberFormat="1" applyFont="1" applyFill="1" applyBorder="1" applyAlignment="1" applyProtection="0">
      <alignment horizontal="center" vertical="center"/>
    </xf>
    <xf numFmtId="0" fontId="45" fillId="4" borderId="12" applyNumberFormat="0" applyFont="1" applyFill="1" applyBorder="1" applyAlignment="1" applyProtection="0">
      <alignment horizontal="center" vertical="center"/>
    </xf>
    <xf numFmtId="0" fontId="0" fillId="4" borderId="13" applyNumberFormat="0" applyFont="1" applyFill="1" applyBorder="1" applyAlignment="1" applyProtection="0">
      <alignment vertical="bottom"/>
    </xf>
    <xf numFmtId="14" fontId="45" fillId="4" borderId="12" applyNumberFormat="1" applyFont="1" applyFill="1" applyBorder="1" applyAlignment="1" applyProtection="0">
      <alignment horizontal="center" vertical="center"/>
    </xf>
    <xf numFmtId="0" fontId="0" fillId="4" borderId="14" applyNumberFormat="0" applyFont="1" applyFill="1" applyBorder="1" applyAlignment="1" applyProtection="0">
      <alignment vertical="bottom"/>
    </xf>
    <xf numFmtId="0" fontId="0" fillId="3" borderId="7" applyNumberFormat="0" applyFont="1" applyFill="1" applyBorder="1" applyAlignment="1" applyProtection="0">
      <alignment vertical="bottom"/>
    </xf>
    <xf numFmtId="0" fontId="0" fillId="3" borderId="8" applyNumberFormat="0" applyFont="1" applyFill="1" applyBorder="1" applyAlignment="1" applyProtection="0">
      <alignment vertical="bottom"/>
    </xf>
    <xf numFmtId="0" fontId="0" fillId="3" borderId="9" applyNumberFormat="0" applyFont="1" applyFill="1" applyBorder="1" applyAlignment="1" applyProtection="0">
      <alignment vertical="bottom"/>
    </xf>
    <xf numFmtId="0" fontId="0" applyNumberFormat="1" applyFont="1" applyFill="0" applyBorder="0" applyAlignment="1" applyProtection="0">
      <alignment vertical="bottom"/>
    </xf>
    <xf numFmtId="0" fontId="0" borderId="15" applyNumberFormat="0" applyFont="1" applyFill="0" applyBorder="1" applyAlignment="1" applyProtection="0">
      <alignment vertical="bottom"/>
    </xf>
    <xf numFmtId="0" fontId="0" applyNumberFormat="1" applyFont="1" applyFill="0" applyBorder="0" applyAlignment="1" applyProtection="0">
      <alignment vertical="bottom"/>
    </xf>
    <xf numFmtId="0" fontId="0" fillId="5" borderId="1" applyNumberFormat="0" applyFont="1" applyFill="1" applyBorder="1" applyAlignment="1" applyProtection="0">
      <alignment vertical="bottom"/>
    </xf>
    <xf numFmtId="0" fontId="0" fillId="5" borderId="2" applyNumberFormat="0" applyFont="1" applyFill="1" applyBorder="1" applyAlignment="1" applyProtection="0">
      <alignment vertical="bottom"/>
    </xf>
    <xf numFmtId="0" fontId="0" fillId="5" borderId="3" applyNumberFormat="0" applyFont="1" applyFill="1" applyBorder="1" applyAlignment="1" applyProtection="0">
      <alignment vertical="bottom"/>
    </xf>
    <xf numFmtId="0" fontId="0" fillId="5" borderId="4" applyNumberFormat="0" applyFont="1" applyFill="1" applyBorder="1" applyAlignment="1" applyProtection="0">
      <alignment vertical="bottom"/>
    </xf>
    <xf numFmtId="0" fontId="0" fillId="5" borderId="5" applyNumberFormat="0" applyFont="1" applyFill="1" applyBorder="1" applyAlignment="1" applyProtection="0">
      <alignment vertical="bottom"/>
    </xf>
    <xf numFmtId="49" fontId="46" fillId="6" borderId="5" applyNumberFormat="1" applyFont="1" applyFill="1" applyBorder="1" applyAlignment="1" applyProtection="0">
      <alignment vertical="bottom"/>
    </xf>
    <xf numFmtId="0" fontId="0" fillId="5" borderId="6" applyNumberFormat="0" applyFont="1" applyFill="1" applyBorder="1" applyAlignment="1" applyProtection="0">
      <alignment vertical="bottom"/>
    </xf>
    <xf numFmtId="0" fontId="0" borderId="5" applyNumberFormat="0" applyFont="1" applyFill="0" applyBorder="1" applyAlignment="1" applyProtection="0">
      <alignment vertical="bottom"/>
    </xf>
    <xf numFmtId="0" fontId="0" fillId="4" borderId="5" applyNumberFormat="0" applyFont="1" applyFill="1" applyBorder="1" applyAlignment="1" applyProtection="0">
      <alignment vertical="bottom" wrapText="1"/>
    </xf>
    <xf numFmtId="0" fontId="0" borderId="16" applyNumberFormat="0" applyFont="1" applyFill="0" applyBorder="1" applyAlignment="1" applyProtection="0">
      <alignment vertical="bottom"/>
    </xf>
    <xf numFmtId="0" fontId="0" fillId="4" borderId="16" applyNumberFormat="0" applyFont="1" applyFill="1" applyBorder="1" applyAlignment="1" applyProtection="0">
      <alignment vertical="bottom" wrapText="1"/>
    </xf>
    <xf numFmtId="0" fontId="0" borderId="17" applyNumberFormat="0" applyFont="1" applyFill="0" applyBorder="1" applyAlignment="1" applyProtection="0">
      <alignment vertical="bottom"/>
    </xf>
    <xf numFmtId="0" fontId="0" borderId="18" applyNumberFormat="0" applyFont="1" applyFill="0" applyBorder="1" applyAlignment="1" applyProtection="0">
      <alignment vertical="bottom"/>
    </xf>
    <xf numFmtId="49" fontId="47" fillId="7" borderId="19" applyNumberFormat="1" applyFont="1" applyFill="1" applyBorder="1" applyAlignment="1" applyProtection="0">
      <alignment horizontal="center" vertical="center" wrapText="1"/>
    </xf>
    <xf numFmtId="0" fontId="47" fillId="4" borderId="18" applyNumberFormat="0" applyFont="1" applyFill="1" applyBorder="1" applyAlignment="1" applyProtection="0">
      <alignment horizontal="center" vertical="center"/>
    </xf>
    <xf numFmtId="0" fontId="0" borderId="20" applyNumberFormat="0" applyFont="1" applyFill="0" applyBorder="1" applyAlignment="1" applyProtection="0">
      <alignment vertical="bottom"/>
    </xf>
    <xf numFmtId="0" fontId="0" fillId="5" borderId="21" applyNumberFormat="0" applyFont="1" applyFill="1" applyBorder="1" applyAlignment="1" applyProtection="0">
      <alignment vertical="bottom"/>
    </xf>
    <xf numFmtId="0" fontId="0" fillId="5" borderId="22" applyNumberFormat="0" applyFont="1" applyFill="1" applyBorder="1" applyAlignment="1" applyProtection="0">
      <alignment vertical="bottom"/>
    </xf>
    <xf numFmtId="0" fontId="49" fillId="5" borderId="22" applyNumberFormat="0" applyFont="1" applyFill="1" applyBorder="1" applyAlignment="1" applyProtection="0">
      <alignment vertical="bottom"/>
    </xf>
    <xf numFmtId="0" fontId="0" borderId="23" applyNumberFormat="0" applyFont="1" applyFill="0" applyBorder="1" applyAlignment="1" applyProtection="0">
      <alignment vertical="bottom"/>
    </xf>
    <xf numFmtId="0" fontId="44" borderId="24" applyNumberFormat="0" applyFont="1" applyFill="0" applyBorder="1" applyAlignment="1" applyProtection="0">
      <alignment vertical="bottom"/>
    </xf>
    <xf numFmtId="0" fontId="44" borderId="5" applyNumberFormat="0" applyFont="1" applyFill="0" applyBorder="1" applyAlignment="1" applyProtection="0">
      <alignment vertical="bottom"/>
    </xf>
    <xf numFmtId="0" fontId="44" fillId="4" borderId="24" applyNumberFormat="0" applyFont="1" applyFill="1" applyBorder="1" applyAlignment="1" applyProtection="0">
      <alignment vertical="bottom" wrapText="1"/>
    </xf>
    <xf numFmtId="0" fontId="44" borderId="25" applyNumberFormat="0" applyFont="1" applyFill="0" applyBorder="1" applyAlignment="1" applyProtection="0">
      <alignment vertical="bottom"/>
    </xf>
    <xf numFmtId="0" fontId="0" borderId="26" applyNumberFormat="0" applyFont="1" applyFill="0" applyBorder="1" applyAlignment="1" applyProtection="0">
      <alignment vertical="bottom"/>
    </xf>
    <xf numFmtId="49" fontId="50" fillId="5" borderId="27" applyNumberFormat="1" applyFont="1" applyFill="1" applyBorder="1" applyAlignment="1" applyProtection="0">
      <alignment horizontal="center" vertical="center"/>
    </xf>
    <xf numFmtId="0" fontId="50" fillId="5" borderId="28" applyNumberFormat="0" applyFont="1" applyFill="1" applyBorder="1" applyAlignment="1" applyProtection="0">
      <alignment horizontal="center" vertical="center"/>
    </xf>
    <xf numFmtId="49" fontId="0" borderId="5" applyNumberFormat="1" applyFont="1" applyFill="0" applyBorder="1" applyAlignment="1" applyProtection="0">
      <alignment vertical="bottom"/>
    </xf>
    <xf numFmtId="0" fontId="51" fillId="8" borderId="29" applyNumberFormat="0" applyFont="1" applyFill="1" applyBorder="1" applyAlignment="1" applyProtection="0">
      <alignment horizontal="center" vertical="center"/>
    </xf>
    <xf numFmtId="49" fontId="45" fillId="4" borderId="30" applyNumberFormat="1" applyFont="1" applyFill="1" applyBorder="1" applyAlignment="1" applyProtection="0">
      <alignment vertical="center" wrapText="1"/>
    </xf>
    <xf numFmtId="0" fontId="44" fillId="6" borderId="31" applyNumberFormat="0" applyFont="1" applyFill="1" applyBorder="1" applyAlignment="1" applyProtection="0">
      <alignment horizontal="center" vertical="center"/>
    </xf>
    <xf numFmtId="49" fontId="44" fillId="4" borderId="30" applyNumberFormat="1" applyFont="1" applyFill="1" applyBorder="1" applyAlignment="1" applyProtection="0">
      <alignment horizontal="center" vertical="center"/>
    </xf>
    <xf numFmtId="0" fontId="44" fillId="4" borderId="30" applyNumberFormat="0" applyFont="1" applyFill="1" applyBorder="1" applyAlignment="1" applyProtection="0">
      <alignment horizontal="center" vertical="center"/>
    </xf>
    <xf numFmtId="49" fontId="45" fillId="4" borderId="30" applyNumberFormat="1" applyFont="1" applyFill="1" applyBorder="1" applyAlignment="1" applyProtection="0">
      <alignment horizontal="center" vertical="center" wrapText="1"/>
    </xf>
    <xf numFmtId="0" fontId="45" fillId="4" borderId="30" applyNumberFormat="0" applyFont="1" applyFill="1" applyBorder="1" applyAlignment="1" applyProtection="0">
      <alignment vertical="top" wrapText="1"/>
    </xf>
    <xf numFmtId="0" fontId="44" fillId="6" borderId="32" applyNumberFormat="0" applyFont="1" applyFill="1" applyBorder="1" applyAlignment="1" applyProtection="0">
      <alignment horizontal="center" vertical="center"/>
    </xf>
    <xf numFmtId="59" fontId="52" fillId="4" borderId="33" applyNumberFormat="1" applyFont="1" applyFill="1" applyBorder="1" applyAlignment="1" applyProtection="0">
      <alignment horizontal="center" vertical="center"/>
    </xf>
    <xf numFmtId="9" fontId="52" fillId="4" borderId="33" applyNumberFormat="1" applyFont="1" applyFill="1" applyBorder="1" applyAlignment="1" applyProtection="0">
      <alignment horizontal="center" vertical="center"/>
    </xf>
    <xf numFmtId="0" fontId="44" fillId="6" borderId="34" applyNumberFormat="0" applyFont="1" applyFill="1" applyBorder="1" applyAlignment="1" applyProtection="0">
      <alignment horizontal="center" vertical="center"/>
    </xf>
    <xf numFmtId="49" fontId="53" fillId="8" borderId="35" applyNumberFormat="1" applyFont="1" applyFill="1" applyBorder="1" applyAlignment="1" applyProtection="0">
      <alignment horizontal="center" vertical="center" wrapText="1"/>
    </xf>
    <xf numFmtId="0" fontId="0" borderId="36" applyNumberFormat="0" applyFont="1" applyFill="0" applyBorder="1" applyAlignment="1" applyProtection="0">
      <alignment vertical="bottom"/>
    </xf>
    <xf numFmtId="0" fontId="50" fillId="5" borderId="4" applyNumberFormat="0" applyFont="1" applyFill="1" applyBorder="1" applyAlignment="1" applyProtection="0">
      <alignment horizontal="center" vertical="center"/>
    </xf>
    <xf numFmtId="0" fontId="50" fillId="5" borderId="5" applyNumberFormat="0" applyFont="1" applyFill="1" applyBorder="1" applyAlignment="1" applyProtection="0">
      <alignment horizontal="center" vertical="center"/>
    </xf>
    <xf numFmtId="0" fontId="0" fillId="8" borderId="29" applyNumberFormat="0" applyFont="1" applyFill="1" applyBorder="1" applyAlignment="1" applyProtection="0">
      <alignment vertical="bottom"/>
    </xf>
    <xf numFmtId="49" fontId="45" fillId="9" borderId="30" applyNumberFormat="1" applyFont="1" applyFill="1" applyBorder="1" applyAlignment="1" applyProtection="0">
      <alignment vertical="center" wrapText="1"/>
    </xf>
    <xf numFmtId="49" fontId="44" fillId="9" borderId="30" applyNumberFormat="1" applyFont="1" applyFill="1" applyBorder="1" applyAlignment="1" applyProtection="0">
      <alignment horizontal="center" vertical="center"/>
    </xf>
    <xf numFmtId="0" fontId="44" fillId="9" borderId="30" applyNumberFormat="0" applyFont="1" applyFill="1" applyBorder="1" applyAlignment="1" applyProtection="0">
      <alignment horizontal="center" vertical="center"/>
    </xf>
    <xf numFmtId="49" fontId="45" fillId="9" borderId="30" applyNumberFormat="1" applyFont="1" applyFill="1" applyBorder="1" applyAlignment="1" applyProtection="0">
      <alignment horizontal="center" vertical="center" wrapText="1"/>
    </xf>
    <xf numFmtId="0" fontId="45" fillId="9" borderId="30" applyNumberFormat="0" applyFont="1" applyFill="1" applyBorder="1" applyAlignment="1" applyProtection="0">
      <alignment vertical="top" wrapText="1"/>
    </xf>
    <xf numFmtId="59" fontId="52" fillId="9" borderId="33" applyNumberFormat="1" applyFont="1" applyFill="1" applyBorder="1" applyAlignment="1" applyProtection="0">
      <alignment horizontal="center" vertical="center"/>
    </xf>
    <xf numFmtId="9" fontId="52" fillId="9" borderId="33" applyNumberFormat="1" applyFont="1" applyFill="1" applyBorder="1" applyAlignment="1" applyProtection="0">
      <alignment horizontal="center" vertical="center"/>
    </xf>
    <xf numFmtId="0" fontId="0" fillId="4" borderId="37" applyNumberFormat="0" applyFont="1" applyFill="1" applyBorder="1" applyAlignment="1" applyProtection="0">
      <alignment horizontal="center" vertical="center" wrapText="1"/>
    </xf>
    <xf numFmtId="49" fontId="54" fillId="8" borderId="29" applyNumberFormat="1" applyFont="1" applyFill="1" applyBorder="1" applyAlignment="1" applyProtection="0">
      <alignment horizontal="center" vertical="top"/>
    </xf>
    <xf numFmtId="49" fontId="51" fillId="8" borderId="29" applyNumberFormat="1" applyFont="1" applyFill="1" applyBorder="1" applyAlignment="1" applyProtection="0">
      <alignment horizontal="center" vertical="top"/>
    </xf>
    <xf numFmtId="0" fontId="51" fillId="8" borderId="29" applyNumberFormat="0" applyFont="1" applyFill="1" applyBorder="1" applyAlignment="1" applyProtection="0">
      <alignment vertical="bottom"/>
    </xf>
    <xf numFmtId="49" fontId="45" fillId="4" borderId="38" applyNumberFormat="1" applyFont="1" applyFill="1" applyBorder="1" applyAlignment="1" applyProtection="0">
      <alignment horizontal="center" vertical="center" wrapText="1"/>
    </xf>
    <xf numFmtId="0" fontId="45" fillId="4" borderId="38" applyNumberFormat="0" applyFont="1" applyFill="1" applyBorder="1" applyAlignment="1" applyProtection="0">
      <alignment vertical="top" wrapText="1"/>
    </xf>
    <xf numFmtId="59" fontId="52" fillId="4" borderId="39" applyNumberFormat="1" applyFont="1" applyFill="1" applyBorder="1" applyAlignment="1" applyProtection="0">
      <alignment horizontal="center" vertical="center"/>
    </xf>
    <xf numFmtId="9" fontId="52" fillId="4" borderId="39" applyNumberFormat="1" applyFont="1" applyFill="1" applyBorder="1" applyAlignment="1" applyProtection="0">
      <alignment horizontal="center" vertical="center"/>
    </xf>
    <xf numFmtId="0" fontId="0" borderId="40" applyNumberFormat="0" applyFont="1" applyFill="0" applyBorder="1" applyAlignment="1" applyProtection="0">
      <alignment vertical="bottom"/>
    </xf>
    <xf numFmtId="0" fontId="55" borderId="5" applyNumberFormat="0" applyFont="1" applyFill="0" applyBorder="1" applyAlignment="1" applyProtection="0">
      <alignment vertical="bottom"/>
    </xf>
    <xf numFmtId="0" fontId="0" borderId="41" applyNumberFormat="0" applyFont="1" applyFill="0" applyBorder="1" applyAlignment="1" applyProtection="0">
      <alignment vertical="bottom"/>
    </xf>
    <xf numFmtId="0" fontId="44" fillId="4" borderId="41" applyNumberFormat="0" applyFont="1" applyFill="1" applyBorder="1" applyAlignment="1" applyProtection="0">
      <alignment horizontal="center" vertical="center"/>
    </xf>
    <xf numFmtId="0" fontId="0" borderId="42" applyNumberFormat="0" applyFont="1" applyFill="0" applyBorder="1" applyAlignment="1" applyProtection="0">
      <alignment vertical="bottom"/>
    </xf>
    <xf numFmtId="49" fontId="45" fillId="9" borderId="43" applyNumberFormat="1" applyFont="1" applyFill="1" applyBorder="1" applyAlignment="1" applyProtection="0">
      <alignment horizontal="center" vertical="center" wrapText="1"/>
    </xf>
    <xf numFmtId="0" fontId="45" fillId="9" borderId="44" applyNumberFormat="0" applyFont="1" applyFill="1" applyBorder="1" applyAlignment="1" applyProtection="0">
      <alignment vertical="top" wrapText="1"/>
    </xf>
    <xf numFmtId="0" fontId="0" borderId="45" applyNumberFormat="0" applyFont="1" applyFill="0" applyBorder="1" applyAlignment="1" applyProtection="0">
      <alignment vertical="bottom"/>
    </xf>
    <xf numFmtId="59" fontId="56" fillId="6" borderId="46" applyNumberFormat="1" applyFont="1" applyFill="1" applyBorder="1" applyAlignment="1" applyProtection="0">
      <alignment horizontal="center" vertical="center" wrapText="1"/>
    </xf>
    <xf numFmtId="9" fontId="56" fillId="6" borderId="46" applyNumberFormat="1" applyFont="1" applyFill="1" applyBorder="1" applyAlignment="1" applyProtection="0">
      <alignment horizontal="center" vertical="center" wrapText="1"/>
    </xf>
    <xf numFmtId="0" fontId="0" borderId="47" applyNumberFormat="0" applyFont="1" applyFill="0" applyBorder="1" applyAlignment="1" applyProtection="0">
      <alignment vertical="bottom"/>
    </xf>
    <xf numFmtId="0" fontId="0" fillId="4" borderId="48" applyNumberFormat="0" applyFont="1" applyFill="1" applyBorder="1" applyAlignment="1" applyProtection="0">
      <alignment vertical="center" wrapText="1"/>
    </xf>
    <xf numFmtId="0" fontId="0" borderId="49" applyNumberFormat="0" applyFont="1" applyFill="0" applyBorder="1" applyAlignment="1" applyProtection="0">
      <alignment vertical="bottom"/>
    </xf>
    <xf numFmtId="49" fontId="57" fillId="4" borderId="49" applyNumberFormat="1" applyFont="1" applyFill="1" applyBorder="1" applyAlignment="1" applyProtection="0">
      <alignment horizontal="center" vertical="center"/>
    </xf>
    <xf numFmtId="0" fontId="0" borderId="50" applyNumberFormat="0" applyFont="1" applyFill="0" applyBorder="1" applyAlignment="1" applyProtection="0">
      <alignment vertical="bottom"/>
    </xf>
    <xf numFmtId="0" fontId="0" fillId="4" borderId="50" applyNumberFormat="0" applyFont="1" applyFill="1" applyBorder="1" applyAlignment="1" applyProtection="0">
      <alignment vertical="bottom"/>
    </xf>
    <xf numFmtId="0" fontId="0" borderId="51" applyNumberFormat="0" applyFont="1" applyFill="0" applyBorder="1" applyAlignment="1" applyProtection="0">
      <alignment vertical="bottom"/>
    </xf>
    <xf numFmtId="0" fontId="0" fillId="4" borderId="26" applyNumberFormat="0" applyFont="1" applyFill="1" applyBorder="1" applyAlignment="1" applyProtection="0">
      <alignment vertical="center" wrapText="1"/>
    </xf>
    <xf numFmtId="49" fontId="53" fillId="8" borderId="52" applyNumberFormat="1" applyFont="1" applyFill="1" applyBorder="1" applyAlignment="1" applyProtection="0">
      <alignment horizontal="center" vertical="center" wrapText="1"/>
    </xf>
    <xf numFmtId="0" fontId="55" fillId="8" borderId="29" applyNumberFormat="0" applyFont="1" applyFill="1" applyBorder="1" applyAlignment="1" applyProtection="0">
      <alignment vertical="bottom"/>
    </xf>
    <xf numFmtId="0" fontId="44" fillId="6" borderId="53" applyNumberFormat="0" applyFont="1" applyFill="1" applyBorder="1" applyAlignment="1" applyProtection="0">
      <alignment horizontal="center" vertical="center"/>
    </xf>
    <xf numFmtId="0" fontId="0" fillId="4" borderId="54" applyNumberFormat="0" applyFont="1" applyFill="1" applyBorder="1" applyAlignment="1" applyProtection="0">
      <alignment horizontal="center" vertical="center" wrapText="1"/>
    </xf>
    <xf numFmtId="0" fontId="0" borderId="13" applyNumberFormat="0" applyFont="1" applyFill="0" applyBorder="1" applyAlignment="1" applyProtection="0">
      <alignment vertical="bottom"/>
    </xf>
    <xf numFmtId="49" fontId="51" fillId="8" borderId="29" applyNumberFormat="1" applyFont="1" applyFill="1" applyBorder="1" applyAlignment="1" applyProtection="0">
      <alignment horizontal="center" vertical="center"/>
    </xf>
    <xf numFmtId="49" fontId="45" fillId="9" borderId="38" applyNumberFormat="1" applyFont="1" applyFill="1" applyBorder="1" applyAlignment="1" applyProtection="0">
      <alignment horizontal="center" vertical="center" wrapText="1"/>
    </xf>
    <xf numFmtId="0" fontId="45" fillId="9" borderId="38" applyNumberFormat="0" applyFont="1" applyFill="1" applyBorder="1" applyAlignment="1" applyProtection="0">
      <alignment vertical="top" wrapText="1"/>
    </xf>
    <xf numFmtId="59" fontId="52" fillId="9" borderId="39" applyNumberFormat="1" applyFont="1" applyFill="1" applyBorder="1" applyAlignment="1" applyProtection="0">
      <alignment horizontal="center" vertical="center"/>
    </xf>
    <xf numFmtId="9" fontId="52" fillId="9" borderId="39" applyNumberFormat="1" applyFont="1" applyFill="1" applyBorder="1" applyAlignment="1" applyProtection="0">
      <alignment horizontal="center" vertical="center"/>
    </xf>
    <xf numFmtId="0" fontId="0" borderId="55" applyNumberFormat="0" applyFont="1" applyFill="0" applyBorder="1" applyAlignment="1" applyProtection="0">
      <alignment vertical="bottom"/>
    </xf>
    <xf numFmtId="0" fontId="0" fillId="4" borderId="41" applyNumberFormat="0" applyFont="1" applyFill="1" applyBorder="1" applyAlignment="1" applyProtection="0">
      <alignment vertical="bottom" wrapText="1"/>
    </xf>
    <xf numFmtId="0" fontId="0" fillId="4" borderId="14" applyNumberFormat="0" applyFont="1" applyFill="1" applyBorder="1" applyAlignment="1" applyProtection="0">
      <alignment vertical="center" wrapText="1"/>
    </xf>
    <xf numFmtId="0" fontId="0" fillId="4" borderId="49" applyNumberFormat="0" applyFont="1" applyFill="1" applyBorder="1" applyAlignment="1" applyProtection="0">
      <alignment vertical="bottom" wrapText="1"/>
    </xf>
    <xf numFmtId="0" fontId="0" fillId="4" borderId="56" applyNumberFormat="0" applyFont="1" applyFill="1" applyBorder="1" applyAlignment="1" applyProtection="0">
      <alignment vertical="center" wrapText="1"/>
    </xf>
    <xf numFmtId="49" fontId="45" fillId="4" borderId="30" applyNumberFormat="1" applyFont="1" applyFill="1" applyBorder="1" applyAlignment="1" applyProtection="0">
      <alignment vertical="top" wrapText="1"/>
    </xf>
    <xf numFmtId="0" fontId="44" fillId="6" borderId="57" applyNumberFormat="0" applyFont="1" applyFill="1" applyBorder="1" applyAlignment="1" applyProtection="0">
      <alignment horizontal="center" vertical="center"/>
    </xf>
    <xf numFmtId="49" fontId="53" fillId="8" borderId="58" applyNumberFormat="1" applyFont="1" applyFill="1" applyBorder="1" applyAlignment="1" applyProtection="0">
      <alignment horizontal="center" vertical="center" wrapText="1"/>
    </xf>
    <xf numFmtId="0" fontId="0" borderId="59" applyNumberFormat="0" applyFont="1" applyFill="0" applyBorder="1" applyAlignment="1" applyProtection="0">
      <alignment vertical="bottom"/>
    </xf>
    <xf numFmtId="49" fontId="45" fillId="9" borderId="30" applyNumberFormat="1" applyFont="1" applyFill="1" applyBorder="1" applyAlignment="1" applyProtection="0">
      <alignment vertical="top" wrapText="1"/>
    </xf>
    <xf numFmtId="49" fontId="0" fillId="4" borderId="60" applyNumberFormat="1" applyFont="1" applyFill="1" applyBorder="1" applyAlignment="1" applyProtection="0">
      <alignment horizontal="center" vertical="center" wrapText="1"/>
    </xf>
    <xf numFmtId="49" fontId="54" fillId="8" borderId="29" applyNumberFormat="1" applyFont="1" applyFill="1" applyBorder="1" applyAlignment="1" applyProtection="0">
      <alignment horizontal="center" vertical="bottom"/>
    </xf>
    <xf numFmtId="0" fontId="54" fillId="8" borderId="29" applyNumberFormat="0" applyFont="1" applyFill="1" applyBorder="1" applyAlignment="1" applyProtection="0">
      <alignment horizontal="center" vertical="bottom"/>
    </xf>
    <xf numFmtId="49" fontId="45" fillId="9" borderId="38" applyNumberFormat="1" applyFont="1" applyFill="1" applyBorder="1" applyAlignment="1" applyProtection="0">
      <alignment vertical="top" wrapText="1"/>
    </xf>
    <xf numFmtId="0" fontId="0" borderId="61" applyNumberFormat="0" applyFont="1" applyFill="0" applyBorder="1" applyAlignment="1" applyProtection="0">
      <alignment vertical="bottom"/>
    </xf>
    <xf numFmtId="49" fontId="45" fillId="9" borderId="44" applyNumberFormat="1" applyFont="1" applyFill="1" applyBorder="1" applyAlignment="1" applyProtection="0">
      <alignment vertical="top" wrapText="1"/>
    </xf>
    <xf numFmtId="0" fontId="0" fillId="4" borderId="62" applyNumberFormat="0" applyFont="1" applyFill="1" applyBorder="1" applyAlignment="1" applyProtection="0">
      <alignment vertical="center" wrapText="1"/>
    </xf>
    <xf numFmtId="0" fontId="0" fillId="4" borderId="63" applyNumberFormat="0" applyFont="1" applyFill="1" applyBorder="1" applyAlignment="1" applyProtection="0">
      <alignment vertical="center" wrapText="1"/>
    </xf>
    <xf numFmtId="0" fontId="44" fillId="6" borderId="64" applyNumberFormat="0" applyFont="1" applyFill="1" applyBorder="1" applyAlignment="1" applyProtection="0">
      <alignment horizontal="center" vertical="center"/>
    </xf>
    <xf numFmtId="49" fontId="53" fillId="8" borderId="65" applyNumberFormat="1" applyFont="1" applyFill="1" applyBorder="1" applyAlignment="1" applyProtection="0">
      <alignment horizontal="center" vertical="center" wrapText="1"/>
    </xf>
    <xf numFmtId="0" fontId="0" borderId="66" applyNumberFormat="0" applyFont="1" applyFill="0" applyBorder="1" applyAlignment="1" applyProtection="0">
      <alignment vertical="bottom"/>
    </xf>
    <xf numFmtId="0" fontId="0" fillId="4" borderId="67" applyNumberFormat="0" applyFont="1" applyFill="1" applyBorder="1" applyAlignment="1" applyProtection="0">
      <alignment horizontal="center" vertical="center" wrapText="1"/>
    </xf>
    <xf numFmtId="49" fontId="51" fillId="8" borderId="29" applyNumberFormat="1" applyFont="1" applyFill="1" applyBorder="1" applyAlignment="1" applyProtection="0">
      <alignment horizontal="center" vertical="bottom"/>
    </xf>
    <xf numFmtId="0" fontId="50" fillId="5" borderId="21" applyNumberFormat="0" applyFont="1" applyFill="1" applyBorder="1" applyAlignment="1" applyProtection="0">
      <alignment horizontal="center" vertical="center"/>
    </xf>
    <xf numFmtId="0" fontId="50" fillId="5" borderId="22" applyNumberFormat="0" applyFont="1" applyFill="1" applyBorder="1" applyAlignment="1" applyProtection="0">
      <alignment horizontal="center" vertical="center"/>
    </xf>
    <xf numFmtId="0" fontId="0" borderId="68" applyNumberFormat="0" applyFont="1" applyFill="0" applyBorder="1" applyAlignment="1" applyProtection="0">
      <alignment vertical="bottom"/>
    </xf>
    <xf numFmtId="0" fontId="0" fillId="5" borderId="27" applyNumberFormat="0" applyFont="1" applyFill="1" applyBorder="1" applyAlignment="1" applyProtection="0">
      <alignment vertical="bottom"/>
    </xf>
    <xf numFmtId="0" fontId="0" fillId="5" borderId="28" applyNumberFormat="0" applyFont="1" applyFill="1" applyBorder="1" applyAlignment="1" applyProtection="0">
      <alignment vertical="bottom"/>
    </xf>
    <xf numFmtId="0" fontId="49" fillId="5" borderId="28" applyNumberFormat="0" applyFont="1" applyFill="1" applyBorder="1" applyAlignment="1" applyProtection="0">
      <alignment vertical="bottom"/>
    </xf>
    <xf numFmtId="0" fontId="0" fillId="4" borderId="69" applyNumberFormat="0" applyFont="1" applyFill="1" applyBorder="1" applyAlignment="1" applyProtection="0">
      <alignment vertical="center" wrapText="1"/>
    </xf>
    <xf numFmtId="0" fontId="0" fillId="5" borderId="70" applyNumberFormat="0" applyFont="1" applyFill="1" applyBorder="1" applyAlignment="1" applyProtection="0">
      <alignment vertical="bottom"/>
    </xf>
    <xf numFmtId="0" fontId="0" fillId="5" borderId="71" applyNumberFormat="0" applyFont="1" applyFill="1" applyBorder="1" applyAlignment="1" applyProtection="0">
      <alignment vertical="bottom"/>
    </xf>
    <xf numFmtId="0" fontId="49" fillId="5" borderId="71" applyNumberFormat="0" applyFont="1" applyFill="1" applyBorder="1" applyAlignment="1" applyProtection="0">
      <alignment vertical="bottom"/>
    </xf>
    <xf numFmtId="49" fontId="58" fillId="5" borderId="72" applyNumberFormat="1" applyFont="1" applyFill="1" applyBorder="1" applyAlignment="1" applyProtection="0">
      <alignment horizontal="center" vertical="center"/>
    </xf>
    <xf numFmtId="0" fontId="58" fillId="5" borderId="73" applyNumberFormat="0" applyFont="1" applyFill="1" applyBorder="1" applyAlignment="1" applyProtection="0">
      <alignment horizontal="center" vertical="center"/>
    </xf>
    <xf numFmtId="0" fontId="51" fillId="10" borderId="29" applyNumberFormat="0" applyFont="1" applyFill="1" applyBorder="1" applyAlignment="1" applyProtection="0">
      <alignment horizontal="center" vertical="center"/>
    </xf>
    <xf numFmtId="0" fontId="44" fillId="11" borderId="31" applyNumberFormat="0" applyFont="1" applyFill="1" applyBorder="1" applyAlignment="1" applyProtection="0">
      <alignment horizontal="center" vertical="center"/>
    </xf>
    <xf numFmtId="0" fontId="44" fillId="11" borderId="32" applyNumberFormat="0" applyFont="1" applyFill="1" applyBorder="1" applyAlignment="1" applyProtection="0">
      <alignment horizontal="center" vertical="center"/>
    </xf>
    <xf numFmtId="0" fontId="44" fillId="11" borderId="34" applyNumberFormat="0" applyFont="1" applyFill="1" applyBorder="1" applyAlignment="1" applyProtection="0">
      <alignment horizontal="center" vertical="center"/>
    </xf>
    <xf numFmtId="49" fontId="53" fillId="10" borderId="35" applyNumberFormat="1" applyFont="1" applyFill="1" applyBorder="1" applyAlignment="1" applyProtection="0">
      <alignment horizontal="center" vertical="center" wrapText="1"/>
    </xf>
    <xf numFmtId="0" fontId="58" fillId="5" borderId="4" applyNumberFormat="0" applyFont="1" applyFill="1" applyBorder="1" applyAlignment="1" applyProtection="0">
      <alignment horizontal="center" vertical="center"/>
    </xf>
    <xf numFmtId="0" fontId="58" fillId="5" borderId="5" applyNumberFormat="0" applyFont="1" applyFill="1" applyBorder="1" applyAlignment="1" applyProtection="0">
      <alignment horizontal="center" vertical="center"/>
    </xf>
    <xf numFmtId="49" fontId="54" fillId="10" borderId="29" applyNumberFormat="1" applyFont="1" applyFill="1" applyBorder="1" applyAlignment="1" applyProtection="0">
      <alignment horizontal="center" vertical="center"/>
    </xf>
    <xf numFmtId="49" fontId="0" fillId="4" borderId="37" applyNumberFormat="1" applyFont="1" applyFill="1" applyBorder="1" applyAlignment="1" applyProtection="0">
      <alignment horizontal="center" vertical="center" wrapText="1"/>
    </xf>
    <xf numFmtId="49" fontId="51" fillId="10" borderId="29" applyNumberFormat="1" applyFont="1" applyFill="1" applyBorder="1" applyAlignment="1" applyProtection="0">
      <alignment horizontal="center" vertical="center"/>
    </xf>
    <xf numFmtId="0" fontId="51" fillId="10" borderId="29" applyNumberFormat="0" applyFont="1" applyFill="1" applyBorder="1" applyAlignment="1" applyProtection="0">
      <alignment vertical="bottom"/>
    </xf>
    <xf numFmtId="49" fontId="45" fillId="4" borderId="38" applyNumberFormat="1" applyFont="1" applyFill="1" applyBorder="1" applyAlignment="1" applyProtection="0">
      <alignment vertical="top" wrapText="1"/>
    </xf>
    <xf numFmtId="49" fontId="45" fillId="12" borderId="43" applyNumberFormat="1" applyFont="1" applyFill="1" applyBorder="1" applyAlignment="1" applyProtection="0">
      <alignment horizontal="center" vertical="center" wrapText="1"/>
    </xf>
    <xf numFmtId="49" fontId="45" fillId="12" borderId="44" applyNumberFormat="1" applyFont="1" applyFill="1" applyBorder="1" applyAlignment="1" applyProtection="0">
      <alignment vertical="top" wrapText="1"/>
    </xf>
    <xf numFmtId="59" fontId="56" fillId="11" borderId="46" applyNumberFormat="1" applyFont="1" applyFill="1" applyBorder="1" applyAlignment="1" applyProtection="0">
      <alignment horizontal="center" vertical="center" wrapText="1"/>
    </xf>
    <xf numFmtId="9" fontId="56" fillId="11" borderId="46" applyNumberFormat="1" applyFont="1" applyFill="1" applyBorder="1" applyAlignment="1" applyProtection="0">
      <alignment horizontal="center" vertical="center" wrapText="1"/>
    </xf>
    <xf numFmtId="0" fontId="45" fillId="4" borderId="30" applyNumberFormat="0" applyFont="1" applyFill="1" applyBorder="1" applyAlignment="1" applyProtection="0">
      <alignment vertical="center" wrapText="1"/>
    </xf>
    <xf numFmtId="49" fontId="53" fillId="10" borderId="52" applyNumberFormat="1" applyFont="1" applyFill="1" applyBorder="1" applyAlignment="1" applyProtection="0">
      <alignment horizontal="center" vertical="center" wrapText="1"/>
    </xf>
    <xf numFmtId="0" fontId="44" fillId="11" borderId="53" applyNumberFormat="0" applyFont="1" applyFill="1" applyBorder="1" applyAlignment="1" applyProtection="0">
      <alignment horizontal="center" vertical="center"/>
    </xf>
    <xf numFmtId="49" fontId="54" fillId="10" borderId="29" applyNumberFormat="1" applyFont="1" applyFill="1" applyBorder="1" applyAlignment="1" applyProtection="0">
      <alignment horizontal="center" vertical="bottom"/>
    </xf>
    <xf numFmtId="49" fontId="51" fillId="10" borderId="29" applyNumberFormat="1" applyFont="1" applyFill="1" applyBorder="1" applyAlignment="1" applyProtection="0">
      <alignment horizontal="center" vertical="bottom"/>
    </xf>
    <xf numFmtId="0" fontId="45" fillId="12" borderId="44" applyNumberFormat="0" applyFont="1" applyFill="1" applyBorder="1" applyAlignment="1" applyProtection="0">
      <alignment vertical="top" wrapText="1"/>
    </xf>
    <xf numFmtId="0" fontId="44" fillId="11" borderId="57" applyNumberFormat="0" applyFont="1" applyFill="1" applyBorder="1" applyAlignment="1" applyProtection="0">
      <alignment horizontal="center" vertical="center"/>
    </xf>
    <xf numFmtId="49" fontId="53" fillId="10" borderId="58" applyNumberFormat="1" applyFont="1" applyFill="1" applyBorder="1" applyAlignment="1" applyProtection="0">
      <alignment horizontal="center" vertical="center" wrapText="1"/>
    </xf>
    <xf numFmtId="0" fontId="0" fillId="4" borderId="60" applyNumberFormat="0" applyFont="1" applyFill="1" applyBorder="1" applyAlignment="1" applyProtection="0">
      <alignment horizontal="center" vertical="center" wrapText="1"/>
    </xf>
    <xf numFmtId="0" fontId="51" fillId="10" borderId="29" applyNumberFormat="0" applyFont="1" applyFill="1" applyBorder="1" applyAlignment="1" applyProtection="0">
      <alignment horizontal="center" vertical="bottom"/>
    </xf>
    <xf numFmtId="0" fontId="44" fillId="11" borderId="64" applyNumberFormat="0" applyFont="1" applyFill="1" applyBorder="1" applyAlignment="1" applyProtection="0">
      <alignment horizontal="center" vertical="center"/>
    </xf>
    <xf numFmtId="49" fontId="53" fillId="10" borderId="65" applyNumberFormat="1" applyFont="1" applyFill="1" applyBorder="1" applyAlignment="1" applyProtection="0">
      <alignment horizontal="center" vertical="center" wrapText="1"/>
    </xf>
    <xf numFmtId="49" fontId="54" fillId="10" borderId="29" applyNumberFormat="1" applyFont="1" applyFill="1" applyBorder="1" applyAlignment="1" applyProtection="0">
      <alignment horizontal="center" vertical="top"/>
    </xf>
    <xf numFmtId="49" fontId="51" fillId="10" borderId="29" applyNumberFormat="1" applyFont="1" applyFill="1" applyBorder="1" applyAlignment="1" applyProtection="0">
      <alignment horizontal="center" vertical="top"/>
    </xf>
    <xf numFmtId="0" fontId="54" fillId="10" borderId="29" applyNumberFormat="0" applyFont="1" applyFill="1" applyBorder="1" applyAlignment="1" applyProtection="0">
      <alignment horizontal="center" vertical="top"/>
    </xf>
    <xf numFmtId="0" fontId="58" fillId="5" borderId="70" applyNumberFormat="0" applyFont="1" applyFill="1" applyBorder="1" applyAlignment="1" applyProtection="0">
      <alignment horizontal="center" vertical="center"/>
    </xf>
    <xf numFmtId="0" fontId="58" fillId="5" borderId="71" applyNumberFormat="0" applyFont="1" applyFill="1" applyBorder="1" applyAlignment="1" applyProtection="0">
      <alignment horizontal="center" vertical="center"/>
    </xf>
    <xf numFmtId="0" fontId="0" borderId="74" applyNumberFormat="0" applyFont="1" applyFill="0" applyBorder="1" applyAlignment="1" applyProtection="0">
      <alignment vertical="bottom"/>
    </xf>
    <xf numFmtId="0" fontId="0" fillId="5" borderId="72" applyNumberFormat="0" applyFont="1" applyFill="1" applyBorder="1" applyAlignment="1" applyProtection="0">
      <alignment vertical="bottom"/>
    </xf>
    <xf numFmtId="0" fontId="0" fillId="5" borderId="73" applyNumberFormat="0" applyFont="1" applyFill="1" applyBorder="1" applyAlignment="1" applyProtection="0">
      <alignment vertical="bottom"/>
    </xf>
    <xf numFmtId="0" fontId="49" fillId="5" borderId="73" applyNumberFormat="0" applyFont="1" applyFill="1" applyBorder="1" applyAlignment="1" applyProtection="0">
      <alignment vertical="bottom"/>
    </xf>
    <xf numFmtId="0" fontId="0" fillId="4" borderId="41" applyNumberFormat="0" applyFont="1" applyFill="1" applyBorder="1" applyAlignment="1" applyProtection="0">
      <alignment vertical="center" wrapText="1"/>
    </xf>
    <xf numFmtId="0" fontId="0" fillId="5" borderId="75" applyNumberFormat="0" applyFont="1" applyFill="1" applyBorder="1" applyAlignment="1" applyProtection="0">
      <alignment vertical="bottom"/>
    </xf>
    <xf numFmtId="0" fontId="0" fillId="5" borderId="76" applyNumberFormat="0" applyFont="1" applyFill="1" applyBorder="1" applyAlignment="1" applyProtection="0">
      <alignment vertical="bottom"/>
    </xf>
    <xf numFmtId="0" fontId="49" fillId="5" borderId="76" applyNumberFormat="0" applyFont="1" applyFill="1" applyBorder="1" applyAlignment="1" applyProtection="0">
      <alignment vertical="bottom"/>
    </xf>
    <xf numFmtId="49" fontId="59" fillId="5" borderId="77" applyNumberFormat="1" applyFont="1" applyFill="1" applyBorder="1" applyAlignment="1" applyProtection="0">
      <alignment horizontal="center" vertical="center"/>
    </xf>
    <xf numFmtId="0" fontId="59" fillId="5" borderId="78" applyNumberFormat="0" applyFont="1" applyFill="1" applyBorder="1" applyAlignment="1" applyProtection="0">
      <alignment horizontal="center" vertical="center"/>
    </xf>
    <xf numFmtId="0" fontId="51" fillId="13" borderId="29" applyNumberFormat="0" applyFont="1" applyFill="1" applyBorder="1" applyAlignment="1" applyProtection="0">
      <alignment horizontal="center" vertical="center"/>
    </xf>
    <xf numFmtId="0" fontId="44" fillId="14" borderId="31" applyNumberFormat="0" applyFont="1" applyFill="1" applyBorder="1" applyAlignment="1" applyProtection="0">
      <alignment horizontal="center" vertical="center"/>
    </xf>
    <xf numFmtId="0" fontId="44" fillId="14" borderId="32" applyNumberFormat="0" applyFont="1" applyFill="1" applyBorder="1" applyAlignment="1" applyProtection="0">
      <alignment horizontal="center" vertical="center"/>
    </xf>
    <xf numFmtId="0" fontId="44" fillId="14" borderId="34" applyNumberFormat="0" applyFont="1" applyFill="1" applyBorder="1" applyAlignment="1" applyProtection="0">
      <alignment horizontal="center" vertical="center"/>
    </xf>
    <xf numFmtId="49" fontId="53" fillId="13" borderId="52" applyNumberFormat="1" applyFont="1" applyFill="1" applyBorder="1" applyAlignment="1" applyProtection="0">
      <alignment horizontal="center" vertical="center" wrapText="1"/>
    </xf>
    <xf numFmtId="0" fontId="59" fillId="5" borderId="4" applyNumberFormat="0" applyFont="1" applyFill="1" applyBorder="1" applyAlignment="1" applyProtection="0">
      <alignment horizontal="center" vertical="center"/>
    </xf>
    <xf numFmtId="0" fontId="59" fillId="5" borderId="5" applyNumberFormat="0" applyFont="1" applyFill="1" applyBorder="1" applyAlignment="1" applyProtection="0">
      <alignment horizontal="center" vertical="center"/>
    </xf>
    <xf numFmtId="0" fontId="54" fillId="13" borderId="29" applyNumberFormat="0" applyFont="1" applyFill="1" applyBorder="1" applyAlignment="1" applyProtection="0">
      <alignment horizontal="center" vertical="center"/>
    </xf>
    <xf numFmtId="0" fontId="44" fillId="14" borderId="53" applyNumberFormat="0" applyFont="1" applyFill="1" applyBorder="1" applyAlignment="1" applyProtection="0">
      <alignment horizontal="center" vertical="center"/>
    </xf>
    <xf numFmtId="49" fontId="54" fillId="13" borderId="29" applyNumberFormat="1" applyFont="1" applyFill="1" applyBorder="1" applyAlignment="1" applyProtection="0">
      <alignment horizontal="center" vertical="top"/>
    </xf>
    <xf numFmtId="49" fontId="44" fillId="14" borderId="31" applyNumberFormat="1" applyFont="1" applyFill="1" applyBorder="1" applyAlignment="1" applyProtection="0">
      <alignment horizontal="center" vertical="center"/>
    </xf>
    <xf numFmtId="49" fontId="51" fillId="13" borderId="29" applyNumberFormat="1" applyFont="1" applyFill="1" applyBorder="1" applyAlignment="1" applyProtection="0">
      <alignment horizontal="center" vertical="center"/>
    </xf>
    <xf numFmtId="0" fontId="51" fillId="13" borderId="29" applyNumberFormat="0" applyFont="1" applyFill="1" applyBorder="1" applyAlignment="1" applyProtection="0">
      <alignment vertical="bottom"/>
    </xf>
    <xf numFmtId="0" fontId="0" borderId="79" applyNumberFormat="0" applyFont="1" applyFill="0" applyBorder="1" applyAlignment="1" applyProtection="0">
      <alignment vertical="bottom"/>
    </xf>
    <xf numFmtId="49" fontId="45" fillId="7" borderId="43" applyNumberFormat="1" applyFont="1" applyFill="1" applyBorder="1" applyAlignment="1" applyProtection="0">
      <alignment horizontal="center" vertical="center" wrapText="1"/>
    </xf>
    <xf numFmtId="0" fontId="45" fillId="7" borderId="44" applyNumberFormat="0" applyFont="1" applyFill="1" applyBorder="1" applyAlignment="1" applyProtection="0">
      <alignment vertical="top" wrapText="1"/>
    </xf>
    <xf numFmtId="59" fontId="56" fillId="15" borderId="46" applyNumberFormat="1" applyFont="1" applyFill="1" applyBorder="1" applyAlignment="1" applyProtection="0">
      <alignment horizontal="center" vertical="center" wrapText="1"/>
    </xf>
    <xf numFmtId="9" fontId="56" fillId="15" borderId="46" applyNumberFormat="1" applyFont="1" applyFill="1" applyBorder="1" applyAlignment="1" applyProtection="0">
      <alignment horizontal="center" vertical="center" wrapText="1"/>
    </xf>
    <xf numFmtId="0" fontId="44" fillId="14" borderId="57" applyNumberFormat="0" applyFont="1" applyFill="1" applyBorder="1" applyAlignment="1" applyProtection="0">
      <alignment horizontal="center" vertical="center"/>
    </xf>
    <xf numFmtId="49" fontId="53" fillId="13" borderId="80" applyNumberFormat="1" applyFont="1" applyFill="1" applyBorder="1" applyAlignment="1" applyProtection="0">
      <alignment horizontal="center" vertical="center" wrapText="1"/>
    </xf>
    <xf numFmtId="0" fontId="44" fillId="14" borderId="81" applyNumberFormat="0" applyFont="1" applyFill="1" applyBorder="1" applyAlignment="1" applyProtection="0">
      <alignment horizontal="center" vertical="center"/>
    </xf>
    <xf numFmtId="49" fontId="0" fillId="4" borderId="82" applyNumberFormat="1" applyFont="1" applyFill="1" applyBorder="1" applyAlignment="1" applyProtection="0">
      <alignment horizontal="center" vertical="center" wrapText="1"/>
    </xf>
    <xf numFmtId="0" fontId="0" borderId="83" applyNumberFormat="0" applyFont="1" applyFill="0" applyBorder="1" applyAlignment="1" applyProtection="0">
      <alignment vertical="bottom"/>
    </xf>
    <xf numFmtId="49" fontId="54" fillId="13" borderId="29" applyNumberFormat="1" applyFont="1" applyFill="1" applyBorder="1" applyAlignment="1" applyProtection="0">
      <alignment horizontal="center" vertical="bottom"/>
    </xf>
    <xf numFmtId="0" fontId="0" fillId="4" borderId="31" applyNumberFormat="0" applyFont="1" applyFill="1" applyBorder="1" applyAlignment="1" applyProtection="0">
      <alignment horizontal="center" vertical="center" wrapText="1"/>
    </xf>
    <xf numFmtId="0" fontId="54" fillId="13" borderId="29" applyNumberFormat="0" applyFont="1" applyFill="1" applyBorder="1" applyAlignment="1" applyProtection="0">
      <alignment horizontal="center" vertical="bottom"/>
    </xf>
    <xf numFmtId="49" fontId="60" fillId="13" borderId="29" applyNumberFormat="1" applyFont="1" applyFill="1" applyBorder="1" applyAlignment="1" applyProtection="0">
      <alignment horizontal="center" vertical="top"/>
    </xf>
    <xf numFmtId="0" fontId="0" fillId="4" borderId="84" applyNumberFormat="0" applyFont="1" applyFill="1" applyBorder="1" applyAlignment="1" applyProtection="0">
      <alignment horizontal="center" vertical="center" wrapText="1"/>
    </xf>
    <xf numFmtId="49" fontId="45" fillId="7" borderId="44" applyNumberFormat="1" applyFont="1" applyFill="1" applyBorder="1" applyAlignment="1" applyProtection="0">
      <alignment vertical="top" wrapText="1"/>
    </xf>
    <xf numFmtId="0" fontId="44" fillId="14" borderId="64" applyNumberFormat="0" applyFont="1" applyFill="1" applyBorder="1" applyAlignment="1" applyProtection="0">
      <alignment horizontal="center" vertical="center"/>
    </xf>
    <xf numFmtId="49" fontId="53" fillId="13" borderId="65" applyNumberFormat="1" applyFont="1" applyFill="1" applyBorder="1" applyAlignment="1" applyProtection="0">
      <alignment horizontal="center" vertical="center" wrapText="1"/>
    </xf>
    <xf numFmtId="49" fontId="0" fillId="4" borderId="67" applyNumberFormat="1" applyFont="1" applyFill="1" applyBorder="1" applyAlignment="1" applyProtection="0">
      <alignment horizontal="center" vertical="center" wrapText="1"/>
    </xf>
    <xf numFmtId="49" fontId="51" fillId="13" borderId="29" applyNumberFormat="1" applyFont="1" applyFill="1" applyBorder="1" applyAlignment="1" applyProtection="0">
      <alignment horizontal="center" vertical="top"/>
    </xf>
    <xf numFmtId="49" fontId="53" fillId="13" borderId="85" applyNumberFormat="1" applyFont="1" applyFill="1" applyBorder="1" applyAlignment="1" applyProtection="0">
      <alignment horizontal="center" vertical="center" wrapText="1"/>
    </xf>
    <xf numFmtId="49" fontId="54" fillId="13" borderId="29" applyNumberFormat="1" applyFont="1" applyFill="1" applyBorder="1" applyAlignment="1" applyProtection="0">
      <alignment horizontal="center" vertical="center"/>
    </xf>
    <xf numFmtId="49" fontId="60" fillId="13" borderId="29" applyNumberFormat="1" applyFont="1" applyFill="1" applyBorder="1" applyAlignment="1" applyProtection="0">
      <alignment horizontal="center" vertical="bottom"/>
    </xf>
    <xf numFmtId="0" fontId="0" borderId="86" applyNumberFormat="0" applyFont="1" applyFill="0" applyBorder="1" applyAlignment="1" applyProtection="0">
      <alignment vertical="bottom"/>
    </xf>
    <xf numFmtId="0" fontId="0" fillId="4" borderId="86" applyNumberFormat="0" applyFont="1" applyFill="1" applyBorder="1" applyAlignment="1" applyProtection="0">
      <alignment vertical="bottom"/>
    </xf>
    <xf numFmtId="0" fontId="0" fillId="5" borderId="7" applyNumberFormat="0" applyFont="1" applyFill="1" applyBorder="1" applyAlignment="1" applyProtection="0">
      <alignment vertical="bottom"/>
    </xf>
    <xf numFmtId="0" fontId="0" fillId="5" borderId="8" applyNumberFormat="0" applyFont="1" applyFill="1" applyBorder="1" applyAlignment="1" applyProtection="0">
      <alignment vertical="bottom"/>
    </xf>
    <xf numFmtId="0" fontId="0" fillId="5" borderId="9" applyNumberFormat="0" applyFont="1" applyFill="1" applyBorder="1" applyAlignment="1" applyProtection="0">
      <alignment vertical="bottom"/>
    </xf>
    <xf numFmtId="0" fontId="0" applyNumberFormat="1" applyFont="1" applyFill="0" applyBorder="0" applyAlignment="1" applyProtection="0">
      <alignment vertical="bottom"/>
    </xf>
    <xf numFmtId="0" fontId="46" fillId="6" borderId="1" applyNumberFormat="0" applyFont="1" applyFill="1" applyBorder="1" applyAlignment="1" applyProtection="0">
      <alignment vertical="bottom"/>
    </xf>
    <xf numFmtId="0" fontId="46" fillId="6" borderId="2" applyNumberFormat="0" applyFont="1" applyFill="1" applyBorder="1" applyAlignment="1" applyProtection="0">
      <alignment vertical="bottom"/>
    </xf>
    <xf numFmtId="0" fontId="0" borderId="2" applyNumberFormat="0" applyFont="1" applyFill="0" applyBorder="1" applyAlignment="1" applyProtection="0">
      <alignment vertical="bottom"/>
    </xf>
    <xf numFmtId="0" fontId="0" borderId="3" applyNumberFormat="0" applyFont="1" applyFill="0" applyBorder="1" applyAlignment="1" applyProtection="0">
      <alignment vertical="bottom"/>
    </xf>
    <xf numFmtId="0" fontId="46" fillId="6" borderId="4" applyNumberFormat="0" applyFont="1" applyFill="1" applyBorder="1" applyAlignment="1" applyProtection="0">
      <alignment vertical="bottom"/>
    </xf>
    <xf numFmtId="0" fontId="46" fillId="6" borderId="5" applyNumberFormat="0" applyFont="1" applyFill="1" applyBorder="1" applyAlignment="1" applyProtection="0">
      <alignment vertical="bottom"/>
    </xf>
    <xf numFmtId="0" fontId="0" borderId="6" applyNumberFormat="0" applyFont="1" applyFill="0" applyBorder="1" applyAlignment="1" applyProtection="0">
      <alignment vertical="bottom"/>
    </xf>
    <xf numFmtId="0" fontId="64" fillId="4" borderId="5" applyNumberFormat="0" applyFont="1" applyFill="1" applyBorder="1" applyAlignment="1" applyProtection="0">
      <alignment horizontal="center" vertical="center"/>
    </xf>
    <xf numFmtId="0" fontId="0" borderId="87" applyNumberFormat="0" applyFont="1" applyFill="0" applyBorder="1" applyAlignment="1" applyProtection="0">
      <alignment vertical="bottom"/>
    </xf>
    <xf numFmtId="49" fontId="65" fillId="7" borderId="88" applyNumberFormat="1" applyFont="1" applyFill="1" applyBorder="1" applyAlignment="1" applyProtection="0">
      <alignment horizontal="center" vertical="center" wrapText="1"/>
    </xf>
    <xf numFmtId="49" fontId="65" fillId="7" borderId="89" applyNumberFormat="1" applyFont="1" applyFill="1" applyBorder="1" applyAlignment="1" applyProtection="0">
      <alignment horizontal="center" vertical="center" wrapText="1"/>
    </xf>
    <xf numFmtId="0" fontId="0" borderId="5" applyNumberFormat="1" applyFont="1" applyFill="0" applyBorder="1" applyAlignment="1" applyProtection="0">
      <alignment vertical="bottom"/>
    </xf>
    <xf numFmtId="49" fontId="66" fillId="6" borderId="90" applyNumberFormat="1" applyFont="1" applyFill="1" applyBorder="1" applyAlignment="1" applyProtection="0">
      <alignment horizontal="center" vertical="center"/>
    </xf>
    <xf numFmtId="49" fontId="66" fillId="6" borderId="91" applyNumberFormat="1" applyFont="1" applyFill="1" applyBorder="1" applyAlignment="1" applyProtection="0">
      <alignment horizontal="center" vertical="center"/>
    </xf>
    <xf numFmtId="59" fontId="67" fillId="4" borderId="92" applyNumberFormat="1" applyFont="1" applyFill="1" applyBorder="1" applyAlignment="1" applyProtection="0">
      <alignment horizontal="center" vertical="center"/>
    </xf>
    <xf numFmtId="9" fontId="67" fillId="4" borderId="93" applyNumberFormat="1" applyFont="1" applyFill="1" applyBorder="1" applyAlignment="1" applyProtection="0">
      <alignment horizontal="center" vertical="center"/>
    </xf>
    <xf numFmtId="9" fontId="67" fillId="4" borderId="19" applyNumberFormat="1" applyFont="1" applyFill="1" applyBorder="1" applyAlignment="1" applyProtection="0">
      <alignment horizontal="center" vertical="center"/>
    </xf>
    <xf numFmtId="49" fontId="68" fillId="11" borderId="90" applyNumberFormat="1" applyFont="1" applyFill="1" applyBorder="1" applyAlignment="1" applyProtection="0">
      <alignment horizontal="center" vertical="center"/>
    </xf>
    <xf numFmtId="49" fontId="68" fillId="11" borderId="91" applyNumberFormat="1" applyFont="1" applyFill="1" applyBorder="1" applyAlignment="1" applyProtection="0">
      <alignment horizontal="center" vertical="center"/>
    </xf>
    <xf numFmtId="49" fontId="69" fillId="14" borderId="90" applyNumberFormat="1" applyFont="1" applyFill="1" applyBorder="1" applyAlignment="1" applyProtection="0">
      <alignment horizontal="center" vertical="center"/>
    </xf>
    <xf numFmtId="49" fontId="69" fillId="14" borderId="91" applyNumberFormat="1" applyFont="1" applyFill="1" applyBorder="1" applyAlignment="1" applyProtection="0">
      <alignment horizontal="center" vertical="center"/>
    </xf>
    <xf numFmtId="59" fontId="67" fillId="4" borderId="94" applyNumberFormat="1" applyFont="1" applyFill="1" applyBorder="1" applyAlignment="1" applyProtection="0">
      <alignment horizontal="center" vertical="center"/>
    </xf>
    <xf numFmtId="0" fontId="0" borderId="95" applyNumberFormat="0" applyFont="1" applyFill="0" applyBorder="1" applyAlignment="1" applyProtection="0">
      <alignment vertical="bottom"/>
    </xf>
    <xf numFmtId="0" fontId="46" fillId="6" borderId="7" applyNumberFormat="0" applyFont="1" applyFill="1" applyBorder="1" applyAlignment="1" applyProtection="0">
      <alignment vertical="bottom"/>
    </xf>
    <xf numFmtId="0" fontId="0" fillId="16" borderId="8" applyNumberFormat="0" applyFont="1" applyFill="1" applyBorder="1" applyAlignment="1" applyProtection="0">
      <alignment vertical="bottom"/>
    </xf>
    <xf numFmtId="0" fontId="46" fillId="6" borderId="8" applyNumberFormat="0" applyFont="1" applyFill="1" applyBorder="1" applyAlignment="1" applyProtection="0">
      <alignment vertical="bottom"/>
    </xf>
    <xf numFmtId="0" fontId="0" borderId="8" applyNumberFormat="0" applyFont="1" applyFill="0" applyBorder="1" applyAlignment="1" applyProtection="0">
      <alignment vertical="bottom"/>
    </xf>
    <xf numFmtId="0" fontId="0" borderId="9" applyNumberFormat="0" applyFont="1" applyFill="0" applyBorder="1" applyAlignment="1" applyProtection="0">
      <alignment vertical="bottom"/>
    </xf>
    <xf numFmtId="0" fontId="0" applyNumberFormat="1" applyFont="1" applyFill="0" applyBorder="0" applyAlignment="1" applyProtection="0">
      <alignment vertical="bottom"/>
    </xf>
    <xf numFmtId="49" fontId="0" fillId="4" borderId="96" applyNumberFormat="1" applyFont="1" applyFill="1" applyBorder="1" applyAlignment="1" applyProtection="0">
      <alignment vertical="bottom"/>
    </xf>
    <xf numFmtId="49" fontId="0" fillId="7" borderId="30" applyNumberFormat="1" applyFont="1" applyFill="1" applyBorder="1" applyAlignment="1" applyProtection="0">
      <alignment vertical="bottom"/>
    </xf>
    <xf numFmtId="49" fontId="0" fillId="4" borderId="30" applyNumberFormat="1" applyFont="1" applyFill="1" applyBorder="1" applyAlignment="1" applyProtection="0">
      <alignment vertical="bottom"/>
    </xf>
    <xf numFmtId="49" fontId="0" fillId="7" borderId="30" applyNumberFormat="1" applyFont="1" applyFill="1" applyBorder="1" applyAlignment="1" applyProtection="0">
      <alignment vertical="bottom" wrapText="1"/>
    </xf>
    <xf numFmtId="49" fontId="0" borderId="30" applyNumberFormat="1" applyFont="1" applyFill="0" applyBorder="1" applyAlignment="1" applyProtection="0">
      <alignment vertical="bottom"/>
    </xf>
    <xf numFmtId="49" fontId="0" fillId="4" borderId="30" applyNumberFormat="1" applyFont="1" applyFill="1" applyBorder="1" applyAlignment="1" applyProtection="0">
      <alignment horizontal="left" vertical="bottom"/>
    </xf>
    <xf numFmtId="49" fontId="0" fillId="4" borderId="30" applyNumberFormat="1" applyFont="1" applyFill="1" applyBorder="1" applyAlignment="1" applyProtection="0">
      <alignment vertical="top" wrapText="1"/>
    </xf>
    <xf numFmtId="49" fontId="0" fillId="17" borderId="30" applyNumberFormat="1" applyFont="1" applyFill="1" applyBorder="1" applyAlignment="1" applyProtection="0">
      <alignment vertical="bottom"/>
    </xf>
    <xf numFmtId="0" fontId="0" fillId="4" borderId="97" applyNumberFormat="0" applyFont="1" applyFill="1" applyBorder="1" applyAlignment="1" applyProtection="0">
      <alignment vertical="bottom"/>
    </xf>
    <xf numFmtId="0" fontId="0" fillId="4" borderId="30" applyNumberFormat="0" applyFont="1" applyFill="1" applyBorder="1" applyAlignment="1" applyProtection="0">
      <alignment vertical="bottom"/>
    </xf>
    <xf numFmtId="0" fontId="0" fillId="4" borderId="98" applyNumberFormat="0" applyFont="1" applyFill="1" applyBorder="1" applyAlignment="1" applyProtection="0">
      <alignment vertical="bottom"/>
    </xf>
    <xf numFmtId="0" fontId="0" fillId="18" borderId="82" applyNumberFormat="1" applyFont="1" applyFill="1" applyBorder="1" applyAlignment="1" applyProtection="0">
      <alignment vertical="bottom"/>
    </xf>
    <xf numFmtId="49" fontId="0" fillId="4" borderId="99" applyNumberFormat="1" applyFont="1" applyFill="1" applyBorder="1" applyAlignment="1" applyProtection="0">
      <alignment vertical="bottom"/>
    </xf>
    <xf numFmtId="0" fontId="0" fillId="7" borderId="82" applyNumberFormat="1" applyFont="1" applyFill="1" applyBorder="1" applyAlignment="1" applyProtection="0">
      <alignment vertical="bottom" wrapText="1"/>
    </xf>
    <xf numFmtId="49" fontId="0" fillId="18" borderId="82" applyNumberFormat="1" applyFont="1" applyFill="1" applyBorder="1" applyAlignment="1" applyProtection="0">
      <alignment vertical="bottom"/>
    </xf>
    <xf numFmtId="49" fontId="0" fillId="18" borderId="82" applyNumberFormat="1" applyFont="1" applyFill="1" applyBorder="1" applyAlignment="1" applyProtection="0">
      <alignment vertical="center"/>
    </xf>
    <xf numFmtId="0" fontId="0" fillId="7" borderId="82" applyNumberFormat="1" applyFont="1" applyFill="1" applyBorder="1" applyAlignment="1" applyProtection="0">
      <alignment vertical="bottom"/>
    </xf>
    <xf numFmtId="49" fontId="0" fillId="4" borderId="99" applyNumberFormat="1" applyFont="1" applyFill="1" applyBorder="1" applyAlignment="1" applyProtection="0">
      <alignment vertical="top" wrapText="1"/>
    </xf>
    <xf numFmtId="49" fontId="0" fillId="2" borderId="100" applyNumberFormat="1" applyFont="1" applyFill="1" applyBorder="1" applyAlignment="1" applyProtection="0">
      <alignment vertical="bottom"/>
    </xf>
    <xf numFmtId="49" fontId="0" fillId="19" borderId="101" applyNumberFormat="1" applyFont="1" applyFill="1" applyBorder="1" applyAlignment="1" applyProtection="0">
      <alignment vertical="bottom"/>
    </xf>
    <xf numFmtId="0" fontId="0" fillId="17" borderId="82" applyNumberFormat="1" applyFont="1" applyFill="1" applyBorder="1" applyAlignment="1" applyProtection="0">
      <alignment vertical="bottom"/>
    </xf>
    <xf numFmtId="0" fontId="0" fillId="4" borderId="102" applyNumberFormat="0" applyFont="1" applyFill="1" applyBorder="1" applyAlignment="1" applyProtection="0">
      <alignment vertical="bottom"/>
    </xf>
    <xf numFmtId="0" fontId="0" fillId="4" borderId="15" applyNumberFormat="0" applyFont="1" applyFill="1" applyBorder="1" applyAlignment="1" applyProtection="0">
      <alignment vertical="bottom"/>
    </xf>
    <xf numFmtId="0" fontId="74" fillId="18" borderId="31" applyNumberFormat="1" applyFont="1" applyFill="1" applyBorder="1" applyAlignment="1" applyProtection="0">
      <alignment horizontal="left" vertical="bottom"/>
    </xf>
    <xf numFmtId="49" fontId="74" fillId="4" borderId="97" applyNumberFormat="1" applyFont="1" applyFill="1" applyBorder="1" applyAlignment="1" applyProtection="0">
      <alignment horizontal="left" vertical="bottom"/>
    </xf>
    <xf numFmtId="0" fontId="74" fillId="7" borderId="31" applyNumberFormat="1" applyFont="1" applyFill="1" applyBorder="1" applyAlignment="1" applyProtection="0">
      <alignment horizontal="left" vertical="bottom" wrapText="1"/>
    </xf>
    <xf numFmtId="49" fontId="74" fillId="18" borderId="31" applyNumberFormat="1" applyFont="1" applyFill="1" applyBorder="1" applyAlignment="1" applyProtection="0">
      <alignment horizontal="left" vertical="bottom"/>
    </xf>
    <xf numFmtId="49" fontId="74" fillId="18" borderId="31" applyNumberFormat="1" applyFont="1" applyFill="1" applyBorder="1" applyAlignment="1" applyProtection="0">
      <alignment vertical="bottom"/>
    </xf>
    <xf numFmtId="49" fontId="0" fillId="18" borderId="31" applyNumberFormat="1" applyFont="1" applyFill="1" applyBorder="1" applyAlignment="1" applyProtection="0">
      <alignment vertical="center"/>
    </xf>
    <xf numFmtId="0" fontId="0" fillId="7" borderId="31" applyNumberFormat="1" applyFont="1" applyFill="1" applyBorder="1" applyAlignment="1" applyProtection="0">
      <alignment vertical="bottom"/>
    </xf>
    <xf numFmtId="49" fontId="0" fillId="4" borderId="97" applyNumberFormat="1" applyFont="1" applyFill="1" applyBorder="1" applyAlignment="1" applyProtection="0">
      <alignment vertical="bottom"/>
    </xf>
    <xf numFmtId="49" fontId="0" fillId="4" borderId="97" applyNumberFormat="1" applyFont="1" applyFill="1" applyBorder="1" applyAlignment="1" applyProtection="0">
      <alignment vertical="top" wrapText="1"/>
    </xf>
    <xf numFmtId="49" fontId="0" fillId="2" borderId="103" applyNumberFormat="1" applyFont="1" applyFill="1" applyBorder="1" applyAlignment="1" applyProtection="0">
      <alignment vertical="bottom"/>
    </xf>
    <xf numFmtId="49" fontId="0" fillId="19" borderId="104" applyNumberFormat="1" applyFont="1" applyFill="1" applyBorder="1" applyAlignment="1" applyProtection="0">
      <alignment vertical="bottom"/>
    </xf>
    <xf numFmtId="0" fontId="0" fillId="17" borderId="31" applyNumberFormat="1" applyFont="1" applyFill="1" applyBorder="1" applyAlignment="1" applyProtection="0">
      <alignment vertical="bottom"/>
    </xf>
    <xf numFmtId="0" fontId="0" fillId="2" borderId="103" applyNumberFormat="0" applyFont="1" applyFill="1" applyBorder="1" applyAlignment="1" applyProtection="0">
      <alignment vertical="bottom"/>
    </xf>
    <xf numFmtId="0" fontId="0" fillId="4" borderId="97" applyNumberFormat="0" applyFont="1" applyFill="1" applyBorder="1" applyAlignment="1" applyProtection="0">
      <alignment vertical="top" wrapText="1"/>
    </xf>
    <xf numFmtId="0" fontId="0" fillId="19" borderId="104" applyNumberFormat="0" applyFont="1" applyFill="1" applyBorder="1" applyAlignment="1" applyProtection="0">
      <alignment vertical="bottom"/>
    </xf>
    <xf numFmtId="0" fontId="74" fillId="18" borderId="84" applyNumberFormat="1" applyFont="1" applyFill="1" applyBorder="1" applyAlignment="1" applyProtection="0">
      <alignment horizontal="left" vertical="bottom"/>
    </xf>
    <xf numFmtId="49" fontId="74" fillId="4" borderId="105" applyNumberFormat="1" applyFont="1" applyFill="1" applyBorder="1" applyAlignment="1" applyProtection="0">
      <alignment horizontal="left" vertical="bottom"/>
    </xf>
    <xf numFmtId="0" fontId="74" fillId="7" borderId="84" applyNumberFormat="1" applyFont="1" applyFill="1" applyBorder="1" applyAlignment="1" applyProtection="0">
      <alignment horizontal="left" vertical="bottom" wrapText="1"/>
    </xf>
    <xf numFmtId="49" fontId="74" fillId="18" borderId="84" applyNumberFormat="1" applyFont="1" applyFill="1" applyBorder="1" applyAlignment="1" applyProtection="0">
      <alignment horizontal="left" vertical="bottom"/>
    </xf>
    <xf numFmtId="49" fontId="74" fillId="18" borderId="84" applyNumberFormat="1" applyFont="1" applyFill="1" applyBorder="1" applyAlignment="1" applyProtection="0">
      <alignment vertical="bottom"/>
    </xf>
    <xf numFmtId="0" fontId="0" fillId="7" borderId="84" applyNumberFormat="1" applyFont="1" applyFill="1" applyBorder="1" applyAlignment="1" applyProtection="0">
      <alignment vertical="bottom"/>
    </xf>
    <xf numFmtId="49" fontId="0" fillId="4" borderId="105" applyNumberFormat="1" applyFont="1" applyFill="1" applyBorder="1" applyAlignment="1" applyProtection="0">
      <alignment vertical="bottom"/>
    </xf>
    <xf numFmtId="0" fontId="0" fillId="4" borderId="105" applyNumberFormat="0" applyFont="1" applyFill="1" applyBorder="1" applyAlignment="1" applyProtection="0">
      <alignment vertical="top" wrapText="1"/>
    </xf>
    <xf numFmtId="0" fontId="0" fillId="2" borderId="106" applyNumberFormat="0" applyFont="1" applyFill="1" applyBorder="1" applyAlignment="1" applyProtection="0">
      <alignment vertical="bottom"/>
    </xf>
    <xf numFmtId="0" fontId="0" fillId="19" borderId="107" applyNumberFormat="0" applyFont="1" applyFill="1" applyBorder="1" applyAlignment="1" applyProtection="0">
      <alignment vertical="bottom"/>
    </xf>
    <xf numFmtId="0" fontId="0" fillId="17" borderId="84" applyNumberFormat="1" applyFont="1" applyFill="1" applyBorder="1" applyAlignment="1" applyProtection="0">
      <alignment vertical="bottom"/>
    </xf>
    <xf numFmtId="0" fontId="74" fillId="18" borderId="82" applyNumberFormat="1" applyFont="1" applyFill="1" applyBorder="1" applyAlignment="1" applyProtection="0">
      <alignment horizontal="left" vertical="bottom"/>
    </xf>
    <xf numFmtId="49" fontId="74" fillId="4" borderId="99" applyNumberFormat="1" applyFont="1" applyFill="1" applyBorder="1" applyAlignment="1" applyProtection="0">
      <alignment horizontal="left" vertical="bottom"/>
    </xf>
    <xf numFmtId="0" fontId="0" fillId="4" borderId="99" applyNumberFormat="0" applyFont="1" applyFill="1" applyBorder="1" applyAlignment="1" applyProtection="0">
      <alignment vertical="top" wrapText="1"/>
    </xf>
    <xf numFmtId="0" fontId="0" fillId="4" borderId="99" applyNumberFormat="0" applyFont="1" applyFill="1" applyBorder="1" applyAlignment="1" applyProtection="0">
      <alignment vertical="bottom"/>
    </xf>
    <xf numFmtId="49" fontId="75" fillId="4" borderId="105" applyNumberFormat="1" applyFont="1" applyFill="1" applyBorder="1" applyAlignment="1" applyProtection="0">
      <alignment horizontal="left" vertical="top" wrapText="1"/>
    </xf>
    <xf numFmtId="0" fontId="0" fillId="4" borderId="105" applyNumberFormat="0" applyFont="1" applyFill="1" applyBorder="1" applyAlignment="1" applyProtection="0">
      <alignment vertical="bottom"/>
    </xf>
    <xf numFmtId="0" fontId="74" fillId="18" borderId="108" applyNumberFormat="1" applyFont="1" applyFill="1" applyBorder="1" applyAlignment="1" applyProtection="0">
      <alignment horizontal="left" vertical="bottom"/>
    </xf>
    <xf numFmtId="49" fontId="74" fillId="4" borderId="109" applyNumberFormat="1" applyFont="1" applyFill="1" applyBorder="1" applyAlignment="1" applyProtection="0">
      <alignment horizontal="left" vertical="bottom"/>
    </xf>
    <xf numFmtId="0" fontId="74" fillId="7" borderId="108" applyNumberFormat="1" applyFont="1" applyFill="1" applyBorder="1" applyAlignment="1" applyProtection="0">
      <alignment horizontal="left" vertical="bottom" wrapText="1"/>
    </xf>
    <xf numFmtId="49" fontId="74" fillId="18" borderId="108" applyNumberFormat="1" applyFont="1" applyFill="1" applyBorder="1" applyAlignment="1" applyProtection="0">
      <alignment horizontal="left" vertical="bottom"/>
    </xf>
    <xf numFmtId="49" fontId="74" fillId="18" borderId="108" applyNumberFormat="1" applyFont="1" applyFill="1" applyBorder="1" applyAlignment="1" applyProtection="0">
      <alignment vertical="bottom"/>
    </xf>
    <xf numFmtId="49" fontId="0" fillId="18" borderId="108" applyNumberFormat="1" applyFont="1" applyFill="1" applyBorder="1" applyAlignment="1" applyProtection="0">
      <alignment vertical="center"/>
    </xf>
    <xf numFmtId="0" fontId="0" fillId="7" borderId="108" applyNumberFormat="1" applyFont="1" applyFill="1" applyBorder="1" applyAlignment="1" applyProtection="0">
      <alignment vertical="bottom"/>
    </xf>
    <xf numFmtId="0" fontId="0" fillId="4" borderId="109" applyNumberFormat="0" applyFont="1" applyFill="1" applyBorder="1" applyAlignment="1" applyProtection="0">
      <alignment vertical="bottom"/>
    </xf>
    <xf numFmtId="0" fontId="0" fillId="4" borderId="109" applyNumberFormat="0" applyFont="1" applyFill="1" applyBorder="1" applyAlignment="1" applyProtection="0">
      <alignment vertical="top" wrapText="1"/>
    </xf>
    <xf numFmtId="0" fontId="0" fillId="17" borderId="108" applyNumberFormat="1" applyFont="1" applyFill="1" applyBorder="1" applyAlignment="1" applyProtection="0">
      <alignment vertical="bottom"/>
    </xf>
    <xf numFmtId="49" fontId="0" fillId="4" borderId="109" applyNumberFormat="1" applyFont="1" applyFill="1" applyBorder="1" applyAlignment="1" applyProtection="0">
      <alignment vertical="bottom"/>
    </xf>
    <xf numFmtId="0" fontId="0" fillId="7" borderId="110" applyNumberFormat="1" applyFont="1" applyFill="1" applyBorder="1" applyAlignment="1" applyProtection="0">
      <alignment vertical="bottom"/>
    </xf>
    <xf numFmtId="49" fontId="0" fillId="4" borderId="111" applyNumberFormat="1" applyFont="1" applyFill="1" applyBorder="1" applyAlignment="1" applyProtection="0">
      <alignment vertical="bottom"/>
    </xf>
    <xf numFmtId="0" fontId="0" fillId="7" borderId="110" applyNumberFormat="1" applyFont="1" applyFill="1" applyBorder="1" applyAlignment="1" applyProtection="0">
      <alignment vertical="bottom" wrapText="1"/>
    </xf>
    <xf numFmtId="49" fontId="0" borderId="111" applyNumberFormat="1" applyFont="1" applyFill="0" applyBorder="1" applyAlignment="1" applyProtection="0">
      <alignment vertical="bottom"/>
    </xf>
    <xf numFmtId="49" fontId="0" fillId="4" borderId="111" applyNumberFormat="1" applyFont="1" applyFill="1" applyBorder="1" applyAlignment="1" applyProtection="0">
      <alignment vertical="center"/>
    </xf>
    <xf numFmtId="49" fontId="0" fillId="4" borderId="111" applyNumberFormat="1" applyFont="1" applyFill="1" applyBorder="1" applyAlignment="1" applyProtection="0">
      <alignment vertical="top" wrapText="1"/>
    </xf>
    <xf numFmtId="49" fontId="0" fillId="2" borderId="112" applyNumberFormat="1" applyFont="1" applyFill="1" applyBorder="1" applyAlignment="1" applyProtection="0">
      <alignment vertical="bottom"/>
    </xf>
    <xf numFmtId="49" fontId="0" fillId="19" borderId="113" applyNumberFormat="1" applyFont="1" applyFill="1" applyBorder="1" applyAlignment="1" applyProtection="0">
      <alignment vertical="bottom"/>
    </xf>
    <xf numFmtId="0" fontId="0" fillId="17" borderId="110" applyNumberFormat="1" applyFont="1" applyFill="1" applyBorder="1" applyAlignment="1" applyProtection="0">
      <alignment vertical="bottom"/>
    </xf>
    <xf numFmtId="0" fontId="74" fillId="7" borderId="31" applyNumberFormat="1" applyFont="1" applyFill="1" applyBorder="1" applyAlignment="1" applyProtection="0">
      <alignment horizontal="left" vertical="bottom"/>
    </xf>
    <xf numFmtId="49" fontId="74" borderId="97" applyNumberFormat="1" applyFont="1" applyFill="0" applyBorder="1" applyAlignment="1" applyProtection="0">
      <alignment vertical="bottom"/>
    </xf>
    <xf numFmtId="49" fontId="0" fillId="4" borderId="97" applyNumberFormat="1" applyFont="1" applyFill="1" applyBorder="1" applyAlignment="1" applyProtection="0">
      <alignment vertical="center"/>
    </xf>
    <xf numFmtId="0" fontId="74" fillId="7" borderId="84" applyNumberFormat="1" applyFont="1" applyFill="1" applyBorder="1" applyAlignment="1" applyProtection="0">
      <alignment horizontal="left" vertical="bottom"/>
    </xf>
    <xf numFmtId="49" fontId="74" borderId="105" applyNumberFormat="1" applyFont="1" applyFill="0" applyBorder="1" applyAlignment="1" applyProtection="0">
      <alignment vertical="bottom"/>
    </xf>
    <xf numFmtId="0" fontId="74" fillId="7" borderId="82" applyNumberFormat="1" applyFont="1" applyFill="1" applyBorder="1" applyAlignment="1" applyProtection="0">
      <alignment horizontal="left" vertical="bottom"/>
    </xf>
    <xf numFmtId="49" fontId="0" borderId="99" applyNumberFormat="1" applyFont="1" applyFill="0" applyBorder="1" applyAlignment="1" applyProtection="0">
      <alignment vertical="bottom"/>
    </xf>
    <xf numFmtId="49" fontId="0" fillId="4" borderId="114" applyNumberFormat="1" applyFont="1" applyFill="1" applyBorder="1" applyAlignment="1" applyProtection="0">
      <alignment vertical="bottom"/>
    </xf>
    <xf numFmtId="49" fontId="0" fillId="20" borderId="31" applyNumberFormat="1" applyFont="1" applyFill="1" applyBorder="1" applyAlignment="1" applyProtection="0">
      <alignment vertical="bottom"/>
    </xf>
    <xf numFmtId="49" fontId="0" fillId="4" borderId="84" applyNumberFormat="1" applyFont="1" applyFill="1" applyBorder="1" applyAlignment="1" applyProtection="0">
      <alignment vertical="bottom"/>
    </xf>
    <xf numFmtId="49" fontId="74" borderId="109" applyNumberFormat="1" applyFont="1" applyFill="0" applyBorder="1" applyAlignment="1" applyProtection="0">
      <alignment vertical="bottom"/>
    </xf>
    <xf numFmtId="49" fontId="0" fillId="4" borderId="114" applyNumberFormat="1" applyFont="1" applyFill="1" applyBorder="1" applyAlignment="1" applyProtection="0">
      <alignment vertical="center"/>
    </xf>
    <xf numFmtId="49" fontId="0" fillId="18" borderId="110" applyNumberFormat="1" applyFont="1" applyFill="1" applyBorder="1" applyAlignment="1" applyProtection="0">
      <alignment vertical="bottom"/>
    </xf>
    <xf numFmtId="49" fontId="75" fillId="4" borderId="99" applyNumberFormat="1" applyFont="1" applyFill="1" applyBorder="1" applyAlignment="1" applyProtection="0">
      <alignment horizontal="left" vertical="top" wrapText="1"/>
    </xf>
    <xf numFmtId="49" fontId="0" fillId="4" borderId="105" applyNumberFormat="1" applyFont="1" applyFill="1" applyBorder="1" applyAlignment="1" applyProtection="0">
      <alignment vertical="top" wrapText="1"/>
    </xf>
    <xf numFmtId="0" fontId="0" fillId="4" borderId="115" applyNumberFormat="0" applyFont="1" applyFill="1" applyBorder="1" applyAlignment="1" applyProtection="0">
      <alignment vertical="bottom"/>
    </xf>
    <xf numFmtId="0" fontId="0" fillId="17" borderId="41" applyNumberFormat="1" applyFont="1" applyFill="1" applyBorder="1" applyAlignment="1" applyProtection="0">
      <alignment vertical="bottom"/>
    </xf>
    <xf numFmtId="49" fontId="0" fillId="4" borderId="116" applyNumberFormat="1" applyFont="1" applyFill="1" applyBorder="1" applyAlignment="1" applyProtection="0">
      <alignment vertical="bottom"/>
    </xf>
    <xf numFmtId="0" fontId="0" fillId="4" borderId="117" applyNumberFormat="0" applyFont="1" applyFill="1" applyBorder="1" applyAlignment="1" applyProtection="0">
      <alignment vertical="bottom"/>
    </xf>
    <xf numFmtId="0" fontId="0" fillId="17" borderId="5" applyNumberFormat="1" applyFont="1" applyFill="1" applyBorder="1" applyAlignment="1" applyProtection="0">
      <alignment vertical="bottom"/>
    </xf>
    <xf numFmtId="49" fontId="0" fillId="4" borderId="118" applyNumberFormat="1" applyFont="1" applyFill="1" applyBorder="1" applyAlignment="1" applyProtection="0">
      <alignment vertical="bottom"/>
    </xf>
    <xf numFmtId="0" fontId="74" fillId="4" borderId="99" applyNumberFormat="0" applyFont="1" applyFill="1" applyBorder="1" applyAlignment="1" applyProtection="0">
      <alignment horizontal="left" vertical="bottom"/>
    </xf>
    <xf numFmtId="0" fontId="74" fillId="4" borderId="97" applyNumberFormat="0" applyFont="1" applyFill="1" applyBorder="1" applyAlignment="1" applyProtection="0">
      <alignment horizontal="left" vertical="bottom"/>
    </xf>
    <xf numFmtId="49" fontId="0" fillId="4" borderId="97" applyNumberFormat="1" applyFont="1" applyFill="1" applyBorder="1" applyAlignment="1" applyProtection="0">
      <alignment vertical="top"/>
    </xf>
    <xf numFmtId="0" fontId="74" fillId="4" borderId="109" applyNumberFormat="0" applyFont="1" applyFill="1" applyBorder="1" applyAlignment="1" applyProtection="0">
      <alignment horizontal="left" vertical="bottom"/>
    </xf>
    <xf numFmtId="49" fontId="0" fillId="4" borderId="109" applyNumberFormat="1" applyFont="1" applyFill="1" applyBorder="1" applyAlignment="1" applyProtection="0">
      <alignment vertical="top" wrapText="1"/>
    </xf>
    <xf numFmtId="49" fontId="0" fillId="4" borderId="119" applyNumberFormat="1" applyFont="1" applyFill="1" applyBorder="1" applyAlignment="1" applyProtection="0">
      <alignment vertical="top" wrapText="1"/>
    </xf>
    <xf numFmtId="0" fontId="0" fillId="4" borderId="120" applyNumberFormat="0" applyFont="1" applyFill="1" applyBorder="1" applyAlignment="1" applyProtection="0">
      <alignment vertical="bottom"/>
    </xf>
    <xf numFmtId="0" fontId="0" fillId="4" borderId="121" applyNumberFormat="0" applyFont="1" applyFill="1" applyBorder="1" applyAlignment="1" applyProtection="0">
      <alignment vertical="bottom"/>
    </xf>
    <xf numFmtId="0" fontId="0" fillId="17" borderId="122" applyNumberFormat="1" applyFont="1" applyFill="1" applyBorder="1" applyAlignment="1" applyProtection="0">
      <alignment vertical="bottom"/>
    </xf>
    <xf numFmtId="49" fontId="0" fillId="4" borderId="123" applyNumberFormat="1" applyFont="1" applyFill="1" applyBorder="1" applyAlignment="1" applyProtection="0">
      <alignment vertical="bottom"/>
    </xf>
    <xf numFmtId="0" fontId="0" fillId="17" borderId="83" applyNumberFormat="1" applyFont="1" applyFill="1" applyBorder="1" applyAlignment="1" applyProtection="0">
      <alignment vertical="bottom"/>
    </xf>
    <xf numFmtId="49" fontId="0" fillId="4" borderId="124" applyNumberFormat="1" applyFont="1" applyFill="1" applyBorder="1" applyAlignment="1" applyProtection="0">
      <alignment vertical="bottom"/>
    </xf>
    <xf numFmtId="0" fontId="74" fillId="7" borderId="108" applyNumberFormat="1" applyFont="1" applyFill="1" applyBorder="1" applyAlignment="1" applyProtection="0">
      <alignment horizontal="left" vertical="bottom"/>
    </xf>
    <xf numFmtId="49" fontId="0" fillId="4" borderId="109" applyNumberFormat="1" applyFont="1" applyFill="1" applyBorder="1" applyAlignment="1" applyProtection="0">
      <alignment vertical="center"/>
    </xf>
    <xf numFmtId="0" fontId="0" fillId="18" borderId="110" applyNumberFormat="1" applyFont="1" applyFill="1" applyBorder="1" applyAlignment="1" applyProtection="0">
      <alignment vertical="bottom"/>
    </xf>
    <xf numFmtId="49" fontId="78" borderId="125" applyNumberFormat="1" applyFont="1" applyFill="0" applyBorder="1" applyAlignment="1" applyProtection="0">
      <alignment vertical="bottom"/>
    </xf>
    <xf numFmtId="49" fontId="0" fillId="4" borderId="126" applyNumberFormat="1" applyFont="1" applyFill="1" applyBorder="1" applyAlignment="1" applyProtection="0">
      <alignment vertical="center"/>
    </xf>
    <xf numFmtId="0" fontId="0" fillId="4" borderId="111" applyNumberFormat="0" applyFont="1" applyFill="1" applyBorder="1" applyAlignment="1" applyProtection="0">
      <alignment vertical="top" wrapText="1"/>
    </xf>
    <xf numFmtId="49" fontId="78" fillId="4" borderId="127" applyNumberFormat="1" applyFont="1" applyFill="1" applyBorder="1" applyAlignment="1" applyProtection="0">
      <alignment vertical="center"/>
    </xf>
    <xf numFmtId="49" fontId="0" fillId="4" borderId="96" applyNumberFormat="1" applyFont="1" applyFill="1" applyBorder="1" applyAlignment="1" applyProtection="0">
      <alignment vertical="center"/>
    </xf>
    <xf numFmtId="0" fontId="0" fillId="4" borderId="119" applyNumberFormat="0" applyFont="1" applyFill="1" applyBorder="1" applyAlignment="1" applyProtection="0">
      <alignment vertical="bottom"/>
    </xf>
    <xf numFmtId="0" fontId="0" fillId="4" borderId="128" applyNumberFormat="0" applyFont="1" applyFill="1" applyBorder="1" applyAlignment="1" applyProtection="0">
      <alignment vertical="bottom"/>
    </xf>
    <xf numFmtId="49" fontId="0" fillId="4" borderId="129" applyNumberFormat="1" applyFont="1" applyFill="1" applyBorder="1" applyAlignment="1" applyProtection="0">
      <alignment vertical="bottom"/>
    </xf>
    <xf numFmtId="0" fontId="0" fillId="4" borderId="96" applyNumberFormat="0" applyFont="1" applyFill="1" applyBorder="1" applyAlignment="1" applyProtection="0">
      <alignment vertical="center"/>
    </xf>
    <xf numFmtId="0" fontId="0" fillId="4" borderId="97" applyNumberFormat="0" applyFont="1" applyFill="1" applyBorder="1" applyAlignment="1" applyProtection="0">
      <alignment vertical="center"/>
    </xf>
    <xf numFmtId="0" fontId="0" fillId="4" borderId="130" applyNumberFormat="0" applyFont="1" applyFill="1" applyBorder="1" applyAlignment="1" applyProtection="0">
      <alignment vertical="bottom"/>
    </xf>
    <xf numFmtId="0" fontId="0" fillId="20" borderId="83" applyNumberFormat="0" applyFont="1" applyFill="1" applyBorder="1" applyAlignment="1" applyProtection="0">
      <alignment vertical="bottom"/>
    </xf>
    <xf numFmtId="0" fontId="0" fillId="4" borderId="124" applyNumberFormat="0" applyFont="1" applyFill="1" applyBorder="1" applyAlignment="1" applyProtection="0">
      <alignment vertical="bottom"/>
    </xf>
    <xf numFmtId="0" fontId="0" fillId="4" borderId="131" applyNumberFormat="0" applyFont="1" applyFill="1" applyBorder="1" applyAlignment="1" applyProtection="0">
      <alignment vertical="bottom"/>
    </xf>
    <xf numFmtId="49" fontId="0" fillId="4" borderId="128" applyNumberFormat="1" applyFont="1" applyFill="1" applyBorder="1" applyAlignment="1" applyProtection="0">
      <alignment vertical="bottom"/>
    </xf>
    <xf numFmtId="49" fontId="0" fillId="4" borderId="126" applyNumberFormat="1" applyFont="1" applyFill="1" applyBorder="1" applyAlignment="1" applyProtection="0">
      <alignment vertical="bottom"/>
    </xf>
    <xf numFmtId="0" fontId="0" fillId="4" borderId="98" applyNumberFormat="0" applyFont="1" applyFill="1" applyBorder="1" applyAlignment="1" applyProtection="0">
      <alignment vertical="bottom" wrapText="1"/>
    </xf>
    <xf numFmtId="0" fontId="0" fillId="4" borderId="15" applyNumberFormat="0" applyFont="1" applyFill="1" applyBorder="1" applyAlignment="1" applyProtection="0">
      <alignment vertical="bottom" wrapText="1"/>
    </xf>
    <xf numFmtId="0" fontId="70" fillId="21" borderId="83" applyNumberFormat="0" applyFont="1" applyFill="1" applyBorder="1" applyAlignment="1" applyProtection="0">
      <alignment vertical="center" wrapText="1"/>
    </xf>
    <xf numFmtId="49" fontId="0" fillId="4" borderId="99" applyNumberFormat="1" applyFont="1" applyFill="1" applyBorder="1" applyAlignment="1" applyProtection="0">
      <alignment horizontal="justify" vertical="top"/>
    </xf>
    <xf numFmtId="49" fontId="0" fillId="4" borderId="99" applyNumberFormat="1" applyFont="1" applyFill="1" applyBorder="1" applyAlignment="1" applyProtection="0">
      <alignment horizontal="justify" vertical="top" wrapText="1"/>
    </xf>
    <xf numFmtId="49" fontId="0" fillId="4" borderId="97" applyNumberFormat="1" applyFont="1" applyFill="1" applyBorder="1" applyAlignment="1" applyProtection="0">
      <alignment horizontal="justify" vertical="center"/>
    </xf>
    <xf numFmtId="49" fontId="0" fillId="4" borderId="132" applyNumberFormat="1" applyFont="1" applyFill="1" applyBorder="1" applyAlignment="1" applyProtection="0">
      <alignment vertical="center"/>
    </xf>
    <xf numFmtId="49" fontId="0" fillId="4" borderId="133" applyNumberFormat="1" applyFont="1" applyFill="1" applyBorder="1" applyAlignment="1" applyProtection="0">
      <alignment vertical="bottom"/>
    </xf>
    <xf numFmtId="49" fontId="0" fillId="4" borderId="105" applyNumberFormat="1" applyFont="1" applyFill="1" applyBorder="1" applyAlignment="1" applyProtection="0">
      <alignment vertical="center"/>
    </xf>
    <xf numFmtId="0" fontId="0" fillId="22" borderId="84" applyNumberFormat="1" applyFont="1" applyFill="1" applyBorder="1" applyAlignment="1" applyProtection="0">
      <alignment vertical="bottom"/>
    </xf>
    <xf numFmtId="49" fontId="0" fillId="22" borderId="84" applyNumberFormat="1" applyFont="1" applyFill="1" applyBorder="1" applyAlignment="1" applyProtection="0">
      <alignment vertical="bottom"/>
    </xf>
    <xf numFmtId="49" fontId="0" fillId="4" borderId="98" applyNumberFormat="1" applyFont="1" applyFill="1" applyBorder="1" applyAlignment="1" applyProtection="0">
      <alignment vertical="bottom"/>
    </xf>
    <xf numFmtId="49" fontId="0" fillId="4" borderId="134" applyNumberFormat="1" applyFont="1" applyFill="1" applyBorder="1" applyAlignment="1" applyProtection="0">
      <alignment vertical="bottom"/>
    </xf>
    <xf numFmtId="49" fontId="0" fillId="4" borderId="99" applyNumberFormat="1" applyFont="1" applyFill="1" applyBorder="1" applyAlignment="1" applyProtection="0">
      <alignment vertical="center"/>
    </xf>
    <xf numFmtId="0" fontId="0" fillId="22" borderId="82" applyNumberFormat="1" applyFont="1" applyFill="1" applyBorder="1" applyAlignment="1" applyProtection="0">
      <alignment vertical="bottom"/>
    </xf>
    <xf numFmtId="49" fontId="0" fillId="22" borderId="82" applyNumberFormat="1" applyFont="1" applyFill="1" applyBorder="1" applyAlignment="1" applyProtection="0">
      <alignment vertical="bottom"/>
    </xf>
    <xf numFmtId="49" fontId="0" fillId="4" borderId="132" applyNumberFormat="1" applyFont="1" applyFill="1" applyBorder="1" applyAlignment="1" applyProtection="0">
      <alignment vertical="bottom"/>
    </xf>
    <xf numFmtId="49" fontId="0" fillId="17" borderId="31" applyNumberFormat="1" applyFont="1" applyFill="1" applyBorder="1" applyAlignment="1" applyProtection="0">
      <alignment vertical="bottom"/>
    </xf>
    <xf numFmtId="49" fontId="0" fillId="17" borderId="84" applyNumberFormat="1" applyFont="1" applyFill="1" applyBorder="1" applyAlignment="1" applyProtection="0">
      <alignment vertical="bottom"/>
    </xf>
    <xf numFmtId="49" fontId="0" fillId="4" borderId="99" applyNumberFormat="1" applyFont="1" applyFill="1" applyBorder="1" applyAlignment="1" applyProtection="0">
      <alignment vertical="bottom" wrapText="1"/>
    </xf>
    <xf numFmtId="0" fontId="0" fillId="18" borderId="31" applyNumberFormat="0" applyFont="1" applyFill="1" applyBorder="1" applyAlignment="1" applyProtection="0">
      <alignment vertical="center"/>
    </xf>
    <xf numFmtId="0" fontId="0" fillId="17" borderId="31" applyNumberFormat="0" applyFont="1" applyFill="1" applyBorder="1" applyAlignment="1" applyProtection="0">
      <alignment vertical="bottom"/>
    </xf>
    <xf numFmtId="0" fontId="0" fillId="17" borderId="84" applyNumberFormat="0" applyFont="1" applyFill="1" applyBorder="1" applyAlignment="1" applyProtection="0">
      <alignment vertical="bottom"/>
    </xf>
    <xf numFmtId="0" fontId="0" fillId="4" borderId="102" applyNumberFormat="0" applyFont="1" applyFill="1" applyBorder="1" applyAlignment="1" applyProtection="0">
      <alignment vertical="bottom" wrapText="1"/>
    </xf>
    <xf numFmtId="0" fontId="0" borderId="102" applyNumberFormat="0" applyFont="1" applyFill="0" applyBorder="1" applyAlignment="1" applyProtection="0">
      <alignment vertical="bottom"/>
    </xf>
    <xf numFmtId="0" fontId="0" fillId="4" borderId="135" applyNumberFormat="0" applyFont="1" applyFill="1" applyBorder="1" applyAlignment="1" applyProtection="0">
      <alignment vertical="center"/>
    </xf>
    <xf numFmtId="0" fontId="0" fillId="4" borderId="102" applyNumberFormat="0" applyFont="1" applyFill="1" applyBorder="1" applyAlignment="1" applyProtection="0">
      <alignment vertical="top" wrapText="1"/>
    </xf>
    <xf numFmtId="0" fontId="0" fillId="4" borderId="136" applyNumberFormat="0" applyFont="1" applyFill="1" applyBorder="1" applyAlignment="1" applyProtection="0">
      <alignment vertical="bottom"/>
    </xf>
    <xf numFmtId="0" fontId="0" fillId="17" borderId="41" applyNumberFormat="0" applyFont="1" applyFill="1" applyBorder="1" applyAlignment="1" applyProtection="0">
      <alignment vertical="bottom"/>
    </xf>
    <xf numFmtId="0" fontId="0" fillId="4" borderId="129" applyNumberFormat="0" applyFont="1" applyFill="1" applyBorder="1" applyAlignment="1" applyProtection="0">
      <alignment vertical="bottom"/>
    </xf>
    <xf numFmtId="0" fontId="0" fillId="4" borderId="15" applyNumberFormat="0" applyFont="1" applyFill="1" applyBorder="1" applyAlignment="1" applyProtection="0">
      <alignment vertical="center"/>
    </xf>
    <xf numFmtId="0" fontId="0" fillId="4" borderId="15" applyNumberFormat="0" applyFont="1" applyFill="1" applyBorder="1" applyAlignment="1" applyProtection="0">
      <alignment vertical="top" wrapText="1"/>
    </xf>
    <xf numFmtId="0" fontId="0" fillId="4" borderId="137" applyNumberFormat="0" applyFont="1" applyFill="1" applyBorder="1" applyAlignment="1" applyProtection="0">
      <alignment vertical="bottom"/>
    </xf>
    <xf numFmtId="0" fontId="0" fillId="17" borderId="5" applyNumberFormat="0" applyFont="1" applyFill="1" applyBorder="1" applyAlignment="1" applyProtection="0">
      <alignment vertical="bottom"/>
    </xf>
    <xf numFmtId="0" fontId="0" fillId="17" borderId="8" applyNumberFormat="0" applyFont="1" applyFill="1" applyBorder="1" applyAlignment="1" applyProtection="0">
      <alignment vertical="bottom"/>
    </xf>
    <xf numFmtId="0" fontId="0" applyNumberFormat="1" applyFont="1" applyFill="0" applyBorder="0" applyAlignment="1" applyProtection="0">
      <alignment vertical="bottom"/>
    </xf>
    <xf numFmtId="49" fontId="78" borderId="121" applyNumberFormat="1" applyFont="1" applyFill="0" applyBorder="1" applyAlignment="1" applyProtection="0">
      <alignment vertical="bottom"/>
    </xf>
    <xf numFmtId="49" fontId="0" borderId="138" applyNumberFormat="1" applyFont="1" applyFill="0" applyBorder="1" applyAlignment="1" applyProtection="0">
      <alignment vertical="bottom"/>
    </xf>
    <xf numFmtId="0" fontId="80" borderId="46" applyNumberFormat="1" applyFont="1" applyFill="0" applyBorder="1" applyAlignment="1" applyProtection="0">
      <alignment vertical="bottom"/>
    </xf>
    <xf numFmtId="49" fontId="81" borderId="139" applyNumberFormat="1" applyFont="1" applyFill="0" applyBorder="1" applyAlignment="1" applyProtection="0">
      <alignment vertical="bottom"/>
    </xf>
    <xf numFmtId="49" fontId="82" borderId="30" applyNumberFormat="1" applyFont="1" applyFill="0" applyBorder="1" applyAlignment="1" applyProtection="0">
      <alignment vertical="bottom"/>
    </xf>
    <xf numFmtId="0" fontId="82" borderId="30" applyNumberFormat="1" applyFont="1" applyFill="0" applyBorder="1" applyAlignment="1" applyProtection="0">
      <alignment vertical="bottom"/>
    </xf>
    <xf numFmtId="0" fontId="0" borderId="140" applyNumberFormat="0" applyFont="1" applyFill="0" applyBorder="1" applyAlignment="1" applyProtection="0">
      <alignment vertical="bottom"/>
    </xf>
    <xf numFmtId="0" fontId="80" fillId="4" borderId="141" applyNumberFormat="1" applyFont="1" applyFill="1" applyBorder="1" applyAlignment="1" applyProtection="0">
      <alignment horizontal="center" vertical="center" wrapText="1"/>
    </xf>
    <xf numFmtId="49" fontId="0" borderId="141" applyNumberFormat="1" applyFont="1" applyFill="0" applyBorder="1" applyAlignment="1" applyProtection="0">
      <alignment vertical="bottom"/>
    </xf>
    <xf numFmtId="0" fontId="0" borderId="141" applyNumberFormat="1" applyFont="1" applyFill="0" applyBorder="1" applyAlignment="1" applyProtection="0">
      <alignment vertical="bottom"/>
    </xf>
    <xf numFmtId="0" fontId="0" borderId="142" applyNumberFormat="0" applyFont="1" applyFill="0" applyBorder="1" applyAlignment="1" applyProtection="0">
      <alignment vertical="bottom"/>
    </xf>
    <xf numFmtId="0" fontId="82" borderId="82" applyNumberFormat="1" applyFont="1" applyFill="0" applyBorder="1" applyAlignment="1" applyProtection="0">
      <alignment vertical="bottom"/>
    </xf>
    <xf numFmtId="0" fontId="0" borderId="6" applyNumberFormat="1" applyFont="1" applyFill="0" applyBorder="1" applyAlignment="1" applyProtection="0">
      <alignment vertical="bottom"/>
    </xf>
    <xf numFmtId="0" fontId="0" borderId="143" applyNumberFormat="1" applyFont="1" applyFill="0" applyBorder="1" applyAlignment="1" applyProtection="0">
      <alignment vertical="bottom"/>
    </xf>
    <xf numFmtId="49" fontId="0" borderId="45" applyNumberFormat="1" applyFont="1" applyFill="0" applyBorder="1" applyAlignment="1" applyProtection="0">
      <alignment vertical="bottom"/>
    </xf>
    <xf numFmtId="0" fontId="0" borderId="45" applyNumberFormat="1" applyFont="1" applyFill="0" applyBorder="1" applyAlignment="1" applyProtection="0">
      <alignment vertical="bottom"/>
    </xf>
    <xf numFmtId="0" fontId="82" borderId="31" applyNumberFormat="1" applyFont="1" applyFill="0" applyBorder="1" applyAlignment="1" applyProtection="0">
      <alignment vertical="bottom"/>
    </xf>
    <xf numFmtId="0" fontId="82" borderId="31" applyNumberFormat="0" applyFont="1" applyFill="0" applyBorder="1" applyAlignment="1" applyProtection="0">
      <alignment vertical="bottom"/>
    </xf>
    <xf numFmtId="0" fontId="82" borderId="84" applyNumberFormat="1" applyFont="1" applyFill="0" applyBorder="1" applyAlignment="1" applyProtection="0">
      <alignment vertical="bottom"/>
    </xf>
    <xf numFmtId="0" fontId="82" borderId="84" applyNumberFormat="0" applyFont="1" applyFill="0" applyBorder="1" applyAlignment="1" applyProtection="0">
      <alignment vertical="bottom"/>
    </xf>
    <xf numFmtId="0" fontId="83" borderId="41" applyNumberFormat="0" applyFont="1" applyFill="0" applyBorder="1" applyAlignment="1" applyProtection="0">
      <alignment vertical="bottom"/>
    </xf>
    <xf numFmtId="0" fontId="83" borderId="41" applyNumberFormat="1" applyFont="1" applyFill="0" applyBorder="1" applyAlignment="1" applyProtection="0">
      <alignment vertical="bottom"/>
    </xf>
    <xf numFmtId="0" fontId="0" borderId="144" applyNumberFormat="1" applyFont="1" applyFill="0" applyBorder="1" applyAlignment="1" applyProtection="0">
      <alignment vertical="bottom"/>
    </xf>
    <xf numFmtId="49" fontId="78" borderId="145" applyNumberFormat="1" applyFont="1" applyFill="0" applyBorder="1" applyAlignment="1" applyProtection="0">
      <alignment vertical="bottom"/>
    </xf>
    <xf numFmtId="0" fontId="0" borderId="145" applyNumberFormat="1" applyFont="1" applyFill="0" applyBorder="1" applyAlignment="1" applyProtection="0">
      <alignment vertical="bottom"/>
    </xf>
    <xf numFmtId="0" fontId="0" fillId="17" borderId="145" applyNumberFormat="1" applyFont="1" applyFill="1" applyBorder="1" applyAlignment="1" applyProtection="0">
      <alignment vertical="bottom"/>
    </xf>
    <xf numFmtId="0" fontId="84" fillId="17" borderId="146" applyNumberFormat="1" applyFont="1" applyFill="1" applyBorder="1" applyAlignment="1" applyProtection="0">
      <alignment horizontal="center" vertical="bottom"/>
    </xf>
    <xf numFmtId="0" fontId="78" fillId="4" borderId="45" applyNumberFormat="1" applyFont="1" applyFill="1" applyBorder="1" applyAlignment="1" applyProtection="0">
      <alignment vertical="center" wrapText="1"/>
    </xf>
    <xf numFmtId="0" fontId="84" borderId="147" applyNumberFormat="1" applyFont="1" applyFill="0" applyBorder="1" applyAlignment="1" applyProtection="0">
      <alignment horizontal="center" vertical="bottom"/>
    </xf>
    <xf numFmtId="0" fontId="84" borderId="47" applyNumberFormat="1" applyFont="1" applyFill="0" applyBorder="1" applyAlignment="1" applyProtection="0">
      <alignment horizontal="center" vertical="bottom"/>
    </xf>
    <xf numFmtId="0" fontId="78" fillId="4" borderId="145" applyNumberFormat="1" applyFont="1" applyFill="1" applyBorder="1" applyAlignment="1" applyProtection="0">
      <alignment vertical="center" wrapText="1"/>
    </xf>
    <xf numFmtId="0" fontId="0" borderId="148" applyNumberFormat="0" applyFont="1" applyFill="0" applyBorder="1" applyAlignment="1" applyProtection="0">
      <alignment vertical="bottom"/>
    </xf>
    <xf numFmtId="0" fontId="0" borderId="4" applyNumberFormat="0" applyFont="1" applyFill="0" applyBorder="1" applyAlignment="1" applyProtection="0">
      <alignment vertical="bottom"/>
    </xf>
    <xf numFmtId="49" fontId="0" borderId="4" applyNumberFormat="1" applyFont="1" applyFill="0" applyBorder="1" applyAlignment="1" applyProtection="0">
      <alignment vertical="bottom"/>
    </xf>
    <xf numFmtId="0" fontId="0" borderId="149" applyNumberFormat="0" applyFont="1" applyFill="0" applyBorder="1" applyAlignment="1" applyProtection="0">
      <alignment vertical="bottom"/>
    </xf>
    <xf numFmtId="0" fontId="0" borderId="122" applyNumberFormat="0" applyFont="1" applyFill="0" applyBorder="1" applyAlignment="1" applyProtection="0">
      <alignment vertical="bottom"/>
    </xf>
    <xf numFmtId="0" fontId="78" borderId="122" applyNumberFormat="0" applyFont="1" applyFill="0" applyBorder="1" applyAlignment="1" applyProtection="0">
      <alignment vertical="bottom"/>
    </xf>
    <xf numFmtId="49" fontId="0" borderId="147" applyNumberFormat="1" applyFont="1" applyFill="0" applyBorder="1" applyAlignment="1" applyProtection="0">
      <alignment vertical="bottom"/>
    </xf>
    <xf numFmtId="0" fontId="0" borderId="150" applyNumberFormat="0" applyFont="1" applyFill="0" applyBorder="1" applyAlignment="1" applyProtection="0">
      <alignment vertical="bottom"/>
    </xf>
    <xf numFmtId="49" fontId="78" borderId="47" applyNumberFormat="1" applyFont="1" applyFill="0" applyBorder="1" applyAlignment="1" applyProtection="0">
      <alignment vertical="bottom"/>
    </xf>
    <xf numFmtId="49" fontId="0" borderId="47" applyNumberFormat="1" applyFont="1" applyFill="0" applyBorder="1" applyAlignment="1" applyProtection="0">
      <alignment vertical="bottom"/>
    </xf>
    <xf numFmtId="49" fontId="78" borderId="146" applyNumberFormat="1" applyFont="1" applyFill="0" applyBorder="1" applyAlignment="1" applyProtection="0">
      <alignment vertical="bottom"/>
    </xf>
    <xf numFmtId="0" fontId="0" borderId="151" applyNumberFormat="0" applyFont="1" applyFill="0" applyBorder="1" applyAlignment="1" applyProtection="0">
      <alignment vertical="bottom"/>
    </xf>
    <xf numFmtId="49" fontId="78" borderId="86" applyNumberFormat="1" applyFont="1" applyFill="0" applyBorder="1" applyAlignment="1" applyProtection="0">
      <alignment vertical="bottom"/>
    </xf>
    <xf numFmtId="49" fontId="0" borderId="145" applyNumberFormat="1" applyFont="1" applyFill="0" applyBorder="1" applyAlignment="1" applyProtection="0">
      <alignment vertical="bottom"/>
    </xf>
    <xf numFmtId="49" fontId="78" borderId="4" applyNumberFormat="1" applyFont="1" applyFill="0" applyBorder="1" applyAlignment="1" applyProtection="0">
      <alignment horizontal="center" vertical="bottom"/>
    </xf>
    <xf numFmtId="0" fontId="78" fillId="23" borderId="4" applyNumberFormat="0" applyFont="1" applyFill="1" applyBorder="1" applyAlignment="1" applyProtection="0">
      <alignment horizontal="center" vertical="bottom"/>
    </xf>
    <xf numFmtId="0" fontId="78" fillId="24" borderId="4" applyNumberFormat="0" applyFont="1" applyFill="1" applyBorder="1" applyAlignment="1" applyProtection="0">
      <alignment horizontal="center" vertical="bottom"/>
    </xf>
    <xf numFmtId="0" fontId="78" fillId="25" borderId="4" applyNumberFormat="0" applyFont="1" applyFill="1" applyBorder="1" applyAlignment="1" applyProtection="0">
      <alignment horizontal="center" vertical="bottom"/>
    </xf>
    <xf numFmtId="0" fontId="78" fillId="26" borderId="4" applyNumberFormat="0" applyFont="1" applyFill="1" applyBorder="1" applyAlignment="1" applyProtection="0">
      <alignment horizontal="center" vertical="bottom"/>
    </xf>
    <xf numFmtId="49" fontId="0" borderId="4" applyNumberFormat="1" applyFont="1" applyFill="0" applyBorder="1" applyAlignment="1" applyProtection="0">
      <alignment horizontal="center" vertical="bottom"/>
    </xf>
    <xf numFmtId="0" fontId="0" borderId="4" applyNumberFormat="0" applyFont="1" applyFill="0" applyBorder="1" applyAlignment="1" applyProtection="0">
      <alignment horizontal="center" vertical="bottom"/>
    </xf>
    <xf numFmtId="49" fontId="85" fillId="23" borderId="4" applyNumberFormat="1" applyFont="1" applyFill="1" applyBorder="1" applyAlignment="1" applyProtection="0">
      <alignment horizontal="center" vertical="bottom"/>
    </xf>
    <xf numFmtId="49" fontId="86" fillId="24" borderId="4" applyNumberFormat="1" applyFont="1" applyFill="1" applyBorder="1" applyAlignment="1" applyProtection="0">
      <alignment horizontal="center" vertical="bottom"/>
    </xf>
    <xf numFmtId="49" fontId="87" fillId="25" borderId="4" applyNumberFormat="1" applyFont="1" applyFill="1" applyBorder="1" applyAlignment="1" applyProtection="0">
      <alignment horizontal="center" vertical="bottom"/>
    </xf>
    <xf numFmtId="49" fontId="88" fillId="26" borderId="4" applyNumberFormat="1" applyFont="1" applyFill="1" applyBorder="1" applyAlignment="1" applyProtection="0">
      <alignment horizontal="center" vertical="bottom"/>
    </xf>
    <xf numFmtId="0" fontId="0" borderId="7" applyNumberFormat="0" applyFont="1" applyFill="0" applyBorder="1" applyAlignment="1" applyProtection="0">
      <alignment vertical="bottom"/>
    </xf>
    <xf numFmtId="0" fontId="0" applyNumberFormat="1" applyFont="1" applyFill="0" applyBorder="0" applyAlignment="1" applyProtection="0">
      <alignment vertical="bottom"/>
    </xf>
    <xf numFmtId="0" fontId="44" fillId="8" borderId="1" applyNumberFormat="0" applyFont="1" applyFill="1" applyBorder="1" applyAlignment="1" applyProtection="0">
      <alignment vertical="bottom"/>
    </xf>
    <xf numFmtId="49" fontId="89" fillId="8" borderId="2" applyNumberFormat="1" applyFont="1" applyFill="1" applyBorder="1" applyAlignment="1" applyProtection="0">
      <alignment horizontal="left" vertical="center"/>
    </xf>
    <xf numFmtId="0" fontId="90" fillId="8" borderId="2" applyNumberFormat="0" applyFont="1" applyFill="1" applyBorder="1" applyAlignment="1" applyProtection="0">
      <alignment horizontal="center" vertical="center" wrapText="1"/>
    </xf>
    <xf numFmtId="0" fontId="44" fillId="8" borderId="2" applyNumberFormat="0" applyFont="1" applyFill="1" applyBorder="1" applyAlignment="1" applyProtection="0">
      <alignment vertical="bottom"/>
    </xf>
    <xf numFmtId="0" fontId="90" fillId="8" borderId="2" applyNumberFormat="0" applyFont="1" applyFill="1" applyBorder="1" applyAlignment="1" applyProtection="0">
      <alignment vertical="center" wrapText="1"/>
    </xf>
    <xf numFmtId="49" fontId="89" fillId="8" borderId="2" applyNumberFormat="1" applyFont="1" applyFill="1" applyBorder="1" applyAlignment="1" applyProtection="0">
      <alignment horizontal="center" vertical="center"/>
    </xf>
    <xf numFmtId="0" fontId="44" fillId="8" borderId="3" applyNumberFormat="0" applyFont="1" applyFill="1" applyBorder="1" applyAlignment="1" applyProtection="0">
      <alignment vertical="bottom"/>
    </xf>
    <xf numFmtId="0" fontId="44" fillId="8" borderId="4" applyNumberFormat="0" applyFont="1" applyFill="1" applyBorder="1" applyAlignment="1" applyProtection="0">
      <alignment vertical="bottom"/>
    </xf>
    <xf numFmtId="0" fontId="44" fillId="8" borderId="5" applyNumberFormat="0" applyFont="1" applyFill="1" applyBorder="1" applyAlignment="1" applyProtection="0">
      <alignment vertical="bottom"/>
    </xf>
    <xf numFmtId="49" fontId="91" fillId="8" borderId="5" applyNumberFormat="1" applyFont="1" applyFill="1" applyBorder="1" applyAlignment="1" applyProtection="0">
      <alignment horizontal="center" vertical="top"/>
    </xf>
    <xf numFmtId="0" fontId="44" fillId="8" borderId="6" applyNumberFormat="0" applyFont="1" applyFill="1" applyBorder="1" applyAlignment="1" applyProtection="0">
      <alignment vertical="bottom"/>
    </xf>
    <xf numFmtId="49" fontId="92" borderId="5" applyNumberFormat="1" applyFont="1" applyFill="0" applyBorder="1" applyAlignment="1" applyProtection="0">
      <alignment vertical="bottom"/>
    </xf>
    <xf numFmtId="0" fontId="92" borderId="5" applyNumberFormat="0" applyFont="1" applyFill="0" applyBorder="1" applyAlignment="1" applyProtection="0">
      <alignment vertical="bottom"/>
    </xf>
    <xf numFmtId="0" fontId="93" borderId="5" applyNumberFormat="0" applyFont="1" applyFill="0" applyBorder="1" applyAlignment="1" applyProtection="0">
      <alignment vertical="bottom"/>
    </xf>
    <xf numFmtId="0" fontId="94" fillId="8" borderId="4" applyNumberFormat="0" applyFont="1" applyFill="1" applyBorder="1" applyAlignment="1" applyProtection="0">
      <alignment vertical="bottom"/>
    </xf>
    <xf numFmtId="0" fontId="94" borderId="5" applyNumberFormat="0" applyFont="1" applyFill="0" applyBorder="1" applyAlignment="1" applyProtection="0">
      <alignment vertical="bottom"/>
    </xf>
    <xf numFmtId="49" fontId="44" borderId="5" applyNumberFormat="1" applyFont="1" applyFill="0" applyBorder="1" applyAlignment="1" applyProtection="0">
      <alignment vertical="bottom"/>
    </xf>
    <xf numFmtId="0" fontId="44" borderId="5" applyNumberFormat="1" applyFont="1" applyFill="0" applyBorder="1" applyAlignment="1" applyProtection="0">
      <alignment vertical="bottom"/>
    </xf>
    <xf numFmtId="0" fontId="95" borderId="5" applyNumberFormat="0" applyFont="1" applyFill="0" applyBorder="1" applyAlignment="1" applyProtection="0">
      <alignment vertical="bottom"/>
    </xf>
    <xf numFmtId="49" fontId="51" fillId="27" borderId="5" applyNumberFormat="1" applyFont="1" applyFill="1" applyBorder="1" applyAlignment="1" applyProtection="0">
      <alignment horizontal="left" vertical="center"/>
    </xf>
    <xf numFmtId="0" fontId="94" fillId="27" borderId="5" applyNumberFormat="0" applyFont="1" applyFill="1" applyBorder="1" applyAlignment="1" applyProtection="0">
      <alignment vertical="bottom"/>
    </xf>
    <xf numFmtId="0" fontId="96" fillId="27" borderId="5" applyNumberFormat="0" applyFont="1" applyFill="1" applyBorder="1" applyAlignment="1" applyProtection="0">
      <alignment vertical="center"/>
    </xf>
    <xf numFmtId="0" fontId="95" fillId="27" borderId="5" applyNumberFormat="0" applyFont="1" applyFill="1" applyBorder="1" applyAlignment="1" applyProtection="0">
      <alignment horizontal="center" vertical="bottom"/>
    </xf>
    <xf numFmtId="49" fontId="95" fillId="27" borderId="5" applyNumberFormat="1" applyFont="1" applyFill="1" applyBorder="1" applyAlignment="1" applyProtection="0">
      <alignment horizontal="center" vertical="bottom"/>
    </xf>
    <xf numFmtId="0" fontId="95" fillId="27" borderId="5" applyNumberFormat="0" applyFont="1" applyFill="1" applyBorder="1" applyAlignment="1" applyProtection="0">
      <alignment vertical="bottom"/>
    </xf>
    <xf numFmtId="0" fontId="94" fillId="8" borderId="6" applyNumberFormat="0" applyFont="1" applyFill="1" applyBorder="1" applyAlignment="1" applyProtection="0">
      <alignment vertical="bottom"/>
    </xf>
    <xf numFmtId="0" fontId="97" fillId="8" borderId="4" applyNumberFormat="0" applyFont="1" applyFill="1" applyBorder="1" applyAlignment="1" applyProtection="0">
      <alignment vertical="bottom"/>
    </xf>
    <xf numFmtId="0" fontId="97" borderId="5" applyNumberFormat="0" applyFont="1" applyFill="0" applyBorder="1" applyAlignment="1" applyProtection="0">
      <alignment vertical="bottom"/>
    </xf>
    <xf numFmtId="0" fontId="98" fillId="4" borderId="5" applyNumberFormat="0" applyFont="1" applyFill="1" applyBorder="1" applyAlignment="1" applyProtection="0">
      <alignment vertical="bottom" wrapText="1"/>
    </xf>
    <xf numFmtId="49" fontId="99" borderId="5" applyNumberFormat="1" applyFont="1" applyFill="0" applyBorder="1" applyAlignment="1" applyProtection="0">
      <alignment horizontal="center" vertical="bottom"/>
    </xf>
    <xf numFmtId="0" fontId="97" fillId="8" borderId="6" applyNumberFormat="0" applyFont="1" applyFill="1" applyBorder="1" applyAlignment="1" applyProtection="0">
      <alignment vertical="bottom"/>
    </xf>
    <xf numFmtId="0" fontId="99" borderId="5" applyNumberFormat="0" applyFont="1" applyFill="0" applyBorder="1" applyAlignment="1" applyProtection="0">
      <alignment horizontal="center" vertical="bottom"/>
    </xf>
    <xf numFmtId="0" fontId="44" borderId="49" applyNumberFormat="0" applyFont="1" applyFill="0" applyBorder="1" applyAlignment="1" applyProtection="0">
      <alignment vertical="bottom"/>
    </xf>
    <xf numFmtId="0" fontId="44" fillId="4" borderId="49" applyNumberFormat="0" applyFont="1" applyFill="1" applyBorder="1" applyAlignment="1" applyProtection="0">
      <alignment vertical="center"/>
    </xf>
    <xf numFmtId="0" fontId="44" fillId="4" borderId="29" applyNumberFormat="0" applyFont="1" applyFill="1" applyBorder="1" applyAlignment="1" applyProtection="0">
      <alignment vertical="center"/>
    </xf>
    <xf numFmtId="49" fontId="100" fillId="4" borderId="30" applyNumberFormat="1" applyFont="1" applyFill="1" applyBorder="1" applyAlignment="1" applyProtection="0">
      <alignment horizontal="center" vertical="center"/>
    </xf>
    <xf numFmtId="0" fontId="100" fillId="4" borderId="30" applyNumberFormat="0" applyFont="1" applyFill="1" applyBorder="1" applyAlignment="1" applyProtection="0">
      <alignment horizontal="center" vertical="center"/>
    </xf>
    <xf numFmtId="0" fontId="44" borderId="83" applyNumberFormat="0" applyFont="1" applyFill="0" applyBorder="1" applyAlignment="1" applyProtection="0">
      <alignment vertical="bottom"/>
    </xf>
    <xf numFmtId="0" fontId="102" fillId="4" borderId="29" applyNumberFormat="0" applyFont="1" applyFill="1" applyBorder="1" applyAlignment="1" applyProtection="0">
      <alignment horizontal="left" vertical="center"/>
    </xf>
    <xf numFmtId="49" fontId="67" fillId="4" borderId="30" applyNumberFormat="1" applyFont="1" applyFill="1" applyBorder="1" applyAlignment="1" applyProtection="0">
      <alignment horizontal="center" vertical="center"/>
    </xf>
    <xf numFmtId="49" fontId="67" fillId="4" borderId="30" applyNumberFormat="1" applyFont="1" applyFill="1" applyBorder="1" applyAlignment="1" applyProtection="0">
      <alignment horizontal="center" vertical="center" wrapText="1"/>
    </xf>
    <xf numFmtId="0" fontId="44" fillId="4" borderId="31" applyNumberFormat="0" applyFont="1" applyFill="1" applyBorder="1" applyAlignment="1" applyProtection="0">
      <alignment vertical="center"/>
    </xf>
    <xf numFmtId="49" fontId="44" fillId="4" borderId="30" applyNumberFormat="1" applyFont="1" applyFill="1" applyBorder="1" applyAlignment="1" applyProtection="0">
      <alignment vertical="center"/>
    </xf>
    <xf numFmtId="49" fontId="44" fillId="4" borderId="30" applyNumberFormat="1" applyFont="1" applyFill="1" applyBorder="1" applyAlignment="1" applyProtection="0">
      <alignment vertical="center" wrapText="1"/>
    </xf>
    <xf numFmtId="0" fontId="44" borderId="152" applyNumberFormat="0" applyFont="1" applyFill="0" applyBorder="1" applyAlignment="1" applyProtection="0">
      <alignment vertical="bottom"/>
    </xf>
    <xf numFmtId="0" fontId="44" borderId="29" applyNumberFormat="0" applyFont="1" applyFill="0" applyBorder="1" applyAlignment="1" applyProtection="0">
      <alignment vertical="bottom"/>
    </xf>
    <xf numFmtId="49" fontId="44" borderId="31" applyNumberFormat="1" applyFont="1" applyFill="0" applyBorder="1" applyAlignment="1" applyProtection="0">
      <alignment vertical="bottom"/>
    </xf>
    <xf numFmtId="0" fontId="44" borderId="31" applyNumberFormat="1" applyFont="1" applyFill="0" applyBorder="1" applyAlignment="1" applyProtection="0">
      <alignment vertical="bottom"/>
    </xf>
    <xf numFmtId="49" fontId="44" fillId="4" borderId="31" applyNumberFormat="1" applyFont="1" applyFill="1" applyBorder="1" applyAlignment="1" applyProtection="0">
      <alignment vertical="bottom" wrapText="1"/>
    </xf>
    <xf numFmtId="49" fontId="101" fillId="9" borderId="30" applyNumberFormat="1" applyFont="1" applyFill="1" applyBorder="1" applyAlignment="1" applyProtection="0">
      <alignment horizontal="center" vertical="center" wrapText="1"/>
    </xf>
    <xf numFmtId="49" fontId="44" fillId="9" borderId="30" applyNumberFormat="1" applyFont="1" applyFill="1" applyBorder="1" applyAlignment="1" applyProtection="0">
      <alignment horizontal="left" vertical="center" wrapText="1"/>
    </xf>
    <xf numFmtId="49" fontId="103" fillId="9" borderId="30" applyNumberFormat="1" applyFont="1" applyFill="1" applyBorder="1" applyAlignment="1" applyProtection="0">
      <alignment horizontal="center" vertical="bottom" wrapText="1"/>
    </xf>
    <xf numFmtId="0" fontId="44" fillId="4" borderId="30" applyNumberFormat="0" applyFont="1" applyFill="1" applyBorder="1" applyAlignment="1" applyProtection="0">
      <alignment horizontal="left" vertical="center" wrapText="1"/>
    </xf>
    <xf numFmtId="0" fontId="44" borderId="31" applyNumberFormat="0" applyFont="1" applyFill="0" applyBorder="1" applyAlignment="1" applyProtection="0">
      <alignment vertical="bottom"/>
    </xf>
    <xf numFmtId="0" fontId="44" fillId="9" borderId="30" applyNumberFormat="0" applyFont="1" applyFill="1" applyBorder="1" applyAlignment="1" applyProtection="0">
      <alignment vertical="center" wrapText="1"/>
    </xf>
    <xf numFmtId="49" fontId="101" fillId="4" borderId="30" applyNumberFormat="1" applyFont="1" applyFill="1" applyBorder="1" applyAlignment="1" applyProtection="0">
      <alignment horizontal="center" vertical="center" wrapText="1"/>
    </xf>
    <xf numFmtId="49" fontId="103" fillId="4" borderId="30" applyNumberFormat="1" applyFont="1" applyFill="1" applyBorder="1" applyAlignment="1" applyProtection="0">
      <alignment horizontal="center" vertical="bottom" wrapText="1"/>
    </xf>
    <xf numFmtId="0" fontId="44" fillId="4" borderId="30" applyNumberFormat="0" applyFont="1" applyFill="1" applyBorder="1" applyAlignment="1" applyProtection="0">
      <alignment vertical="top" wrapText="1"/>
    </xf>
    <xf numFmtId="0" fontId="44" borderId="30" applyNumberFormat="0" applyFont="1" applyFill="0" applyBorder="1" applyAlignment="1" applyProtection="0">
      <alignment vertical="bottom"/>
    </xf>
    <xf numFmtId="0" fontId="104" borderId="30" applyNumberFormat="0" applyFont="1" applyFill="0" applyBorder="1" applyAlignment="1" applyProtection="0">
      <alignment vertical="bottom"/>
    </xf>
    <xf numFmtId="0" fontId="44" fillId="4" borderId="30" applyNumberFormat="0" applyFont="1" applyFill="1" applyBorder="1" applyAlignment="1" applyProtection="0">
      <alignment vertical="center" wrapText="1"/>
    </xf>
    <xf numFmtId="49" fontId="44" fillId="4" borderId="5" applyNumberFormat="1" applyFont="1" applyFill="1" applyBorder="1" applyAlignment="1" applyProtection="0">
      <alignment vertical="bottom" wrapText="1"/>
    </xf>
    <xf numFmtId="0" fontId="44" borderId="41" applyNumberFormat="0" applyFont="1" applyFill="0" applyBorder="1" applyAlignment="1" applyProtection="0">
      <alignment vertical="bottom"/>
    </xf>
    <xf numFmtId="49" fontId="92" borderId="41" applyNumberFormat="1" applyFont="1" applyFill="0" applyBorder="1" applyAlignment="1" applyProtection="0">
      <alignment vertical="bottom"/>
    </xf>
    <xf numFmtId="0" fontId="92" borderId="41" applyNumberFormat="0" applyFont="1" applyFill="0" applyBorder="1" applyAlignment="1" applyProtection="0">
      <alignment vertical="bottom"/>
    </xf>
    <xf numFmtId="49" fontId="100" borderId="30" applyNumberFormat="1" applyFont="1" applyFill="0" applyBorder="1" applyAlignment="1" applyProtection="0">
      <alignment horizontal="center" vertical="bottom"/>
    </xf>
    <xf numFmtId="0" fontId="100" borderId="30" applyNumberFormat="0" applyFont="1" applyFill="0" applyBorder="1" applyAlignment="1" applyProtection="0">
      <alignment horizontal="center" vertical="bottom"/>
    </xf>
    <xf numFmtId="0" fontId="105" fillId="4" borderId="29" applyNumberFormat="0" applyFont="1" applyFill="1" applyBorder="1" applyAlignment="1" applyProtection="0">
      <alignment horizontal="left" vertical="center"/>
    </xf>
    <xf numFmtId="0" fontId="44" fillId="4" borderId="5" applyNumberFormat="0" applyFont="1" applyFill="1" applyBorder="1" applyAlignment="1" applyProtection="0">
      <alignment vertical="bottom" wrapText="1"/>
    </xf>
    <xf numFmtId="0" fontId="44" fillId="4" borderId="31" applyNumberFormat="0" applyFont="1" applyFill="1" applyBorder="1" applyAlignment="1" applyProtection="0">
      <alignment vertical="bottom" wrapText="1"/>
    </xf>
    <xf numFmtId="0" fontId="44" fillId="9" borderId="30" applyNumberFormat="0" applyFont="1" applyFill="1" applyBorder="1" applyAlignment="1" applyProtection="0">
      <alignment horizontal="left" vertical="center" wrapText="1"/>
    </xf>
    <xf numFmtId="0" fontId="103" fillId="9" borderId="30" applyNumberFormat="0" applyFont="1" applyFill="1" applyBorder="1" applyAlignment="1" applyProtection="0">
      <alignment horizontal="center" vertical="bottom" wrapText="1"/>
    </xf>
    <xf numFmtId="0" fontId="101" fillId="9" borderId="30" applyNumberFormat="0" applyFont="1" applyFill="1" applyBorder="1" applyAlignment="1" applyProtection="0">
      <alignment horizontal="center" vertical="center" wrapText="1"/>
    </xf>
    <xf numFmtId="0" fontId="103" fillId="4" borderId="30" applyNumberFormat="0" applyFont="1" applyFill="1" applyBorder="1" applyAlignment="1" applyProtection="0">
      <alignment horizontal="center" vertical="bottom" wrapText="1"/>
    </xf>
    <xf numFmtId="0" fontId="101" fillId="4" borderId="30" applyNumberFormat="0" applyFont="1" applyFill="1" applyBorder="1" applyAlignment="1" applyProtection="0">
      <alignment horizontal="center" vertical="center" wrapText="1"/>
    </xf>
    <xf numFmtId="49" fontId="44" fillId="8" borderId="7" applyNumberFormat="1" applyFont="1" applyFill="1" applyBorder="1" applyAlignment="1" applyProtection="0">
      <alignment vertical="bottom"/>
    </xf>
    <xf numFmtId="0" fontId="44" fillId="8" borderId="8" applyNumberFormat="0" applyFont="1" applyFill="1" applyBorder="1" applyAlignment="1" applyProtection="0">
      <alignment vertical="bottom"/>
    </xf>
    <xf numFmtId="49" fontId="44" fillId="8" borderId="9" applyNumberFormat="1" applyFont="1" applyFill="1" applyBorder="1" applyAlignment="1" applyProtection="0">
      <alignment vertical="bottom"/>
    </xf>
    <xf numFmtId="0" fontId="0" applyNumberFormat="1" applyFont="1" applyFill="0" applyBorder="0" applyAlignment="1" applyProtection="0">
      <alignment vertical="bottom"/>
    </xf>
    <xf numFmtId="0" fontId="0" fillId="8" borderId="1" applyNumberFormat="0" applyFont="1" applyFill="1" applyBorder="1" applyAlignment="1" applyProtection="0">
      <alignment vertical="bottom"/>
    </xf>
    <xf numFmtId="0" fontId="0" fillId="8" borderId="2" applyNumberFormat="0" applyFont="1" applyFill="1" applyBorder="1" applyAlignment="1" applyProtection="0">
      <alignment vertical="bottom"/>
    </xf>
    <xf numFmtId="0" fontId="91" fillId="8" borderId="2" applyNumberFormat="0" applyFont="1" applyFill="1" applyBorder="1" applyAlignment="1" applyProtection="0">
      <alignment horizontal="left" vertical="bottom"/>
    </xf>
    <xf numFmtId="0" fontId="90" fillId="8" borderId="2" applyNumberFormat="0" applyFont="1" applyFill="1" applyBorder="1" applyAlignment="1" applyProtection="0">
      <alignment horizontal="left" vertical="center"/>
    </xf>
    <xf numFmtId="0" fontId="108" fillId="8" borderId="2" applyNumberFormat="0" applyFont="1" applyFill="1" applyBorder="1" applyAlignment="1" applyProtection="0">
      <alignment horizontal="center" vertical="center"/>
    </xf>
    <xf numFmtId="49" fontId="108" fillId="8" borderId="2" applyNumberFormat="1" applyFont="1" applyFill="1" applyBorder="1" applyAlignment="1" applyProtection="0">
      <alignment horizontal="center" vertical="center"/>
    </xf>
    <xf numFmtId="0" fontId="44" fillId="4" borderId="3" applyNumberFormat="0" applyFont="1" applyFill="1" applyBorder="1" applyAlignment="1" applyProtection="0">
      <alignment vertical="bottom"/>
    </xf>
    <xf numFmtId="0" fontId="91" fillId="8" borderId="5" applyNumberFormat="0" applyFont="1" applyFill="1" applyBorder="1" applyAlignment="1" applyProtection="0">
      <alignment horizontal="center" vertical="top"/>
    </xf>
    <xf numFmtId="0" fontId="90" fillId="8" borderId="5" applyNumberFormat="0" applyFont="1" applyFill="1" applyBorder="1" applyAlignment="1" applyProtection="0">
      <alignment horizontal="center" vertical="center" wrapText="1"/>
    </xf>
    <xf numFmtId="0" fontId="44" fillId="4" borderId="6" applyNumberFormat="0" applyFont="1" applyFill="1" applyBorder="1" applyAlignment="1" applyProtection="0">
      <alignment vertical="bottom"/>
    </xf>
    <xf numFmtId="0" fontId="44" fillId="4" borderId="5" applyNumberFormat="0" applyFont="1" applyFill="1" applyBorder="1" applyAlignment="1" applyProtection="0">
      <alignment vertical="bottom"/>
    </xf>
    <xf numFmtId="0" fontId="44" fillId="4" borderId="5" applyNumberFormat="0" applyFont="1" applyFill="1" applyBorder="1" applyAlignment="1" applyProtection="0">
      <alignment horizontal="center" vertical="center"/>
    </xf>
    <xf numFmtId="0" fontId="44" fillId="4" borderId="5" applyNumberFormat="0" applyFont="1" applyFill="1" applyBorder="1" applyAlignment="1" applyProtection="0">
      <alignment horizontal="center" vertical="bottom"/>
    </xf>
    <xf numFmtId="0" fontId="44" fillId="4" borderId="153" applyNumberFormat="0" applyFont="1" applyFill="1" applyBorder="1" applyAlignment="1" applyProtection="0">
      <alignment vertical="bottom"/>
    </xf>
    <xf numFmtId="49" fontId="99" fillId="4" borderId="5" applyNumberFormat="1" applyFont="1" applyFill="1" applyBorder="1" applyAlignment="1" applyProtection="0">
      <alignment horizontal="center" vertical="top" wrapText="1"/>
    </xf>
    <xf numFmtId="0" fontId="53" fillId="4" borderId="5" applyNumberFormat="0" applyFont="1" applyFill="1" applyBorder="1" applyAlignment="1" applyProtection="0">
      <alignment vertical="center" wrapText="1"/>
    </xf>
    <xf numFmtId="49" fontId="109" fillId="4" borderId="5" applyNumberFormat="1" applyFont="1" applyFill="1" applyBorder="1" applyAlignment="1" applyProtection="0">
      <alignment horizontal="center" vertical="bottom"/>
    </xf>
    <xf numFmtId="0" fontId="44" fillId="4" borderId="154" applyNumberFormat="0" applyFont="1" applyFill="1" applyBorder="1" applyAlignment="1" applyProtection="0">
      <alignment vertical="bottom"/>
    </xf>
    <xf numFmtId="0" fontId="44" fillId="4" borderId="155" applyNumberFormat="0" applyFont="1" applyFill="1" applyBorder="1" applyAlignment="1" applyProtection="0">
      <alignment vertical="bottom"/>
    </xf>
    <xf numFmtId="49" fontId="97" fillId="4" borderId="156" applyNumberFormat="1" applyFont="1" applyFill="1" applyBorder="1" applyAlignment="1" applyProtection="0">
      <alignment horizontal="left" vertical="bottom"/>
    </xf>
    <xf numFmtId="0" fontId="110" fillId="4" borderId="5" applyNumberFormat="0" applyFont="1" applyFill="1" applyBorder="1" applyAlignment="1" applyProtection="0">
      <alignment vertical="center" wrapText="1"/>
    </xf>
    <xf numFmtId="0" fontId="110" fillId="8" borderId="5" applyNumberFormat="0" applyFont="1" applyFill="1" applyBorder="1" applyAlignment="1" applyProtection="0">
      <alignment vertical="center" wrapText="1"/>
    </xf>
    <xf numFmtId="49" fontId="111" fillId="4" borderId="5" applyNumberFormat="1" applyFont="1" applyFill="1" applyBorder="1" applyAlignment="1" applyProtection="0">
      <alignment vertical="center" wrapText="1"/>
    </xf>
    <xf numFmtId="0" fontId="112" fillId="4" borderId="5" applyNumberFormat="0" applyFont="1" applyFill="1" applyBorder="1" applyAlignment="1" applyProtection="0">
      <alignment vertical="center" wrapText="1"/>
    </xf>
    <xf numFmtId="0" fontId="112" fillId="4" borderId="157" applyNumberFormat="0" applyFont="1" applyFill="1" applyBorder="1" applyAlignment="1" applyProtection="0">
      <alignment vertical="center" wrapText="1"/>
    </xf>
    <xf numFmtId="0" fontId="44" fillId="4" borderId="157" applyNumberFormat="0" applyFont="1" applyFill="1" applyBorder="1" applyAlignment="1" applyProtection="0">
      <alignment vertical="bottom"/>
    </xf>
    <xf numFmtId="0" fontId="44" fillId="4" borderId="157" applyNumberFormat="0" applyFont="1" applyFill="1" applyBorder="1" applyAlignment="1" applyProtection="0">
      <alignment horizontal="center" vertical="bottom"/>
    </xf>
    <xf numFmtId="0" fontId="44" fillId="4" borderId="158" applyNumberFormat="0" applyFont="1" applyFill="1" applyBorder="1" applyAlignment="1" applyProtection="0">
      <alignment vertical="bottom"/>
    </xf>
    <xf numFmtId="0" fontId="44" fillId="8" borderId="4" applyNumberFormat="0" applyFont="1" applyFill="1" applyBorder="1" applyAlignment="1" applyProtection="0">
      <alignment vertical="bottom" wrapText="1"/>
    </xf>
    <xf numFmtId="0" fontId="113" fillId="4" borderId="5" applyNumberFormat="0" applyFont="1" applyFill="1" applyBorder="1" applyAlignment="1" applyProtection="0">
      <alignment vertical="center" wrapText="1"/>
    </xf>
    <xf numFmtId="0" fontId="113" fillId="4" borderId="159" applyNumberFormat="0" applyFont="1" applyFill="1" applyBorder="1" applyAlignment="1" applyProtection="0">
      <alignment vertical="center" wrapText="1"/>
    </xf>
    <xf numFmtId="0" fontId="113" fillId="6" borderId="160" applyNumberFormat="0" applyFont="1" applyFill="1" applyBorder="1" applyAlignment="1" applyProtection="0">
      <alignment vertical="center" wrapText="1"/>
    </xf>
    <xf numFmtId="0" fontId="113" fillId="6" borderId="161" applyNumberFormat="0" applyFont="1" applyFill="1" applyBorder="1" applyAlignment="1" applyProtection="0">
      <alignment vertical="center" wrapText="1"/>
    </xf>
    <xf numFmtId="0" fontId="44" fillId="6" borderId="162" applyNumberFormat="0" applyFont="1" applyFill="1" applyBorder="1" applyAlignment="1" applyProtection="0">
      <alignment vertical="bottom" wrapText="1"/>
    </xf>
    <xf numFmtId="0" fontId="110" fillId="6" borderId="162" applyNumberFormat="0" applyFont="1" applyFill="1" applyBorder="1" applyAlignment="1" applyProtection="0">
      <alignment vertical="center" wrapText="1"/>
    </xf>
    <xf numFmtId="0" fontId="110" fillId="6" borderId="161" applyNumberFormat="0" applyFont="1" applyFill="1" applyBorder="1" applyAlignment="1" applyProtection="0">
      <alignment vertical="center" wrapText="1"/>
    </xf>
    <xf numFmtId="0" fontId="110" fillId="6" borderId="163" applyNumberFormat="0" applyFont="1" applyFill="1" applyBorder="1" applyAlignment="1" applyProtection="0">
      <alignment vertical="center" wrapText="1"/>
    </xf>
    <xf numFmtId="0" fontId="110" fillId="6" borderId="164" applyNumberFormat="0" applyFont="1" applyFill="1" applyBorder="1" applyAlignment="1" applyProtection="0">
      <alignment vertical="center" wrapText="1"/>
    </xf>
    <xf numFmtId="0" fontId="110" fillId="4" borderId="165" applyNumberFormat="0" applyFont="1" applyFill="1" applyBorder="1" applyAlignment="1" applyProtection="0">
      <alignment vertical="center" wrapText="1"/>
    </xf>
    <xf numFmtId="0" fontId="110" fillId="4" borderId="49" applyNumberFormat="0" applyFont="1" applyFill="1" applyBorder="1" applyAlignment="1" applyProtection="0">
      <alignment vertical="center" wrapText="1"/>
    </xf>
    <xf numFmtId="0" fontId="44" fillId="8" borderId="5" applyNumberFormat="0" applyFont="1" applyFill="1" applyBorder="1" applyAlignment="1" applyProtection="0">
      <alignment horizontal="center" vertical="center"/>
    </xf>
    <xf numFmtId="0" fontId="44" fillId="4" borderId="6" applyNumberFormat="0" applyFont="1" applyFill="1" applyBorder="1" applyAlignment="1" applyProtection="0">
      <alignment vertical="bottom" wrapText="1"/>
    </xf>
    <xf numFmtId="0" fontId="113" fillId="6" borderId="165" applyNumberFormat="0" applyFont="1" applyFill="1" applyBorder="1" applyAlignment="1" applyProtection="0">
      <alignment vertical="center" wrapText="1"/>
    </xf>
    <xf numFmtId="0" fontId="113" fillId="6" borderId="29" applyNumberFormat="0" applyFont="1" applyFill="1" applyBorder="1" applyAlignment="1" applyProtection="0">
      <alignment vertical="center" wrapText="1"/>
    </xf>
    <xf numFmtId="49" fontId="114" fillId="27" borderId="30" applyNumberFormat="1" applyFont="1" applyFill="1" applyBorder="1" applyAlignment="1" applyProtection="0">
      <alignment horizontal="center" vertical="center" wrapText="1"/>
    </xf>
    <xf numFmtId="49" fontId="115" fillId="4" borderId="30" applyNumberFormat="1" applyFont="1" applyFill="1" applyBorder="1" applyAlignment="1" applyProtection="0">
      <alignment horizontal="center" vertical="center" wrapText="1"/>
    </xf>
    <xf numFmtId="49" fontId="114" fillId="27" borderId="166" applyNumberFormat="1" applyFont="1" applyFill="1" applyBorder="1" applyAlignment="1" applyProtection="0">
      <alignment horizontal="center" vertical="center" wrapText="1"/>
    </xf>
    <xf numFmtId="49" fontId="116" fillId="4" borderId="166" applyNumberFormat="1" applyFont="1" applyFill="1" applyBorder="1" applyAlignment="1" applyProtection="0">
      <alignment horizontal="center" vertical="center"/>
    </xf>
    <xf numFmtId="0" fontId="44" fillId="6" borderId="32" applyNumberFormat="0" applyFont="1" applyFill="1" applyBorder="1" applyAlignment="1" applyProtection="0">
      <alignment vertical="center"/>
    </xf>
    <xf numFmtId="49" fontId="117" fillId="28" borderId="167" applyNumberFormat="1" applyFont="1" applyFill="1" applyBorder="1" applyAlignment="1" applyProtection="0">
      <alignment horizontal="center" vertical="center" wrapText="1"/>
    </xf>
    <xf numFmtId="49" fontId="117" fillId="28" borderId="168" applyNumberFormat="1" applyFont="1" applyFill="1" applyBorder="1" applyAlignment="1" applyProtection="0">
      <alignment horizontal="center" vertical="center" wrapText="1"/>
    </xf>
    <xf numFmtId="0" fontId="44" fillId="6" borderId="169" applyNumberFormat="0" applyFont="1" applyFill="1" applyBorder="1" applyAlignment="1" applyProtection="0">
      <alignment vertical="center"/>
    </xf>
    <xf numFmtId="0" fontId="44" fillId="4" borderId="170" applyNumberFormat="0" applyFont="1" applyFill="1" applyBorder="1" applyAlignment="1" applyProtection="0">
      <alignment vertical="center"/>
    </xf>
    <xf numFmtId="49" fontId="101" fillId="4" borderId="82" applyNumberFormat="1" applyFont="1" applyFill="1" applyBorder="1" applyAlignment="1" applyProtection="0">
      <alignment horizontal="center" vertical="center" wrapText="1"/>
    </xf>
    <xf numFmtId="49" fontId="44" fillId="23" borderId="30" applyNumberFormat="1" applyFont="1" applyFill="1" applyBorder="1" applyAlignment="1" applyProtection="0">
      <alignment horizontal="center" vertical="center" wrapText="1"/>
    </xf>
    <xf numFmtId="0" fontId="44" fillId="4" borderId="83" applyNumberFormat="0" applyFont="1" applyFill="1" applyBorder="1" applyAlignment="1" applyProtection="0">
      <alignment horizontal="center" vertical="center"/>
    </xf>
    <xf numFmtId="49" fontId="113" fillId="4" borderId="29" applyNumberFormat="1" applyFont="1" applyFill="1" applyBorder="1" applyAlignment="1" applyProtection="0">
      <alignment horizontal="left" vertical="center" wrapText="1"/>
    </xf>
    <xf numFmtId="0" fontId="44" fillId="6" borderId="171" applyNumberFormat="0" applyFont="1" applyFill="1" applyBorder="1" applyAlignment="1" applyProtection="0">
      <alignment horizontal="center" vertical="center"/>
    </xf>
    <xf numFmtId="49" fontId="44" fillId="4" borderId="172" applyNumberFormat="1" applyFont="1" applyFill="1" applyBorder="1" applyAlignment="1" applyProtection="0">
      <alignment horizontal="center" vertical="center" wrapText="1"/>
    </xf>
    <xf numFmtId="0" fontId="44" fillId="4" borderId="173" applyNumberFormat="0" applyFont="1" applyFill="1" applyBorder="1" applyAlignment="1" applyProtection="0">
      <alignment vertical="top" wrapText="1"/>
    </xf>
    <xf numFmtId="0" fontId="44" fillId="6" borderId="174" applyNumberFormat="0" applyFont="1" applyFill="1" applyBorder="1" applyAlignment="1" applyProtection="0">
      <alignment vertical="top" wrapText="1"/>
    </xf>
    <xf numFmtId="60" fontId="52" fillId="4" borderId="33" applyNumberFormat="1" applyFont="1" applyFill="1" applyBorder="1" applyAlignment="1" applyProtection="0">
      <alignment horizontal="center" vertical="center"/>
    </xf>
    <xf numFmtId="0" fontId="101" fillId="4" borderId="31" applyNumberFormat="0" applyFont="1" applyFill="1" applyBorder="1" applyAlignment="1" applyProtection="0">
      <alignment horizontal="center" vertical="center" wrapText="1"/>
    </xf>
    <xf numFmtId="49" fontId="44" fillId="24" borderId="30" applyNumberFormat="1" applyFont="1" applyFill="1" applyBorder="1" applyAlignment="1" applyProtection="0">
      <alignment horizontal="center" vertical="center" wrapText="1"/>
    </xf>
    <xf numFmtId="49" fontId="44" fillId="9" borderId="30" applyNumberFormat="1" applyFont="1" applyFill="1" applyBorder="1" applyAlignment="1" applyProtection="0">
      <alignment vertical="center"/>
    </xf>
    <xf numFmtId="49" fontId="44" fillId="2" borderId="175" applyNumberFormat="1" applyFont="1" applyFill="1" applyBorder="1" applyAlignment="1" applyProtection="0">
      <alignment horizontal="center" vertical="center" wrapText="1"/>
    </xf>
    <xf numFmtId="0" fontId="44" fillId="9" borderId="176" applyNumberFormat="0" applyFont="1" applyFill="1" applyBorder="1" applyAlignment="1" applyProtection="0">
      <alignment vertical="top" wrapText="1"/>
    </xf>
    <xf numFmtId="0" fontId="44" fillId="6" borderId="174" applyNumberFormat="0" applyFont="1" applyFill="1" applyBorder="1" applyAlignment="1" applyProtection="0">
      <alignment vertical="top"/>
    </xf>
    <xf numFmtId="60" fontId="52" fillId="9" borderId="33" applyNumberFormat="1" applyFont="1" applyFill="1" applyBorder="1" applyAlignment="1" applyProtection="0">
      <alignment horizontal="center" vertical="center"/>
    </xf>
    <xf numFmtId="49" fontId="44" fillId="21" borderId="30" applyNumberFormat="1" applyFont="1" applyFill="1" applyBorder="1" applyAlignment="1" applyProtection="0">
      <alignment horizontal="center" vertical="center" wrapText="1"/>
    </xf>
    <xf numFmtId="49" fontId="0" fillId="4" borderId="5" applyNumberFormat="1" applyFont="1" applyFill="1" applyBorder="1" applyAlignment="1" applyProtection="0">
      <alignment vertical="bottom"/>
    </xf>
    <xf numFmtId="49" fontId="44" fillId="4" borderId="175" applyNumberFormat="1" applyFont="1" applyFill="1" applyBorder="1" applyAlignment="1" applyProtection="0">
      <alignment horizontal="center" vertical="center" wrapText="1"/>
    </xf>
    <xf numFmtId="0" fontId="44" fillId="4" borderId="176" applyNumberFormat="0" applyFont="1" applyFill="1" applyBorder="1" applyAlignment="1" applyProtection="0">
      <alignment vertical="top" wrapText="1"/>
    </xf>
    <xf numFmtId="0" fontId="101" fillId="4" borderId="84" applyNumberFormat="0" applyFont="1" applyFill="1" applyBorder="1" applyAlignment="1" applyProtection="0">
      <alignment horizontal="center" vertical="center" wrapText="1"/>
    </xf>
    <xf numFmtId="49" fontId="44" fillId="4" borderId="30" applyNumberFormat="1" applyFont="1" applyFill="1" applyBorder="1" applyAlignment="1" applyProtection="0">
      <alignment horizontal="center" vertical="center" wrapText="1"/>
    </xf>
    <xf numFmtId="0" fontId="44" fillId="4" borderId="83" applyNumberFormat="0" applyFont="1" applyFill="1" applyBorder="1" applyAlignment="1" applyProtection="0">
      <alignment horizontal="center" vertical="center" wrapText="1"/>
    </xf>
    <xf numFmtId="0" fontId="44" fillId="4" borderId="5" applyNumberFormat="0" applyFont="1" applyFill="1" applyBorder="1" applyAlignment="1" applyProtection="0">
      <alignment horizontal="center" vertical="center" wrapText="1"/>
    </xf>
    <xf numFmtId="0" fontId="44" fillId="8" borderId="5" applyNumberFormat="0" applyFont="1" applyFill="1" applyBorder="1" applyAlignment="1" applyProtection="0">
      <alignment horizontal="center" vertical="center" wrapText="1"/>
    </xf>
    <xf numFmtId="0" fontId="44" fillId="4" borderId="159" applyNumberFormat="0" applyFont="1" applyFill="1" applyBorder="1" applyAlignment="1" applyProtection="0">
      <alignment horizontal="center" vertical="center" wrapText="1"/>
    </xf>
    <xf numFmtId="0" fontId="44" fillId="6" borderId="165" applyNumberFormat="0" applyFont="1" applyFill="1" applyBorder="1" applyAlignment="1" applyProtection="0">
      <alignment horizontal="center" vertical="center" wrapText="1"/>
    </xf>
    <xf numFmtId="49" fontId="44" fillId="4" borderId="29" applyNumberFormat="1" applyFont="1" applyFill="1" applyBorder="1" applyAlignment="1" applyProtection="0">
      <alignment horizontal="left" vertical="center" wrapText="1"/>
    </xf>
    <xf numFmtId="0" fontId="44" fillId="4" borderId="165" applyNumberFormat="0" applyFont="1" applyFill="1" applyBorder="1" applyAlignment="1" applyProtection="0">
      <alignment vertical="center"/>
    </xf>
    <xf numFmtId="0" fontId="101" fillId="4" borderId="41" applyNumberFormat="0" applyFont="1" applyFill="1" applyBorder="1" applyAlignment="1" applyProtection="0">
      <alignment vertical="center" wrapText="1"/>
    </xf>
    <xf numFmtId="0" fontId="0" fillId="4" borderId="41" applyNumberFormat="0" applyFont="1" applyFill="1" applyBorder="1" applyAlignment="1" applyProtection="0">
      <alignment vertical="bottom"/>
    </xf>
    <xf numFmtId="49" fontId="118" fillId="4" borderId="5" applyNumberFormat="1" applyFont="1" applyFill="1" applyBorder="1" applyAlignment="1" applyProtection="0">
      <alignment horizontal="center" vertical="top" wrapText="1"/>
    </xf>
    <xf numFmtId="0" fontId="44" fillId="4" borderId="159" applyNumberFormat="0" applyFont="1" applyFill="1" applyBorder="1" applyAlignment="1" applyProtection="0">
      <alignment horizontal="center" vertical="center"/>
    </xf>
    <xf numFmtId="0" fontId="44" fillId="6" borderId="165" applyNumberFormat="0" applyFont="1" applyFill="1" applyBorder="1" applyAlignment="1" applyProtection="0">
      <alignment horizontal="center" vertical="center"/>
    </xf>
    <xf numFmtId="49" fontId="44" fillId="4" borderId="29" applyNumberFormat="1" applyFont="1" applyFill="1" applyBorder="1" applyAlignment="1" applyProtection="0">
      <alignment horizontal="left" vertical="center"/>
    </xf>
    <xf numFmtId="49" fontId="44" fillId="4" borderId="177" applyNumberFormat="1" applyFont="1" applyFill="1" applyBorder="1" applyAlignment="1" applyProtection="0">
      <alignment horizontal="center" vertical="center" wrapText="1"/>
    </xf>
    <xf numFmtId="0" fontId="44" fillId="4" borderId="178" applyNumberFormat="0" applyFont="1" applyFill="1" applyBorder="1" applyAlignment="1" applyProtection="0">
      <alignment vertical="top" wrapText="1"/>
    </xf>
    <xf numFmtId="0" fontId="101" fillId="4" borderId="5" applyNumberFormat="0" applyFont="1" applyFill="1" applyBorder="1" applyAlignment="1" applyProtection="0">
      <alignment vertical="center" wrapText="1"/>
    </xf>
    <xf numFmtId="49" fontId="119" fillId="4" borderId="5" applyNumberFormat="1" applyFont="1" applyFill="1" applyBorder="1" applyAlignment="1" applyProtection="0">
      <alignment vertical="center" wrapText="1"/>
    </xf>
    <xf numFmtId="0" fontId="53" fillId="4" borderId="159" applyNumberFormat="0" applyFont="1" applyFill="1" applyBorder="1" applyAlignment="1" applyProtection="0">
      <alignment vertical="center" wrapText="1"/>
    </xf>
    <xf numFmtId="0" fontId="53" fillId="6" borderId="165" applyNumberFormat="0" applyFont="1" applyFill="1" applyBorder="1" applyAlignment="1" applyProtection="0">
      <alignment vertical="center" wrapText="1"/>
    </xf>
    <xf numFmtId="0" fontId="44" fillId="6" borderId="5" applyNumberFormat="0" applyFont="1" applyFill="1" applyBorder="1" applyAlignment="1" applyProtection="0">
      <alignment horizontal="center" vertical="center"/>
    </xf>
    <xf numFmtId="0" fontId="44" fillId="6" borderId="179" applyNumberFormat="0" applyFont="1" applyFill="1" applyBorder="1" applyAlignment="1" applyProtection="0">
      <alignment vertical="bottom"/>
    </xf>
    <xf numFmtId="0" fontId="44" fillId="6" borderId="41" applyNumberFormat="0" applyFont="1" applyFill="1" applyBorder="1" applyAlignment="1" applyProtection="0">
      <alignment vertical="bottom"/>
    </xf>
    <xf numFmtId="0" fontId="44" fillId="6" borderId="5" applyNumberFormat="0" applyFont="1" applyFill="1" applyBorder="1" applyAlignment="1" applyProtection="0">
      <alignment vertical="bottom"/>
    </xf>
    <xf numFmtId="0" fontId="44" fillId="6" borderId="180" applyNumberFormat="0" applyFont="1" applyFill="1" applyBorder="1" applyAlignment="1" applyProtection="0">
      <alignment horizontal="center" vertical="bottom" wrapText="1"/>
    </xf>
    <xf numFmtId="0" fontId="44" fillId="6" borderId="180" applyNumberFormat="0" applyFont="1" applyFill="1" applyBorder="1" applyAlignment="1" applyProtection="0">
      <alignment vertical="bottom"/>
    </xf>
    <xf numFmtId="0" fontId="44" fillId="6" borderId="181" applyNumberFormat="0" applyFont="1" applyFill="1" applyBorder="1" applyAlignment="1" applyProtection="0">
      <alignment vertical="bottom"/>
    </xf>
    <xf numFmtId="0" fontId="44" fillId="6" borderId="159" applyNumberFormat="0" applyFont="1" applyFill="1" applyBorder="1" applyAlignment="1" applyProtection="0">
      <alignment vertical="bottom"/>
    </xf>
    <xf numFmtId="0" fontId="44" fillId="4" borderId="165" applyNumberFormat="0" applyFont="1" applyFill="1" applyBorder="1" applyAlignment="1" applyProtection="0">
      <alignment vertical="bottom"/>
    </xf>
    <xf numFmtId="0" fontId="44" fillId="4" borderId="5" applyNumberFormat="0" applyFont="1" applyFill="1" applyBorder="1" applyAlignment="1" applyProtection="0">
      <alignment vertical="center"/>
    </xf>
    <xf numFmtId="0" fontId="44" fillId="8" borderId="5" applyNumberFormat="0" applyFont="1" applyFill="1" applyBorder="1" applyAlignment="1" applyProtection="0">
      <alignment vertical="center"/>
    </xf>
    <xf numFmtId="0" fontId="67" fillId="4" borderId="5" applyNumberFormat="0" applyFont="1" applyFill="1" applyBorder="1" applyAlignment="1" applyProtection="0">
      <alignment vertical="center" wrapText="1"/>
    </xf>
    <xf numFmtId="0" fontId="67" fillId="4" borderId="159" applyNumberFormat="0" applyFont="1" applyFill="1" applyBorder="1" applyAlignment="1" applyProtection="0">
      <alignment vertical="center" wrapText="1"/>
    </xf>
    <xf numFmtId="0" fontId="67" fillId="6" borderId="165" applyNumberFormat="0" applyFont="1" applyFill="1" applyBorder="1" applyAlignment="1" applyProtection="0">
      <alignment vertical="center" wrapText="1"/>
    </xf>
    <xf numFmtId="0" fontId="44" fillId="6" borderId="182" applyNumberFormat="0" applyFont="1" applyFill="1" applyBorder="1" applyAlignment="1" applyProtection="0">
      <alignment horizontal="center" vertical="center"/>
    </xf>
    <xf numFmtId="49" fontId="114" fillId="29" borderId="183" applyNumberFormat="1" applyFont="1" applyFill="1" applyBorder="1" applyAlignment="1" applyProtection="0">
      <alignment horizontal="center" vertical="center" wrapText="1"/>
    </xf>
    <xf numFmtId="0" fontId="44" fillId="6" borderId="66" applyNumberFormat="0" applyFont="1" applyFill="1" applyBorder="1" applyAlignment="1" applyProtection="0">
      <alignment vertical="center"/>
    </xf>
    <xf numFmtId="0" fontId="44" fillId="6" borderId="5" applyNumberFormat="0" applyFont="1" applyFill="1" applyBorder="1" applyAlignment="1" applyProtection="0">
      <alignment vertical="center"/>
    </xf>
    <xf numFmtId="0" fontId="44" fillId="6" borderId="153" applyNumberFormat="0" applyFont="1" applyFill="1" applyBorder="1" applyAlignment="1" applyProtection="0">
      <alignment horizontal="center" vertical="bottom"/>
    </xf>
    <xf numFmtId="0" fontId="44" fillId="6" borderId="153" applyNumberFormat="0" applyFont="1" applyFill="1" applyBorder="1" applyAlignment="1" applyProtection="0">
      <alignment vertical="bottom"/>
    </xf>
    <xf numFmtId="0" fontId="44" fillId="6" borderId="182" applyNumberFormat="0" applyFont="1" applyFill="1" applyBorder="1" applyAlignment="1" applyProtection="0">
      <alignment vertical="top" wrapText="1"/>
    </xf>
    <xf numFmtId="49" fontId="117" fillId="29" borderId="184" applyNumberFormat="1" applyFont="1" applyFill="1" applyBorder="1" applyAlignment="1" applyProtection="0">
      <alignment horizontal="center" vertical="center" wrapText="1"/>
    </xf>
    <xf numFmtId="49" fontId="117" fillId="29" borderId="185" applyNumberFormat="1" applyFont="1" applyFill="1" applyBorder="1" applyAlignment="1" applyProtection="0">
      <alignment horizontal="center" vertical="center" wrapText="1"/>
    </xf>
    <xf numFmtId="0" fontId="44" fillId="6" borderId="186" applyNumberFormat="0" applyFont="1" applyFill="1" applyBorder="1" applyAlignment="1" applyProtection="0">
      <alignment vertical="bottom"/>
    </xf>
    <xf numFmtId="0" fontId="120" fillId="4" borderId="5" applyNumberFormat="0" applyFont="1" applyFill="1" applyBorder="1" applyAlignment="1" applyProtection="0">
      <alignment vertical="center" wrapText="1"/>
    </xf>
    <xf numFmtId="0" fontId="120" fillId="4" borderId="159" applyNumberFormat="0" applyFont="1" applyFill="1" applyBorder="1" applyAlignment="1" applyProtection="0">
      <alignment vertical="center" wrapText="1"/>
    </xf>
    <xf numFmtId="0" fontId="44" fillId="6" borderId="154" applyNumberFormat="0" applyFont="1" applyFill="1" applyBorder="1" applyAlignment="1" applyProtection="0">
      <alignment horizontal="center" vertical="center"/>
    </xf>
    <xf numFmtId="0" fontId="0" fillId="4" borderId="155" applyNumberFormat="0" applyFont="1" applyFill="1" applyBorder="1" applyAlignment="1" applyProtection="0">
      <alignment vertical="top" wrapText="1"/>
    </xf>
    <xf numFmtId="0" fontId="0" fillId="6" borderId="156" applyNumberFormat="0" applyFont="1" applyFill="1" applyBorder="1" applyAlignment="1" applyProtection="0">
      <alignment vertical="bottom"/>
    </xf>
    <xf numFmtId="0" fontId="0" fillId="6" borderId="5" applyNumberFormat="0" applyFont="1" applyFill="1" applyBorder="1" applyAlignment="1" applyProtection="0">
      <alignment vertical="bottom"/>
    </xf>
    <xf numFmtId="0" fontId="0" fillId="6" borderId="154" applyNumberFormat="0" applyFont="1" applyFill="1" applyBorder="1" applyAlignment="1" applyProtection="0">
      <alignment vertical="bottom"/>
    </xf>
    <xf numFmtId="49" fontId="44" fillId="4" borderId="187" applyNumberFormat="1" applyFont="1" applyFill="1" applyBorder="1" applyAlignment="1" applyProtection="0">
      <alignment horizontal="center" vertical="center" wrapText="1"/>
    </xf>
    <xf numFmtId="0" fontId="0" fillId="4" borderId="188" applyNumberFormat="0" applyFont="1" applyFill="1" applyBorder="1" applyAlignment="1" applyProtection="0">
      <alignment vertical="top" wrapText="1"/>
    </xf>
    <xf numFmtId="0" fontId="44" fillId="6" borderId="189" applyNumberFormat="0" applyFont="1" applyFill="1" applyBorder="1" applyAlignment="1" applyProtection="0">
      <alignment vertical="bottom"/>
    </xf>
    <xf numFmtId="60" fontId="52" fillId="4" borderId="190" applyNumberFormat="1" applyFont="1" applyFill="1" applyBorder="1" applyAlignment="1" applyProtection="0">
      <alignment horizontal="center" vertical="center"/>
    </xf>
    <xf numFmtId="9" fontId="52" fillId="4" borderId="191" applyNumberFormat="1" applyFont="1" applyFill="1" applyBorder="1" applyAlignment="1" applyProtection="0">
      <alignment horizontal="center" vertical="center"/>
    </xf>
    <xf numFmtId="0" fontId="120" fillId="6" borderId="192" applyNumberFormat="0" applyFont="1" applyFill="1" applyBorder="1" applyAlignment="1" applyProtection="0">
      <alignment vertical="center" wrapText="1"/>
    </xf>
    <xf numFmtId="0" fontId="44" fillId="6" borderId="157" applyNumberFormat="0" applyFont="1" applyFill="1" applyBorder="1" applyAlignment="1" applyProtection="0">
      <alignment horizontal="center" vertical="center"/>
    </xf>
    <xf numFmtId="0" fontId="44" fillId="6" borderId="158" applyNumberFormat="0" applyFont="1" applyFill="1" applyBorder="1" applyAlignment="1" applyProtection="0">
      <alignment vertical="bottom"/>
    </xf>
    <xf numFmtId="0" fontId="44" fillId="6" borderId="157" applyNumberFormat="0" applyFont="1" applyFill="1" applyBorder="1" applyAlignment="1" applyProtection="0">
      <alignment vertical="bottom"/>
    </xf>
    <xf numFmtId="0" fontId="44" fillId="6" borderId="158" applyNumberFormat="0" applyFont="1" applyFill="1" applyBorder="1" applyAlignment="1" applyProtection="0">
      <alignment horizontal="center" vertical="bottom"/>
    </xf>
    <xf numFmtId="0" fontId="44" fillId="6" borderId="193" applyNumberFormat="0" applyFont="1" applyFill="1" applyBorder="1" applyAlignment="1" applyProtection="0">
      <alignment vertical="bottom"/>
    </xf>
    <xf numFmtId="0" fontId="44" fillId="6" borderId="194" applyNumberFormat="0" applyFont="1" applyFill="1" applyBorder="1" applyAlignment="1" applyProtection="0">
      <alignment vertical="bottom"/>
    </xf>
    <xf numFmtId="0" fontId="120" fillId="4" borderId="161" applyNumberFormat="0" applyFont="1" applyFill="1" applyBorder="1" applyAlignment="1" applyProtection="0">
      <alignment vertical="center" wrapText="1"/>
    </xf>
    <xf numFmtId="0" fontId="44" fillId="4" borderId="161" applyNumberFormat="0" applyFont="1" applyFill="1" applyBorder="1" applyAlignment="1" applyProtection="0">
      <alignment horizontal="center" vertical="center"/>
    </xf>
    <xf numFmtId="0" fontId="44" fillId="4" borderId="162" applyNumberFormat="0" applyFont="1" applyFill="1" applyBorder="1" applyAlignment="1" applyProtection="0">
      <alignment vertical="bottom"/>
    </xf>
    <xf numFmtId="0" fontId="44" fillId="4" borderId="161" applyNumberFormat="0" applyFont="1" applyFill="1" applyBorder="1" applyAlignment="1" applyProtection="0">
      <alignment vertical="bottom"/>
    </xf>
    <xf numFmtId="0" fontId="119" fillId="4" borderId="5" applyNumberFormat="0" applyFont="1" applyFill="1" applyBorder="1" applyAlignment="1" applyProtection="0">
      <alignment vertical="center" wrapText="1"/>
    </xf>
    <xf numFmtId="0" fontId="44" fillId="4" borderId="152" applyNumberFormat="0" applyFont="1" applyFill="1" applyBorder="1" applyAlignment="1" applyProtection="0">
      <alignment vertical="bottom"/>
    </xf>
    <xf numFmtId="0" fontId="44" fillId="4" borderId="29" applyNumberFormat="0" applyFont="1" applyFill="1" applyBorder="1" applyAlignment="1" applyProtection="0">
      <alignment horizontal="center" vertical="center"/>
    </xf>
    <xf numFmtId="49" fontId="116" fillId="4" borderId="30" applyNumberFormat="1" applyFont="1" applyFill="1" applyBorder="1" applyAlignment="1" applyProtection="0">
      <alignment horizontal="center" vertical="center"/>
    </xf>
    <xf numFmtId="0" fontId="116" fillId="4" borderId="195" applyNumberFormat="1" applyFont="1" applyFill="1" applyBorder="1" applyAlignment="1" applyProtection="0">
      <alignment horizontal="center" vertical="center"/>
    </xf>
    <xf numFmtId="0" fontId="116" fillId="4" borderId="152" applyNumberFormat="0" applyFont="1" applyFill="1" applyBorder="1" applyAlignment="1" applyProtection="0">
      <alignment horizontal="center" vertical="center"/>
    </xf>
    <xf numFmtId="0" fontId="116" fillId="4" borderId="196" applyNumberFormat="0" applyFont="1" applyFill="1" applyBorder="1" applyAlignment="1" applyProtection="0">
      <alignment horizontal="center" vertical="center"/>
    </xf>
    <xf numFmtId="0" fontId="44" fillId="4" borderId="83" applyNumberFormat="0" applyFont="1" applyFill="1" applyBorder="1" applyAlignment="1" applyProtection="0">
      <alignment vertical="bottom"/>
    </xf>
    <xf numFmtId="49" fontId="116" fillId="4" borderId="197" applyNumberFormat="1" applyFont="1" applyFill="1" applyBorder="1" applyAlignment="1" applyProtection="0">
      <alignment horizontal="center" vertical="center"/>
    </xf>
    <xf numFmtId="0" fontId="116" fillId="4" borderId="198" applyNumberFormat="1" applyFont="1" applyFill="1" applyBorder="1" applyAlignment="1" applyProtection="0">
      <alignment horizontal="center" vertical="center"/>
    </xf>
    <xf numFmtId="0" fontId="116" fillId="4" borderId="199" applyNumberFormat="0" applyFont="1" applyFill="1" applyBorder="1" applyAlignment="1" applyProtection="0">
      <alignment horizontal="center" vertical="center"/>
    </xf>
    <xf numFmtId="0" fontId="116" fillId="4" borderId="200" applyNumberFormat="0" applyFont="1" applyFill="1" applyBorder="1" applyAlignment="1" applyProtection="0">
      <alignment horizontal="center" vertical="center"/>
    </xf>
    <xf numFmtId="0" fontId="121" fillId="4" borderId="5" applyNumberFormat="0" applyFont="1" applyFill="1" applyBorder="1" applyAlignment="1" applyProtection="0">
      <alignment horizontal="right" vertical="bottom"/>
    </xf>
    <xf numFmtId="0" fontId="44" fillId="4" borderId="49" applyNumberFormat="0" applyFont="1" applyFill="1" applyBorder="1" applyAlignment="1" applyProtection="0">
      <alignment vertical="bottom"/>
    </xf>
    <xf numFmtId="0" fontId="44" fillId="4" borderId="49" applyNumberFormat="0" applyFont="1" applyFill="1" applyBorder="1" applyAlignment="1" applyProtection="0">
      <alignment horizontal="center" vertical="center"/>
    </xf>
    <xf numFmtId="49" fontId="114" fillId="28" borderId="201" applyNumberFormat="1" applyFont="1" applyFill="1" applyBorder="1" applyAlignment="1" applyProtection="0">
      <alignment horizontal="center" vertical="center" wrapText="1"/>
    </xf>
    <xf numFmtId="60" fontId="114" fillId="28" borderId="202" applyNumberFormat="1" applyFont="1" applyFill="1" applyBorder="1" applyAlignment="1" applyProtection="0">
      <alignment horizontal="center" vertical="center" wrapText="1"/>
    </xf>
    <xf numFmtId="60" fontId="114" fillId="28" borderId="203" applyNumberFormat="1" applyFont="1" applyFill="1" applyBorder="1" applyAlignment="1" applyProtection="0">
      <alignment horizontal="center" vertical="center" wrapText="1"/>
    </xf>
    <xf numFmtId="49" fontId="44" fillId="8" borderId="5" applyNumberFormat="1" applyFont="1" applyFill="1" applyBorder="1" applyAlignment="1" applyProtection="0">
      <alignment vertical="bottom"/>
    </xf>
    <xf numFmtId="0" fontId="44" fillId="4" borderId="204" applyNumberFormat="0" applyFont="1" applyFill="1" applyBorder="1" applyAlignment="1" applyProtection="0">
      <alignment vertical="bottom"/>
    </xf>
    <xf numFmtId="49" fontId="116" fillId="9" borderId="195" applyNumberFormat="1" applyFont="1" applyFill="1" applyBorder="1" applyAlignment="1" applyProtection="0">
      <alignment horizontal="left" vertical="center"/>
    </xf>
    <xf numFmtId="0" fontId="97" fillId="9" borderId="152" applyNumberFormat="0" applyFont="1" applyFill="1" applyBorder="1" applyAlignment="1" applyProtection="0">
      <alignment horizontal="center" vertical="center"/>
    </xf>
    <xf numFmtId="0" fontId="116" fillId="9" borderId="152" applyNumberFormat="0" applyFont="1" applyFill="1" applyBorder="1" applyAlignment="1" applyProtection="0">
      <alignment horizontal="center" vertical="center"/>
    </xf>
    <xf numFmtId="0" fontId="116" fillId="9" borderId="196" applyNumberFormat="0" applyFont="1" applyFill="1" applyBorder="1" applyAlignment="1" applyProtection="0">
      <alignment horizontal="center" vertical="center"/>
    </xf>
    <xf numFmtId="0" fontId="101" fillId="4" borderId="83" applyNumberFormat="0" applyFont="1" applyFill="1" applyBorder="1" applyAlignment="1" applyProtection="0">
      <alignment horizontal="center" vertical="center"/>
    </xf>
    <xf numFmtId="0" fontId="44" fillId="4" borderId="205" applyNumberFormat="0" applyFont="1" applyFill="1" applyBorder="1" applyAlignment="1" applyProtection="0">
      <alignment vertical="bottom"/>
    </xf>
    <xf numFmtId="0" fontId="121" fillId="4" borderId="49" applyNumberFormat="0" applyFont="1" applyFill="1" applyBorder="1" applyAlignment="1" applyProtection="0">
      <alignment vertical="bottom"/>
    </xf>
    <xf numFmtId="49" fontId="44" fillId="4" borderId="5" applyNumberFormat="1" applyFont="1" applyFill="1" applyBorder="1" applyAlignment="1" applyProtection="0">
      <alignment vertical="bottom"/>
    </xf>
    <xf numFmtId="49" fontId="44" fillId="4" borderId="5" applyNumberFormat="1" applyFont="1" applyFill="1" applyBorder="1" applyAlignment="1" applyProtection="0">
      <alignment horizontal="center" vertical="bottom"/>
    </xf>
    <xf numFmtId="0" fontId="44" fillId="4" borderId="206" applyNumberFormat="0" applyFont="1" applyFill="1" applyBorder="1" applyAlignment="1" applyProtection="0">
      <alignment vertical="bottom"/>
    </xf>
    <xf numFmtId="49" fontId="116" fillId="4" borderId="207" applyNumberFormat="1" applyFont="1" applyFill="1" applyBorder="1" applyAlignment="1" applyProtection="0">
      <alignment horizontal="center" vertical="center"/>
    </xf>
    <xf numFmtId="0" fontId="116" fillId="4" borderId="208" applyNumberFormat="0" applyFont="1" applyFill="1" applyBorder="1" applyAlignment="1" applyProtection="0">
      <alignment horizontal="center" vertical="center"/>
    </xf>
    <xf numFmtId="49" fontId="117" fillId="28" borderId="209" applyNumberFormat="1" applyFont="1" applyFill="1" applyBorder="1" applyAlignment="1" applyProtection="0">
      <alignment horizontal="center" vertical="center" wrapText="1"/>
    </xf>
    <xf numFmtId="0" fontId="117" fillId="28" borderId="210" applyNumberFormat="0" applyFont="1" applyFill="1" applyBorder="1" applyAlignment="1" applyProtection="0">
      <alignment horizontal="center" vertical="center" wrapText="1"/>
    </xf>
    <xf numFmtId="49" fontId="117" fillId="28" borderId="210" applyNumberFormat="1" applyFont="1" applyFill="1" applyBorder="1" applyAlignment="1" applyProtection="0">
      <alignment horizontal="center" vertical="center" wrapText="1"/>
    </xf>
    <xf numFmtId="0" fontId="117" fillId="28" borderId="211" applyNumberFormat="0" applyFont="1" applyFill="1" applyBorder="1" applyAlignment="1" applyProtection="0">
      <alignment horizontal="center" vertical="center" wrapText="1"/>
    </xf>
    <xf numFmtId="0" fontId="44" fillId="4" borderId="11" applyNumberFormat="0" applyFont="1" applyFill="1" applyBorder="1" applyAlignment="1" applyProtection="0">
      <alignment vertical="bottom"/>
    </xf>
    <xf numFmtId="49" fontId="44" fillId="4" borderId="212" applyNumberFormat="1" applyFont="1" applyFill="1" applyBorder="1" applyAlignment="1" applyProtection="0">
      <alignment vertical="bottom"/>
    </xf>
    <xf numFmtId="0" fontId="44" fillId="4" borderId="212" applyNumberFormat="1" applyFont="1" applyFill="1" applyBorder="1" applyAlignment="1" applyProtection="0">
      <alignment horizontal="center" vertical="center"/>
    </xf>
    <xf numFmtId="0" fontId="44" fillId="4" borderId="212" applyNumberFormat="0" applyFont="1" applyFill="1" applyBorder="1" applyAlignment="1" applyProtection="0">
      <alignment horizontal="center" vertical="center"/>
    </xf>
    <xf numFmtId="49" fontId="117" fillId="27" borderId="213" applyNumberFormat="1" applyFont="1" applyFill="1" applyBorder="1" applyAlignment="1" applyProtection="0">
      <alignment horizontal="center" vertical="center"/>
    </xf>
    <xf numFmtId="49" fontId="117" fillId="27" borderId="14" applyNumberFormat="1" applyFont="1" applyFill="1" applyBorder="1" applyAlignment="1" applyProtection="0">
      <alignment horizontal="left" vertical="center"/>
    </xf>
    <xf numFmtId="0" fontId="117" fillId="27" borderId="14" applyNumberFormat="0" applyFont="1" applyFill="1" applyBorder="1" applyAlignment="1" applyProtection="0">
      <alignment horizontal="right" vertical="bottom"/>
    </xf>
    <xf numFmtId="0" fontId="44" fillId="27" borderId="14" applyNumberFormat="0" applyFont="1" applyFill="1" applyBorder="1" applyAlignment="1" applyProtection="0">
      <alignment vertical="bottom"/>
    </xf>
    <xf numFmtId="0" fontId="44" fillId="27" borderId="14" applyNumberFormat="0" applyFont="1" applyFill="1" applyBorder="1" applyAlignment="1" applyProtection="0">
      <alignment horizontal="center" vertical="center"/>
    </xf>
    <xf numFmtId="0" fontId="44" fillId="30" borderId="14" applyNumberFormat="0" applyFont="1" applyFill="1" applyBorder="1" applyAlignment="1" applyProtection="0">
      <alignment horizontal="center" vertical="center"/>
    </xf>
    <xf numFmtId="9" fontId="117" fillId="27" borderId="214" applyNumberFormat="1" applyFont="1" applyFill="1" applyBorder="1" applyAlignment="1" applyProtection="0">
      <alignment horizontal="center" vertical="center"/>
    </xf>
    <xf numFmtId="60" fontId="117" fillId="28" borderId="215" applyNumberFormat="1" applyFont="1" applyFill="1" applyBorder="1" applyAlignment="1" applyProtection="0">
      <alignment horizontal="center" vertical="center"/>
    </xf>
    <xf numFmtId="9" fontId="117" fillId="28" borderId="215" applyNumberFormat="1" applyFont="1" applyFill="1" applyBorder="1" applyAlignment="1" applyProtection="0">
      <alignment horizontal="center" vertical="center"/>
    </xf>
    <xf numFmtId="9" fontId="117" fillId="28" borderId="216" applyNumberFormat="1" applyFont="1" applyFill="1" applyBorder="1" applyAlignment="1" applyProtection="0">
      <alignment horizontal="center" vertical="center"/>
    </xf>
    <xf numFmtId="0" fontId="44" fillId="4" borderId="13" applyNumberFormat="0" applyFont="1" applyFill="1" applyBorder="1" applyAlignment="1" applyProtection="0">
      <alignment vertical="bottom"/>
    </xf>
    <xf numFmtId="0" fontId="0" fillId="4" borderId="212" applyNumberFormat="0" applyFont="1" applyFill="1" applyBorder="1" applyAlignment="1" applyProtection="0">
      <alignment vertical="bottom"/>
    </xf>
    <xf numFmtId="49" fontId="42" fillId="27" borderId="217" applyNumberFormat="1" applyFont="1" applyFill="1" applyBorder="1" applyAlignment="1" applyProtection="0">
      <alignment horizontal="center" vertical="top"/>
    </xf>
    <xf numFmtId="49" fontId="122" fillId="27" borderId="55" applyNumberFormat="1" applyFont="1" applyFill="1" applyBorder="1" applyAlignment="1" applyProtection="0">
      <alignment horizontal="left" vertical="top"/>
    </xf>
    <xf numFmtId="0" fontId="44" fillId="27" borderId="10" applyNumberFormat="0" applyFont="1" applyFill="1" applyBorder="1" applyAlignment="1" applyProtection="0">
      <alignment vertical="bottom"/>
    </xf>
    <xf numFmtId="0" fontId="44" fillId="27" borderId="10" applyNumberFormat="0" applyFont="1" applyFill="1" applyBorder="1" applyAlignment="1" applyProtection="0">
      <alignment horizontal="center" vertical="center"/>
    </xf>
    <xf numFmtId="0" fontId="44" fillId="30" borderId="10" applyNumberFormat="0" applyFont="1" applyFill="1" applyBorder="1" applyAlignment="1" applyProtection="0">
      <alignment horizontal="center" vertical="center"/>
    </xf>
    <xf numFmtId="0" fontId="44" fillId="27" borderId="218" applyNumberFormat="0" applyFont="1" applyFill="1" applyBorder="1" applyAlignment="1" applyProtection="0">
      <alignment vertical="bottom"/>
    </xf>
    <xf numFmtId="60" fontId="117" fillId="28" borderId="219" applyNumberFormat="1" applyFont="1" applyFill="1" applyBorder="1" applyAlignment="1" applyProtection="0">
      <alignment horizontal="center" vertical="center"/>
    </xf>
    <xf numFmtId="9" fontId="117" fillId="28" borderId="219" applyNumberFormat="1" applyFont="1" applyFill="1" applyBorder="1" applyAlignment="1" applyProtection="0">
      <alignment horizontal="center" vertical="center"/>
    </xf>
    <xf numFmtId="9" fontId="117" fillId="28" borderId="220" applyNumberFormat="1" applyFont="1" applyFill="1" applyBorder="1" applyAlignment="1" applyProtection="0">
      <alignment horizontal="center" vertical="center"/>
    </xf>
    <xf numFmtId="49" fontId="44" fillId="4" borderId="212" applyNumberFormat="1" applyFont="1" applyFill="1" applyBorder="1" applyAlignment="1" applyProtection="0">
      <alignment horizontal="center" vertical="center"/>
    </xf>
    <xf numFmtId="49" fontId="101" fillId="9" borderId="12" applyNumberFormat="1" applyFont="1" applyFill="1" applyBorder="1" applyAlignment="1" applyProtection="0">
      <alignment horizontal="center" vertical="center" wrapText="1"/>
    </xf>
    <xf numFmtId="49" fontId="44" fillId="9" borderId="12" applyNumberFormat="1" applyFont="1" applyFill="1" applyBorder="1" applyAlignment="1" applyProtection="0">
      <alignment horizontal="left" vertical="center" wrapText="1"/>
    </xf>
    <xf numFmtId="0" fontId="44" fillId="4" borderId="221" applyNumberFormat="0" applyFont="1" applyFill="1" applyBorder="1" applyAlignment="1" applyProtection="0">
      <alignment horizontal="center" vertical="center"/>
    </xf>
    <xf numFmtId="0" fontId="44" fillId="4" borderId="222" applyNumberFormat="0" applyFont="1" applyFill="1" applyBorder="1" applyAlignment="1" applyProtection="0">
      <alignment horizontal="center" vertical="center"/>
    </xf>
    <xf numFmtId="49" fontId="44" fillId="4" borderId="223" applyNumberFormat="1" applyFont="1" applyFill="1" applyBorder="1" applyAlignment="1" applyProtection="0">
      <alignment horizontal="center" vertical="center"/>
    </xf>
    <xf numFmtId="0" fontId="44" fillId="30" borderId="224" applyNumberFormat="1" applyFont="1" applyFill="1" applyBorder="1" applyAlignment="1" applyProtection="0">
      <alignment horizontal="center" vertical="center"/>
    </xf>
    <xf numFmtId="9" fontId="44" fillId="4" borderId="225" applyNumberFormat="1" applyFont="1" applyFill="1" applyBorder="1" applyAlignment="1" applyProtection="0">
      <alignment horizontal="center" vertical="center"/>
    </xf>
    <xf numFmtId="9" fontId="44" fillId="4" borderId="41" applyNumberFormat="1" applyFont="1" applyFill="1" applyBorder="1" applyAlignment="1" applyProtection="0">
      <alignment horizontal="center" vertical="center"/>
    </xf>
    <xf numFmtId="9" fontId="123" fillId="4" borderId="41" applyNumberFormat="1" applyFont="1" applyFill="1" applyBorder="1" applyAlignment="1" applyProtection="0">
      <alignment horizontal="center" vertical="center"/>
    </xf>
    <xf numFmtId="9" fontId="123" fillId="4" borderId="226" applyNumberFormat="1" applyFont="1" applyFill="1" applyBorder="1" applyAlignment="1" applyProtection="0">
      <alignment horizontal="center" vertical="center"/>
    </xf>
    <xf numFmtId="9" fontId="123" fillId="4" borderId="13" applyNumberFormat="1" applyFont="1" applyFill="1" applyBorder="1" applyAlignment="1" applyProtection="0">
      <alignment horizontal="center" vertical="center"/>
    </xf>
    <xf numFmtId="49" fontId="101" fillId="4" borderId="12" applyNumberFormat="1" applyFont="1" applyFill="1" applyBorder="1" applyAlignment="1" applyProtection="0">
      <alignment horizontal="center" vertical="center" wrapText="1"/>
    </xf>
    <xf numFmtId="49" fontId="44" fillId="4" borderId="12" applyNumberFormat="1" applyFont="1" applyFill="1" applyBorder="1" applyAlignment="1" applyProtection="0">
      <alignment vertical="center" wrapText="1"/>
    </xf>
    <xf numFmtId="49" fontId="44" fillId="4" borderId="222" applyNumberFormat="1" applyFont="1" applyFill="1" applyBorder="1" applyAlignment="1" applyProtection="0">
      <alignment horizontal="center" vertical="center"/>
    </xf>
    <xf numFmtId="0" fontId="44" fillId="4" borderId="223" applyNumberFormat="0" applyFont="1" applyFill="1" applyBorder="1" applyAlignment="1" applyProtection="0">
      <alignment horizontal="center" vertical="center"/>
    </xf>
    <xf numFmtId="0" fontId="44" fillId="30" borderId="227" applyNumberFormat="1" applyFont="1" applyFill="1" applyBorder="1" applyAlignment="1" applyProtection="0">
      <alignment horizontal="center" vertical="center"/>
    </xf>
    <xf numFmtId="9" fontId="44" fillId="4" borderId="13" applyNumberFormat="1" applyFont="1" applyFill="1" applyBorder="1" applyAlignment="1" applyProtection="0">
      <alignment horizontal="center" vertical="center"/>
    </xf>
    <xf numFmtId="9" fontId="44" fillId="4" borderId="5" applyNumberFormat="1" applyFont="1" applyFill="1" applyBorder="1" applyAlignment="1" applyProtection="0">
      <alignment horizontal="center" vertical="center"/>
    </xf>
    <xf numFmtId="9" fontId="123" fillId="4" borderId="5" applyNumberFormat="1" applyFont="1" applyFill="1" applyBorder="1" applyAlignment="1" applyProtection="0">
      <alignment horizontal="center" vertical="center"/>
    </xf>
    <xf numFmtId="9" fontId="123" fillId="4" borderId="11" applyNumberFormat="1" applyFont="1" applyFill="1" applyBorder="1" applyAlignment="1" applyProtection="0">
      <alignment horizontal="center" vertical="center"/>
    </xf>
    <xf numFmtId="49" fontId="44" fillId="4" borderId="221" applyNumberFormat="1" applyFont="1" applyFill="1" applyBorder="1" applyAlignment="1" applyProtection="0">
      <alignment horizontal="center" vertical="center"/>
    </xf>
    <xf numFmtId="0" fontId="44" fillId="30" borderId="228" applyNumberFormat="1" applyFont="1" applyFill="1" applyBorder="1" applyAlignment="1" applyProtection="0">
      <alignment horizontal="center" vertical="center"/>
    </xf>
    <xf numFmtId="9" fontId="44" fillId="4" borderId="229" applyNumberFormat="1" applyFont="1" applyFill="1" applyBorder="1" applyAlignment="1" applyProtection="0">
      <alignment horizontal="center" vertical="center"/>
    </xf>
    <xf numFmtId="9" fontId="44" fillId="4" borderId="230" applyNumberFormat="1" applyFont="1" applyFill="1" applyBorder="1" applyAlignment="1" applyProtection="0">
      <alignment horizontal="center" vertical="center"/>
    </xf>
    <xf numFmtId="9" fontId="123" fillId="4" borderId="230" applyNumberFormat="1" applyFont="1" applyFill="1" applyBorder="1" applyAlignment="1" applyProtection="0">
      <alignment horizontal="center" vertical="center"/>
    </xf>
    <xf numFmtId="9" fontId="123" fillId="4" borderId="231" applyNumberFormat="1" applyFont="1" applyFill="1" applyBorder="1" applyAlignment="1" applyProtection="0">
      <alignment horizontal="center" vertical="center"/>
    </xf>
    <xf numFmtId="49" fontId="117" fillId="27" borderId="14" applyNumberFormat="1" applyFont="1" applyFill="1" applyBorder="1" applyAlignment="1" applyProtection="0">
      <alignment horizontal="right" vertical="bottom"/>
    </xf>
    <xf numFmtId="49" fontId="44" fillId="4" borderId="217" applyNumberFormat="1" applyFont="1" applyFill="1" applyBorder="1" applyAlignment="1" applyProtection="0">
      <alignment horizontal="center" vertical="center"/>
    </xf>
    <xf numFmtId="0" fontId="44" fillId="4" borderId="54" applyNumberFormat="0" applyFont="1" applyFill="1" applyBorder="1" applyAlignment="1" applyProtection="0">
      <alignment horizontal="center" vertical="center"/>
    </xf>
    <xf numFmtId="0" fontId="44" fillId="4" borderId="217" applyNumberFormat="0" applyFont="1" applyFill="1" applyBorder="1" applyAlignment="1" applyProtection="0">
      <alignment horizontal="center" vertical="center"/>
    </xf>
    <xf numFmtId="49" fontId="122" fillId="27" borderId="55" applyNumberFormat="1" applyFont="1" applyFill="1" applyBorder="1" applyAlignment="1" applyProtection="0">
      <alignment horizontal="left" vertical="top" wrapText="1"/>
    </xf>
    <xf numFmtId="0" fontId="122" fillId="27" borderId="10" applyNumberFormat="0" applyFont="1" applyFill="1" applyBorder="1" applyAlignment="1" applyProtection="0">
      <alignment horizontal="left" vertical="top" wrapText="1"/>
    </xf>
    <xf numFmtId="0" fontId="122" fillId="27" borderId="218" applyNumberFormat="0" applyFont="1" applyFill="1" applyBorder="1" applyAlignment="1" applyProtection="0">
      <alignment horizontal="left" vertical="top" wrapText="1"/>
    </xf>
    <xf numFmtId="49" fontId="44" fillId="4" borderId="54" applyNumberFormat="1" applyFont="1" applyFill="1" applyBorder="1" applyAlignment="1" applyProtection="0">
      <alignment horizontal="center" vertical="center"/>
    </xf>
    <xf numFmtId="9" fontId="44" fillId="4" borderId="55" applyNumberFormat="1" applyFont="1" applyFill="1" applyBorder="1" applyAlignment="1" applyProtection="0">
      <alignment horizontal="center" vertical="center"/>
    </xf>
    <xf numFmtId="9" fontId="44" fillId="4" borderId="10" applyNumberFormat="1" applyFont="1" applyFill="1" applyBorder="1" applyAlignment="1" applyProtection="0">
      <alignment horizontal="center" vertical="center"/>
    </xf>
    <xf numFmtId="9" fontId="123" fillId="4" borderId="49" applyNumberFormat="1" applyFont="1" applyFill="1" applyBorder="1" applyAlignment="1" applyProtection="0">
      <alignment horizontal="center" vertical="center"/>
    </xf>
    <xf numFmtId="9" fontId="123" fillId="4" borderId="232" applyNumberFormat="1" applyFont="1" applyFill="1" applyBorder="1" applyAlignment="1" applyProtection="0">
      <alignment horizontal="center" vertical="center"/>
    </xf>
    <xf numFmtId="0" fontId="44" fillId="4" borderId="14" applyNumberFormat="0" applyFont="1" applyFill="1" applyBorder="1" applyAlignment="1" applyProtection="0">
      <alignment vertical="bottom"/>
    </xf>
    <xf numFmtId="0" fontId="44" fillId="4" borderId="14" applyNumberFormat="0" applyFont="1" applyFill="1" applyBorder="1" applyAlignment="1" applyProtection="0">
      <alignment horizontal="center" vertical="center"/>
    </xf>
    <xf numFmtId="0" fontId="44" fillId="4" borderId="41" applyNumberFormat="0" applyFont="1" applyFill="1" applyBorder="1" applyAlignment="1" applyProtection="0">
      <alignment vertical="bottom"/>
    </xf>
    <xf numFmtId="49" fontId="44" fillId="8" borderId="4" applyNumberFormat="1" applyFont="1" applyFill="1" applyBorder="1" applyAlignment="1" applyProtection="0">
      <alignment vertical="bottom"/>
    </xf>
    <xf numFmtId="0" fontId="44" fillId="8" borderId="5" applyNumberFormat="0" applyFont="1" applyFill="1" applyBorder="1" applyAlignment="1" applyProtection="0">
      <alignment horizontal="center" vertical="bottom"/>
    </xf>
    <xf numFmtId="0" fontId="0" fillId="4" borderId="4" applyNumberFormat="0" applyFont="1" applyFill="1" applyBorder="1" applyAlignment="1" applyProtection="0">
      <alignment vertical="bottom"/>
    </xf>
    <xf numFmtId="0" fontId="0" fillId="4" borderId="6" applyNumberFormat="0" applyFont="1" applyFill="1" applyBorder="1" applyAlignment="1" applyProtection="0">
      <alignment vertical="bottom"/>
    </xf>
    <xf numFmtId="0" fontId="0" fillId="4" borderId="7" applyNumberFormat="0" applyFont="1" applyFill="1" applyBorder="1" applyAlignment="1" applyProtection="0">
      <alignment vertical="bottom"/>
    </xf>
    <xf numFmtId="0" fontId="0" fillId="4" borderId="8" applyNumberFormat="0" applyFont="1" applyFill="1" applyBorder="1" applyAlignment="1" applyProtection="0">
      <alignment vertical="bottom"/>
    </xf>
    <xf numFmtId="0" fontId="0" fillId="4" borderId="9" applyNumberFormat="0" applyFont="1" applyFill="1" applyBorder="1" applyAlignment="1" applyProtection="0">
      <alignment vertical="bottom"/>
    </xf>
    <xf numFmtId="0" fontId="0" applyNumberFormat="1" applyFont="1" applyFill="0" applyBorder="0" applyAlignment="1" applyProtection="0">
      <alignment vertical="bottom"/>
    </xf>
    <xf numFmtId="49" fontId="51" fillId="27" borderId="152" applyNumberFormat="1" applyFont="1" applyFill="1" applyBorder="1" applyAlignment="1" applyProtection="0">
      <alignment horizontal="left" vertical="center"/>
    </xf>
    <xf numFmtId="0" fontId="94" fillId="27" borderId="152" applyNumberFormat="0" applyFont="1" applyFill="1" applyBorder="1" applyAlignment="1" applyProtection="0">
      <alignment vertical="bottom"/>
    </xf>
    <xf numFmtId="0" fontId="96" fillId="27" borderId="152" applyNumberFormat="0" applyFont="1" applyFill="1" applyBorder="1" applyAlignment="1" applyProtection="0">
      <alignment vertical="center"/>
    </xf>
    <xf numFmtId="0" fontId="95" fillId="27" borderId="152" applyNumberFormat="0" applyFont="1" applyFill="1" applyBorder="1" applyAlignment="1" applyProtection="0">
      <alignment horizontal="center" vertical="bottom"/>
    </xf>
    <xf numFmtId="0" fontId="95" fillId="27" borderId="152" applyNumberFormat="0" applyFont="1" applyFill="1" applyBorder="1" applyAlignment="1" applyProtection="0">
      <alignment vertical="bottom"/>
    </xf>
    <xf numFmtId="0" fontId="97" borderId="152" applyNumberFormat="0" applyFont="1" applyFill="0" applyBorder="1" applyAlignment="1" applyProtection="0">
      <alignment vertical="bottom"/>
    </xf>
    <xf numFmtId="0" fontId="98" fillId="4" borderId="152" applyNumberFormat="0" applyFont="1" applyFill="1" applyBorder="1" applyAlignment="1" applyProtection="0">
      <alignment vertical="bottom" wrapText="1"/>
    </xf>
    <xf numFmtId="1" fontId="99" borderId="152" applyNumberFormat="1" applyFont="1" applyFill="0" applyBorder="1" applyAlignment="1" applyProtection="0">
      <alignment horizontal="center" vertical="bottom"/>
    </xf>
    <xf numFmtId="0" fontId="99" borderId="152" applyNumberFormat="0" applyFont="1" applyFill="0" applyBorder="1" applyAlignment="1" applyProtection="0">
      <alignment horizontal="center" vertical="bottom"/>
    </xf>
    <xf numFmtId="0" fontId="44" fillId="4" borderId="152" applyNumberFormat="0" applyFont="1" applyFill="1" applyBorder="1" applyAlignment="1" applyProtection="0">
      <alignment vertical="center"/>
    </xf>
    <xf numFmtId="0" fontId="105" fillId="4" borderId="196" applyNumberFormat="0" applyFont="1" applyFill="1" applyBorder="1" applyAlignment="1" applyProtection="0">
      <alignment horizontal="left" vertical="center"/>
    </xf>
    <xf numFmtId="0" fontId="0" applyNumberFormat="1" applyFont="1" applyFill="0" applyBorder="0" applyAlignment="1" applyProtection="0">
      <alignment vertical="bottom"/>
    </xf>
    <xf numFmtId="0" fontId="113" fillId="6" borderId="170" applyNumberFormat="0" applyFont="1" applyFill="1" applyBorder="1" applyAlignment="1" applyProtection="0">
      <alignment vertical="center" wrapText="1"/>
    </xf>
    <xf numFmtId="0" fontId="113" fillId="6" borderId="31" applyNumberFormat="0" applyFont="1" applyFill="1" applyBorder="1" applyAlignment="1" applyProtection="0">
      <alignment vertical="center" wrapText="1"/>
    </xf>
    <xf numFmtId="49" fontId="113" fillId="4" borderId="31" applyNumberFormat="1" applyFont="1" applyFill="1" applyBorder="1" applyAlignment="1" applyProtection="0">
      <alignment horizontal="left" vertical="center" wrapText="1"/>
    </xf>
    <xf numFmtId="0" fontId="44" fillId="6" borderId="170" applyNumberFormat="0" applyFont="1" applyFill="1" applyBorder="1" applyAlignment="1" applyProtection="0">
      <alignment horizontal="center" vertical="center" wrapText="1"/>
    </xf>
    <xf numFmtId="49" fontId="44" fillId="4" borderId="31" applyNumberFormat="1" applyFont="1" applyFill="1" applyBorder="1" applyAlignment="1" applyProtection="0">
      <alignment horizontal="left" vertical="center" wrapText="1"/>
    </xf>
    <xf numFmtId="0" fontId="44" fillId="6" borderId="170" applyNumberFormat="0" applyFont="1" applyFill="1" applyBorder="1" applyAlignment="1" applyProtection="0">
      <alignment horizontal="center" vertical="center"/>
    </xf>
    <xf numFmtId="49" fontId="44" fillId="4" borderId="31" applyNumberFormat="1" applyFont="1" applyFill="1" applyBorder="1" applyAlignment="1" applyProtection="0">
      <alignment horizontal="left" vertical="center"/>
    </xf>
    <xf numFmtId="49" fontId="44" fillId="2" borderId="177" applyNumberFormat="1" applyFont="1" applyFill="1" applyBorder="1" applyAlignment="1" applyProtection="0">
      <alignment horizontal="center" vertical="center" wrapText="1"/>
    </xf>
    <xf numFmtId="0" fontId="44" fillId="9" borderId="178" applyNumberFormat="0" applyFont="1" applyFill="1" applyBorder="1" applyAlignment="1" applyProtection="0">
      <alignment vertical="top" wrapText="1"/>
    </xf>
    <xf numFmtId="0" fontId="67" fillId="6" borderId="233" applyNumberFormat="0" applyFont="1" applyFill="1" applyBorder="1" applyAlignment="1" applyProtection="0">
      <alignment vertical="center" wrapText="1"/>
    </xf>
    <xf numFmtId="0" fontId="44" fillId="6" borderId="67" applyNumberFormat="0" applyFont="1" applyFill="1" applyBorder="1" applyAlignment="1" applyProtection="0">
      <alignment horizontal="center" vertical="center"/>
    </xf>
    <xf numFmtId="0" fontId="44" fillId="6" borderId="234" applyNumberFormat="0" applyFont="1" applyFill="1" applyBorder="1" applyAlignment="1" applyProtection="0">
      <alignment horizontal="center" vertical="center"/>
    </xf>
    <xf numFmtId="0" fontId="44" fillId="6" borderId="235" applyNumberFormat="0" applyFont="1" applyFill="1" applyBorder="1" applyAlignment="1" applyProtection="0">
      <alignment horizontal="center" vertical="center"/>
    </xf>
    <xf numFmtId="0" fontId="120" fillId="4" borderId="29" applyNumberFormat="0" applyFont="1" applyFill="1" applyBorder="1" applyAlignment="1" applyProtection="0">
      <alignment vertical="center" wrapText="1"/>
    </xf>
    <xf numFmtId="0" fontId="44" fillId="4" borderId="31" applyNumberFormat="0" applyFont="1" applyFill="1" applyBorder="1" applyAlignment="1" applyProtection="0">
      <alignment horizontal="center" vertical="center"/>
    </xf>
    <xf numFmtId="49" fontId="67" fillId="4" borderId="197" applyNumberFormat="1" applyFont="1" applyFill="1" applyBorder="1" applyAlignment="1" applyProtection="0">
      <alignment horizontal="center" vertical="center"/>
    </xf>
    <xf numFmtId="0" fontId="67" fillId="4" borderId="198" applyNumberFormat="1" applyFont="1" applyFill="1" applyBorder="1" applyAlignment="1" applyProtection="0">
      <alignment horizontal="center" vertical="center"/>
    </xf>
    <xf numFmtId="0" fontId="67" fillId="4" borderId="199" applyNumberFormat="0" applyFont="1" applyFill="1" applyBorder="1" applyAlignment="1" applyProtection="0">
      <alignment horizontal="center" vertical="center"/>
    </xf>
    <xf numFmtId="0" fontId="67" fillId="4" borderId="200" applyNumberFormat="0" applyFont="1" applyFill="1" applyBorder="1" applyAlignment="1" applyProtection="0">
      <alignment horizontal="center" vertical="center"/>
    </xf>
    <xf numFmtId="1" fontId="119" fillId="4" borderId="5" applyNumberFormat="1" applyFont="1" applyFill="1" applyBorder="1" applyAlignment="1" applyProtection="0">
      <alignment vertical="center" wrapText="1"/>
    </xf>
    <xf numFmtId="0" fontId="44" fillId="4" borderId="204" applyNumberFormat="0" applyFont="1" applyFill="1" applyBorder="1" applyAlignment="1" applyProtection="0">
      <alignment horizontal="center" vertical="center"/>
    </xf>
    <xf numFmtId="0" fontId="101" fillId="4" borderId="31" applyNumberFormat="0" applyFont="1" applyFill="1" applyBorder="1" applyAlignment="1" applyProtection="0">
      <alignment horizontal="center" vertical="center"/>
    </xf>
    <xf numFmtId="0" fontId="44" fillId="4" borderId="236" applyNumberFormat="0" applyFont="1" applyFill="1" applyBorder="1" applyAlignment="1" applyProtection="0">
      <alignment vertical="bottom"/>
    </xf>
    <xf numFmtId="9" fontId="44" fillId="4" borderId="79" applyNumberFormat="1" applyFont="1" applyFill="1" applyBorder="1" applyAlignment="1" applyProtection="0">
      <alignment horizontal="center" vertical="center"/>
    </xf>
    <xf numFmtId="9" fontId="44" fillId="4" borderId="49" applyNumberFormat="1" applyFont="1" applyFill="1" applyBorder="1" applyAlignment="1" applyProtection="0">
      <alignment horizontal="center" vertical="center"/>
    </xf>
    <xf numFmtId="0" fontId="0" applyNumberFormat="1" applyFont="1" applyFill="0" applyBorder="0" applyAlignment="1" applyProtection="0">
      <alignment vertical="bottom"/>
    </xf>
    <xf numFmtId="0" fontId="0" applyNumberFormat="1" applyFont="1" applyFill="0" applyBorder="0" applyAlignment="1" applyProtection="0">
      <alignment vertical="bottom"/>
    </xf>
    <xf numFmtId="0" fontId="44" fillId="4" borderId="2" applyNumberFormat="0" applyFont="1" applyFill="1" applyBorder="1" applyAlignment="1" applyProtection="0">
      <alignment vertical="bottom"/>
    </xf>
    <xf numFmtId="0" fontId="0" fillId="4" borderId="2" applyNumberFormat="0" applyFont="1" applyFill="1" applyBorder="1" applyAlignment="1" applyProtection="0">
      <alignment vertical="bottom"/>
    </xf>
    <xf numFmtId="0" fontId="0" fillId="4" borderId="3" applyNumberFormat="0" applyFont="1" applyFill="1" applyBorder="1" applyAlignment="1" applyProtection="0">
      <alignment vertical="bottom"/>
    </xf>
    <xf numFmtId="0" fontId="112" fillId="4" borderId="159" applyNumberFormat="0" applyFont="1" applyFill="1" applyBorder="1" applyAlignment="1" applyProtection="0">
      <alignment vertical="center" wrapText="1"/>
    </xf>
    <xf numFmtId="0" fontId="120" fillId="4" borderId="49" applyNumberFormat="0" applyFont="1" applyFill="1" applyBorder="1" applyAlignment="1" applyProtection="0">
      <alignment vertical="center" wrapText="1"/>
    </xf>
    <xf numFmtId="0" fontId="0" fillId="4" borderId="49" applyNumberFormat="0" applyFont="1" applyFill="1" applyBorder="1" applyAlignment="1" applyProtection="0">
      <alignment vertical="bottom"/>
    </xf>
    <xf numFmtId="49" fontId="0" fillId="4" borderId="6" applyNumberFormat="1" applyFont="1" applyFill="1" applyBorder="1" applyAlignment="1" applyProtection="0">
      <alignment vertical="bottom"/>
    </xf>
    <xf numFmtId="0" fontId="0" applyNumberFormat="1" applyFont="1" applyFill="0" applyBorder="0" applyAlignment="1" applyProtection="0">
      <alignment vertical="bottom"/>
    </xf>
    <xf numFmtId="0" fontId="0" applyNumberFormat="1" applyFont="1" applyFill="0" applyBorder="0" applyAlignment="1" applyProtection="0">
      <alignment vertical="bottom"/>
    </xf>
    <xf numFmtId="0" fontId="120" fillId="4" borderId="237" applyNumberFormat="0" applyFont="1" applyFill="1" applyBorder="1" applyAlignment="1" applyProtection="0">
      <alignment vertical="center" wrapText="1"/>
    </xf>
    <xf numFmtId="0" fontId="44" fillId="4" borderId="237" applyNumberFormat="0" applyFont="1" applyFill="1" applyBorder="1" applyAlignment="1" applyProtection="0">
      <alignment horizontal="center" vertical="center"/>
    </xf>
    <xf numFmtId="0" fontId="44" fillId="4" borderId="237" applyNumberFormat="0" applyFont="1" applyFill="1" applyBorder="1" applyAlignment="1" applyProtection="0">
      <alignment vertical="bottom"/>
    </xf>
    <xf numFmtId="0" fontId="0" applyNumberFormat="1" applyFont="1" applyFill="0" applyBorder="0" applyAlignment="1" applyProtection="0">
      <alignment vertical="bottom"/>
    </xf>
    <xf numFmtId="0" fontId="44" fillId="10" borderId="1" applyNumberFormat="0" applyFont="1" applyFill="1" applyBorder="1" applyAlignment="1" applyProtection="0">
      <alignment vertical="bottom"/>
    </xf>
    <xf numFmtId="49" fontId="89" fillId="10" borderId="2" applyNumberFormat="1" applyFont="1" applyFill="1" applyBorder="1" applyAlignment="1" applyProtection="0">
      <alignment horizontal="left" vertical="center"/>
    </xf>
    <xf numFmtId="0" fontId="90" fillId="10" borderId="2" applyNumberFormat="0" applyFont="1" applyFill="1" applyBorder="1" applyAlignment="1" applyProtection="0">
      <alignment horizontal="center" vertical="center" wrapText="1"/>
    </xf>
    <xf numFmtId="0" fontId="44" fillId="10" borderId="2" applyNumberFormat="0" applyFont="1" applyFill="1" applyBorder="1" applyAlignment="1" applyProtection="0">
      <alignment vertical="bottom"/>
    </xf>
    <xf numFmtId="0" fontId="90" fillId="10" borderId="2" applyNumberFormat="0" applyFont="1" applyFill="1" applyBorder="1" applyAlignment="1" applyProtection="0">
      <alignment vertical="center" wrapText="1"/>
    </xf>
    <xf numFmtId="49" fontId="89" fillId="10" borderId="2" applyNumberFormat="1" applyFont="1" applyFill="1" applyBorder="1" applyAlignment="1" applyProtection="0">
      <alignment horizontal="center" vertical="center"/>
    </xf>
    <xf numFmtId="0" fontId="44" fillId="10" borderId="3" applyNumberFormat="0" applyFont="1" applyFill="1" applyBorder="1" applyAlignment="1" applyProtection="0">
      <alignment vertical="bottom"/>
    </xf>
    <xf numFmtId="0" fontId="44" fillId="10" borderId="4" applyNumberFormat="0" applyFont="1" applyFill="1" applyBorder="1" applyAlignment="1" applyProtection="0">
      <alignment vertical="bottom"/>
    </xf>
    <xf numFmtId="0" fontId="44" fillId="10" borderId="5" applyNumberFormat="0" applyFont="1" applyFill="1" applyBorder="1" applyAlignment="1" applyProtection="0">
      <alignment vertical="bottom"/>
    </xf>
    <xf numFmtId="49" fontId="91" fillId="10" borderId="5" applyNumberFormat="1" applyFont="1" applyFill="1" applyBorder="1" applyAlignment="1" applyProtection="0">
      <alignment horizontal="center" vertical="top"/>
    </xf>
    <xf numFmtId="0" fontId="44" fillId="10" borderId="6" applyNumberFormat="0" applyFont="1" applyFill="1" applyBorder="1" applyAlignment="1" applyProtection="0">
      <alignment vertical="bottom"/>
    </xf>
    <xf numFmtId="0" fontId="94" fillId="10" borderId="4" applyNumberFormat="0" applyFont="1" applyFill="1" applyBorder="1" applyAlignment="1" applyProtection="0">
      <alignment vertical="bottom"/>
    </xf>
    <xf numFmtId="0" fontId="94" fillId="10" borderId="6" applyNumberFormat="0" applyFont="1" applyFill="1" applyBorder="1" applyAlignment="1" applyProtection="0">
      <alignment vertical="bottom"/>
    </xf>
    <xf numFmtId="0" fontId="97" fillId="10" borderId="4" applyNumberFormat="0" applyFont="1" applyFill="1" applyBorder="1" applyAlignment="1" applyProtection="0">
      <alignment vertical="bottom"/>
    </xf>
    <xf numFmtId="0" fontId="97" fillId="10" borderId="6" applyNumberFormat="0" applyFont="1" applyFill="1" applyBorder="1" applyAlignment="1" applyProtection="0">
      <alignment vertical="bottom"/>
    </xf>
    <xf numFmtId="49" fontId="44" fillId="10" borderId="7" applyNumberFormat="1" applyFont="1" applyFill="1" applyBorder="1" applyAlignment="1" applyProtection="0">
      <alignment vertical="bottom"/>
    </xf>
    <xf numFmtId="0" fontId="44" fillId="10" borderId="8" applyNumberFormat="0" applyFont="1" applyFill="1" applyBorder="1" applyAlignment="1" applyProtection="0">
      <alignment vertical="bottom"/>
    </xf>
    <xf numFmtId="49" fontId="44" fillId="10" borderId="9" applyNumberFormat="1" applyFont="1" applyFill="1" applyBorder="1" applyAlignment="1" applyProtection="0">
      <alignment vertical="bottom"/>
    </xf>
    <xf numFmtId="0" fontId="0" applyNumberFormat="1" applyFont="1" applyFill="0" applyBorder="0" applyAlignment="1" applyProtection="0">
      <alignment vertical="bottom"/>
    </xf>
    <xf numFmtId="0" fontId="0" fillId="10" borderId="1" applyNumberFormat="0" applyFont="1" applyFill="1" applyBorder="1" applyAlignment="1" applyProtection="0">
      <alignment vertical="bottom"/>
    </xf>
    <xf numFmtId="0" fontId="0" fillId="10" borderId="2" applyNumberFormat="0" applyFont="1" applyFill="1" applyBorder="1" applyAlignment="1" applyProtection="0">
      <alignment vertical="bottom"/>
    </xf>
    <xf numFmtId="0" fontId="91" fillId="10" borderId="2" applyNumberFormat="0" applyFont="1" applyFill="1" applyBorder="1" applyAlignment="1" applyProtection="0">
      <alignment horizontal="left" vertical="bottom"/>
    </xf>
    <xf numFmtId="0" fontId="90" fillId="10" borderId="2" applyNumberFormat="0" applyFont="1" applyFill="1" applyBorder="1" applyAlignment="1" applyProtection="0">
      <alignment horizontal="left" vertical="center"/>
    </xf>
    <xf numFmtId="0" fontId="108" fillId="10" borderId="2" applyNumberFormat="0" applyFont="1" applyFill="1" applyBorder="1" applyAlignment="1" applyProtection="0">
      <alignment horizontal="center" vertical="center"/>
    </xf>
    <xf numFmtId="49" fontId="108" fillId="10" borderId="2" applyNumberFormat="1" applyFont="1" applyFill="1" applyBorder="1" applyAlignment="1" applyProtection="0">
      <alignment horizontal="center" vertical="center"/>
    </xf>
    <xf numFmtId="0" fontId="91" fillId="10" borderId="5" applyNumberFormat="0" applyFont="1" applyFill="1" applyBorder="1" applyAlignment="1" applyProtection="0">
      <alignment horizontal="center" vertical="top"/>
    </xf>
    <xf numFmtId="0" fontId="90" fillId="10" borderId="5" applyNumberFormat="0" applyFont="1" applyFill="1" applyBorder="1" applyAlignment="1" applyProtection="0">
      <alignment horizontal="center" vertical="center" wrapText="1"/>
    </xf>
    <xf numFmtId="49" fontId="125" fillId="4" borderId="5" applyNumberFormat="1" applyFont="1" applyFill="1" applyBorder="1" applyAlignment="1" applyProtection="0">
      <alignment horizontal="center" vertical="bottom"/>
    </xf>
    <xf numFmtId="0" fontId="110" fillId="10" borderId="5" applyNumberFormat="0" applyFont="1" applyFill="1" applyBorder="1" applyAlignment="1" applyProtection="0">
      <alignment vertical="center" wrapText="1"/>
    </xf>
    <xf numFmtId="0" fontId="112" fillId="4" borderId="238" applyNumberFormat="0" applyFont="1" applyFill="1" applyBorder="1" applyAlignment="1" applyProtection="0">
      <alignment vertical="center" wrapText="1"/>
    </xf>
    <xf numFmtId="0" fontId="44" fillId="4" borderId="238" applyNumberFormat="0" applyFont="1" applyFill="1" applyBorder="1" applyAlignment="1" applyProtection="0">
      <alignment vertical="bottom"/>
    </xf>
    <xf numFmtId="0" fontId="44" fillId="4" borderId="238" applyNumberFormat="0" applyFont="1" applyFill="1" applyBorder="1" applyAlignment="1" applyProtection="0">
      <alignment horizontal="center" vertical="bottom"/>
    </xf>
    <xf numFmtId="0" fontId="44" fillId="4" borderId="239" applyNumberFormat="0" applyFont="1" applyFill="1" applyBorder="1" applyAlignment="1" applyProtection="0">
      <alignment vertical="bottom"/>
    </xf>
    <xf numFmtId="0" fontId="44" fillId="10" borderId="4" applyNumberFormat="0" applyFont="1" applyFill="1" applyBorder="1" applyAlignment="1" applyProtection="0">
      <alignment vertical="bottom" wrapText="1"/>
    </xf>
    <xf numFmtId="0" fontId="113" fillId="4" borderId="240" applyNumberFormat="0" applyFont="1" applyFill="1" applyBorder="1" applyAlignment="1" applyProtection="0">
      <alignment vertical="center" wrapText="1"/>
    </xf>
    <xf numFmtId="0" fontId="113" fillId="11" borderId="241" applyNumberFormat="0" applyFont="1" applyFill="1" applyBorder="1" applyAlignment="1" applyProtection="0">
      <alignment vertical="center" wrapText="1"/>
    </xf>
    <xf numFmtId="0" fontId="113" fillId="11" borderId="242" applyNumberFormat="0" applyFont="1" applyFill="1" applyBorder="1" applyAlignment="1" applyProtection="0">
      <alignment vertical="center" wrapText="1"/>
    </xf>
    <xf numFmtId="0" fontId="44" fillId="11" borderId="243" applyNumberFormat="0" applyFont="1" applyFill="1" applyBorder="1" applyAlignment="1" applyProtection="0">
      <alignment vertical="bottom" wrapText="1"/>
    </xf>
    <xf numFmtId="0" fontId="110" fillId="11" borderId="243" applyNumberFormat="0" applyFont="1" applyFill="1" applyBorder="1" applyAlignment="1" applyProtection="0">
      <alignment vertical="center" wrapText="1"/>
    </xf>
    <xf numFmtId="0" fontId="110" fillId="11" borderId="242" applyNumberFormat="0" applyFont="1" applyFill="1" applyBorder="1" applyAlignment="1" applyProtection="0">
      <alignment vertical="center" wrapText="1"/>
    </xf>
    <xf numFmtId="0" fontId="110" fillId="11" borderId="244" applyNumberFormat="0" applyFont="1" applyFill="1" applyBorder="1" applyAlignment="1" applyProtection="0">
      <alignment vertical="center" wrapText="1"/>
    </xf>
    <xf numFmtId="0" fontId="110" fillId="11" borderId="245" applyNumberFormat="0" applyFont="1" applyFill="1" applyBorder="1" applyAlignment="1" applyProtection="0">
      <alignment vertical="center" wrapText="1"/>
    </xf>
    <xf numFmtId="0" fontId="110" fillId="4" borderId="246" applyNumberFormat="0" applyFont="1" applyFill="1" applyBorder="1" applyAlignment="1" applyProtection="0">
      <alignment vertical="center" wrapText="1"/>
    </xf>
    <xf numFmtId="0" fontId="44" fillId="10" borderId="5" applyNumberFormat="0" applyFont="1" applyFill="1" applyBorder="1" applyAlignment="1" applyProtection="0">
      <alignment horizontal="center" vertical="center"/>
    </xf>
    <xf numFmtId="0" fontId="113" fillId="11" borderId="246" applyNumberFormat="0" applyFont="1" applyFill="1" applyBorder="1" applyAlignment="1" applyProtection="0">
      <alignment vertical="center" wrapText="1"/>
    </xf>
    <xf numFmtId="0" fontId="113" fillId="11" borderId="29" applyNumberFormat="0" applyFont="1" applyFill="1" applyBorder="1" applyAlignment="1" applyProtection="0">
      <alignment vertical="center" wrapText="1"/>
    </xf>
    <xf numFmtId="0" fontId="44" fillId="11" borderId="32" applyNumberFormat="0" applyFont="1" applyFill="1" applyBorder="1" applyAlignment="1" applyProtection="0">
      <alignment vertical="center"/>
    </xf>
    <xf numFmtId="0" fontId="44" fillId="11" borderId="247" applyNumberFormat="0" applyFont="1" applyFill="1" applyBorder="1" applyAlignment="1" applyProtection="0">
      <alignment vertical="center"/>
    </xf>
    <xf numFmtId="0" fontId="44" fillId="4" borderId="248" applyNumberFormat="0" applyFont="1" applyFill="1" applyBorder="1" applyAlignment="1" applyProtection="0">
      <alignment vertical="center"/>
    </xf>
    <xf numFmtId="49" fontId="113" fillId="4" borderId="29" applyNumberFormat="1" applyFont="1" applyFill="1" applyBorder="1" applyAlignment="1" applyProtection="0">
      <alignment vertical="center" wrapText="1"/>
    </xf>
    <xf numFmtId="0" fontId="44" fillId="11" borderId="171" applyNumberFormat="0" applyFont="1" applyFill="1" applyBorder="1" applyAlignment="1" applyProtection="0">
      <alignment horizontal="center" vertical="center"/>
    </xf>
    <xf numFmtId="0" fontId="44" fillId="11" borderId="174" applyNumberFormat="0" applyFont="1" applyFill="1" applyBorder="1" applyAlignment="1" applyProtection="0">
      <alignment vertical="top" wrapText="1"/>
    </xf>
    <xf numFmtId="0" fontId="44" fillId="11" borderId="174" applyNumberFormat="0" applyFont="1" applyFill="1" applyBorder="1" applyAlignment="1" applyProtection="0">
      <alignment vertical="top"/>
    </xf>
    <xf numFmtId="0" fontId="44" fillId="10" borderId="5" applyNumberFormat="0" applyFont="1" applyFill="1" applyBorder="1" applyAlignment="1" applyProtection="0">
      <alignment horizontal="center" vertical="center" wrapText="1"/>
    </xf>
    <xf numFmtId="0" fontId="44" fillId="4" borderId="240" applyNumberFormat="0" applyFont="1" applyFill="1" applyBorder="1" applyAlignment="1" applyProtection="0">
      <alignment horizontal="center" vertical="center" wrapText="1"/>
    </xf>
    <xf numFmtId="0" fontId="44" fillId="11" borderId="246" applyNumberFormat="0" applyFont="1" applyFill="1" applyBorder="1" applyAlignment="1" applyProtection="0">
      <alignment horizontal="center" vertical="center" wrapText="1"/>
    </xf>
    <xf numFmtId="0" fontId="44" fillId="4" borderId="246" applyNumberFormat="0" applyFont="1" applyFill="1" applyBorder="1" applyAlignment="1" applyProtection="0">
      <alignment vertical="center"/>
    </xf>
    <xf numFmtId="0" fontId="44" fillId="4" borderId="240" applyNumberFormat="0" applyFont="1" applyFill="1" applyBorder="1" applyAlignment="1" applyProtection="0">
      <alignment horizontal="center" vertical="center"/>
    </xf>
    <xf numFmtId="0" fontId="44" fillId="11" borderId="246" applyNumberFormat="0" applyFont="1" applyFill="1" applyBorder="1" applyAlignment="1" applyProtection="0">
      <alignment horizontal="center" vertical="center"/>
    </xf>
    <xf numFmtId="0" fontId="53" fillId="4" borderId="240" applyNumberFormat="0" applyFont="1" applyFill="1" applyBorder="1" applyAlignment="1" applyProtection="0">
      <alignment vertical="center" wrapText="1"/>
    </xf>
    <xf numFmtId="0" fontId="53" fillId="11" borderId="246" applyNumberFormat="0" applyFont="1" applyFill="1" applyBorder="1" applyAlignment="1" applyProtection="0">
      <alignment vertical="center" wrapText="1"/>
    </xf>
    <xf numFmtId="0" fontId="44" fillId="11" borderId="5" applyNumberFormat="0" applyFont="1" applyFill="1" applyBorder="1" applyAlignment="1" applyProtection="0">
      <alignment horizontal="center" vertical="center"/>
    </xf>
    <xf numFmtId="0" fontId="44" fillId="11" borderId="249" applyNumberFormat="0" applyFont="1" applyFill="1" applyBorder="1" applyAlignment="1" applyProtection="0">
      <alignment vertical="bottom"/>
    </xf>
    <xf numFmtId="0" fontId="44" fillId="11" borderId="41" applyNumberFormat="0" applyFont="1" applyFill="1" applyBorder="1" applyAlignment="1" applyProtection="0">
      <alignment vertical="bottom"/>
    </xf>
    <xf numFmtId="0" fontId="44" fillId="11" borderId="5" applyNumberFormat="0" applyFont="1" applyFill="1" applyBorder="1" applyAlignment="1" applyProtection="0">
      <alignment vertical="bottom"/>
    </xf>
    <xf numFmtId="0" fontId="44" fillId="11" borderId="180" applyNumberFormat="0" applyFont="1" applyFill="1" applyBorder="1" applyAlignment="1" applyProtection="0">
      <alignment vertical="bottom"/>
    </xf>
    <xf numFmtId="0" fontId="44" fillId="11" borderId="250" applyNumberFormat="0" applyFont="1" applyFill="1" applyBorder="1" applyAlignment="1" applyProtection="0">
      <alignment vertical="bottom"/>
    </xf>
    <xf numFmtId="0" fontId="44" fillId="11" borderId="240" applyNumberFormat="0" applyFont="1" applyFill="1" applyBorder="1" applyAlignment="1" applyProtection="0">
      <alignment vertical="bottom"/>
    </xf>
    <xf numFmtId="0" fontId="44" fillId="4" borderId="246" applyNumberFormat="0" applyFont="1" applyFill="1" applyBorder="1" applyAlignment="1" applyProtection="0">
      <alignment vertical="bottom"/>
    </xf>
    <xf numFmtId="0" fontId="44" fillId="10" borderId="5" applyNumberFormat="0" applyFont="1" applyFill="1" applyBorder="1" applyAlignment="1" applyProtection="0">
      <alignment vertical="center"/>
    </xf>
    <xf numFmtId="0" fontId="120" fillId="4" borderId="240" applyNumberFormat="0" applyFont="1" applyFill="1" applyBorder="1" applyAlignment="1" applyProtection="0">
      <alignment vertical="center" wrapText="1"/>
    </xf>
    <xf numFmtId="0" fontId="67" fillId="11" borderId="246" applyNumberFormat="0" applyFont="1" applyFill="1" applyBorder="1" applyAlignment="1" applyProtection="0">
      <alignment vertical="center" wrapText="1"/>
    </xf>
    <xf numFmtId="0" fontId="44" fillId="11" borderId="11" applyNumberFormat="0" applyFont="1" applyFill="1" applyBorder="1" applyAlignment="1" applyProtection="0">
      <alignment horizontal="center" vertical="center"/>
    </xf>
    <xf numFmtId="49" fontId="114" fillId="27" borderId="251" applyNumberFormat="1" applyFont="1" applyFill="1" applyBorder="1" applyAlignment="1" applyProtection="0">
      <alignment horizontal="center" vertical="center" wrapText="1"/>
    </xf>
    <xf numFmtId="0" fontId="44" fillId="11" borderId="13" applyNumberFormat="0" applyFont="1" applyFill="1" applyBorder="1" applyAlignment="1" applyProtection="0">
      <alignment vertical="center"/>
    </xf>
    <xf numFmtId="0" fontId="44" fillId="11" borderId="5" applyNumberFormat="0" applyFont="1" applyFill="1" applyBorder="1" applyAlignment="1" applyProtection="0">
      <alignment vertical="center"/>
    </xf>
    <xf numFmtId="0" fontId="44" fillId="11" borderId="153" applyNumberFormat="0" applyFont="1" applyFill="1" applyBorder="1" applyAlignment="1" applyProtection="0">
      <alignment horizontal="center" vertical="bottom"/>
    </xf>
    <xf numFmtId="0" fontId="44" fillId="11" borderId="153" applyNumberFormat="0" applyFont="1" applyFill="1" applyBorder="1" applyAlignment="1" applyProtection="0">
      <alignment vertical="bottom"/>
    </xf>
    <xf numFmtId="0" fontId="44" fillId="11" borderId="11" applyNumberFormat="0" applyFont="1" applyFill="1" applyBorder="1" applyAlignment="1" applyProtection="0">
      <alignment vertical="top" wrapText="1"/>
    </xf>
    <xf numFmtId="49" fontId="117" fillId="27" borderId="252" applyNumberFormat="1" applyFont="1" applyFill="1" applyBorder="1" applyAlignment="1" applyProtection="0">
      <alignment horizontal="center" vertical="center" wrapText="1"/>
    </xf>
    <xf numFmtId="49" fontId="117" fillId="27" borderId="253" applyNumberFormat="1" applyFont="1" applyFill="1" applyBorder="1" applyAlignment="1" applyProtection="0">
      <alignment horizontal="center" vertical="center" wrapText="1"/>
    </xf>
    <xf numFmtId="0" fontId="44" fillId="11" borderId="254" applyNumberFormat="0" applyFont="1" applyFill="1" applyBorder="1" applyAlignment="1" applyProtection="0">
      <alignment vertical="bottom"/>
    </xf>
    <xf numFmtId="0" fontId="44" fillId="11" borderId="154" applyNumberFormat="0" applyFont="1" applyFill="1" applyBorder="1" applyAlignment="1" applyProtection="0">
      <alignment horizontal="center" vertical="center"/>
    </xf>
    <xf numFmtId="0" fontId="44" fillId="11" borderId="156" applyNumberFormat="0" applyFont="1" applyFill="1" applyBorder="1" applyAlignment="1" applyProtection="0">
      <alignment vertical="center"/>
    </xf>
    <xf numFmtId="0" fontId="44" fillId="11" borderId="154" applyNumberFormat="0" applyFont="1" applyFill="1" applyBorder="1" applyAlignment="1" applyProtection="0">
      <alignment vertical="center"/>
    </xf>
    <xf numFmtId="0" fontId="44" fillId="11" borderId="174" applyNumberFormat="0" applyFont="1" applyFill="1" applyBorder="1" applyAlignment="1" applyProtection="0">
      <alignment vertical="bottom"/>
    </xf>
    <xf numFmtId="60" fontId="52" fillId="4" borderId="255" applyNumberFormat="1" applyFont="1" applyFill="1" applyBorder="1" applyAlignment="1" applyProtection="0">
      <alignment horizontal="center" vertical="center"/>
    </xf>
    <xf numFmtId="9" fontId="52" fillId="4" borderId="255" applyNumberFormat="1" applyFont="1" applyFill="1" applyBorder="1" applyAlignment="1" applyProtection="0">
      <alignment horizontal="center" vertical="center"/>
    </xf>
    <xf numFmtId="0" fontId="44" fillId="11" borderId="247" applyNumberFormat="0" applyFont="1" applyFill="1" applyBorder="1" applyAlignment="1" applyProtection="0">
      <alignment vertical="bottom"/>
    </xf>
    <xf numFmtId="0" fontId="120" fillId="11" borderId="256" applyNumberFormat="0" applyFont="1" applyFill="1" applyBorder="1" applyAlignment="1" applyProtection="0">
      <alignment vertical="center" wrapText="1"/>
    </xf>
    <xf numFmtId="0" fontId="44" fillId="11" borderId="238" applyNumberFormat="0" applyFont="1" applyFill="1" applyBorder="1" applyAlignment="1" applyProtection="0">
      <alignment horizontal="center" vertical="center"/>
    </xf>
    <xf numFmtId="0" fontId="44" fillId="11" borderId="239" applyNumberFormat="0" applyFont="1" applyFill="1" applyBorder="1" applyAlignment="1" applyProtection="0">
      <alignment vertical="bottom"/>
    </xf>
    <xf numFmtId="0" fontId="44" fillId="11" borderId="238" applyNumberFormat="0" applyFont="1" applyFill="1" applyBorder="1" applyAlignment="1" applyProtection="0">
      <alignment vertical="bottom"/>
    </xf>
    <xf numFmtId="0" fontId="44" fillId="11" borderId="239" applyNumberFormat="0" applyFont="1" applyFill="1" applyBorder="1" applyAlignment="1" applyProtection="0">
      <alignment horizontal="center" vertical="bottom"/>
    </xf>
    <xf numFmtId="0" fontId="44" fillId="11" borderId="257" applyNumberFormat="0" applyFont="1" applyFill="1" applyBorder="1" applyAlignment="1" applyProtection="0">
      <alignment vertical="bottom"/>
    </xf>
    <xf numFmtId="0" fontId="44" fillId="11" borderId="258" applyNumberFormat="0" applyFont="1" applyFill="1" applyBorder="1" applyAlignment="1" applyProtection="0">
      <alignment vertical="bottom"/>
    </xf>
    <xf numFmtId="0" fontId="120" fillId="4" borderId="242" applyNumberFormat="0" applyFont="1" applyFill="1" applyBorder="1" applyAlignment="1" applyProtection="0">
      <alignment vertical="center" wrapText="1"/>
    </xf>
    <xf numFmtId="0" fontId="44" fillId="4" borderId="242" applyNumberFormat="0" applyFont="1" applyFill="1" applyBorder="1" applyAlignment="1" applyProtection="0">
      <alignment horizontal="center" vertical="center"/>
    </xf>
    <xf numFmtId="0" fontId="44" fillId="4" borderId="243" applyNumberFormat="0" applyFont="1" applyFill="1" applyBorder="1" applyAlignment="1" applyProtection="0">
      <alignment vertical="bottom"/>
    </xf>
    <xf numFmtId="0" fontId="44" fillId="4" borderId="242" applyNumberFormat="0" applyFont="1" applyFill="1" applyBorder="1" applyAlignment="1" applyProtection="0">
      <alignment vertical="bottom"/>
    </xf>
    <xf numFmtId="49" fontId="44" fillId="4" borderId="12" applyNumberFormat="1" applyFont="1" applyFill="1" applyBorder="1" applyAlignment="1" applyProtection="0">
      <alignment horizontal="left" vertical="center" wrapText="1"/>
    </xf>
    <xf numFmtId="49" fontId="44" fillId="10" borderId="4" applyNumberFormat="1" applyFont="1" applyFill="1" applyBorder="1" applyAlignment="1" applyProtection="0">
      <alignment vertical="bottom"/>
    </xf>
    <xf numFmtId="0" fontId="44" fillId="10" borderId="5" applyNumberFormat="0" applyFont="1" applyFill="1" applyBorder="1" applyAlignment="1" applyProtection="0">
      <alignment horizontal="center" vertical="bottom"/>
    </xf>
    <xf numFmtId="49" fontId="44" fillId="10" borderId="5" applyNumberFormat="1" applyFont="1" applyFill="1" applyBorder="1" applyAlignment="1" applyProtection="0">
      <alignment vertical="bottom"/>
    </xf>
    <xf numFmtId="0" fontId="0" applyNumberFormat="1" applyFont="1" applyFill="0" applyBorder="0" applyAlignment="1" applyProtection="0">
      <alignment vertical="bottom"/>
    </xf>
    <xf numFmtId="0" fontId="0" applyNumberFormat="1" applyFont="1" applyFill="0" applyBorder="0" applyAlignment="1" applyProtection="0">
      <alignment vertical="bottom"/>
    </xf>
    <xf numFmtId="0" fontId="0" fillId="27" borderId="1" applyNumberFormat="0" applyFont="1" applyFill="1" applyBorder="1" applyAlignment="1" applyProtection="0">
      <alignment vertical="bottom"/>
    </xf>
    <xf numFmtId="49" fontId="89" fillId="27" borderId="2" applyNumberFormat="1" applyFont="1" applyFill="1" applyBorder="1" applyAlignment="1" applyProtection="0">
      <alignment horizontal="left" vertical="center"/>
    </xf>
    <xf numFmtId="0" fontId="0" fillId="27" borderId="2" applyNumberFormat="0" applyFont="1" applyFill="1" applyBorder="1" applyAlignment="1" applyProtection="0">
      <alignment vertical="bottom"/>
    </xf>
    <xf numFmtId="0" fontId="90" fillId="27" borderId="2" applyNumberFormat="0" applyFont="1" applyFill="1" applyBorder="1" applyAlignment="1" applyProtection="0">
      <alignment horizontal="center" vertical="center" wrapText="1"/>
    </xf>
    <xf numFmtId="0" fontId="91" fillId="27" borderId="2" applyNumberFormat="0" applyFont="1" applyFill="1" applyBorder="1" applyAlignment="1" applyProtection="0">
      <alignment horizontal="left" vertical="bottom"/>
    </xf>
    <xf numFmtId="0" fontId="90" fillId="27" borderId="2" applyNumberFormat="0" applyFont="1" applyFill="1" applyBorder="1" applyAlignment="1" applyProtection="0">
      <alignment horizontal="left" vertical="center"/>
    </xf>
    <xf numFmtId="0" fontId="90" fillId="27" borderId="2" applyNumberFormat="0" applyFont="1" applyFill="1" applyBorder="1" applyAlignment="1" applyProtection="0">
      <alignment vertical="center" wrapText="1"/>
    </xf>
    <xf numFmtId="0" fontId="44" fillId="27" borderId="4" applyNumberFormat="0" applyFont="1" applyFill="1" applyBorder="1" applyAlignment="1" applyProtection="0">
      <alignment vertical="bottom"/>
    </xf>
    <xf numFmtId="0" fontId="44" fillId="27" borderId="5" applyNumberFormat="0" applyFont="1" applyFill="1" applyBorder="1" applyAlignment="1" applyProtection="0">
      <alignment vertical="bottom"/>
    </xf>
    <xf numFmtId="0" fontId="90" fillId="27" borderId="5" applyNumberFormat="0" applyFont="1" applyFill="1" applyBorder="1" applyAlignment="1" applyProtection="0">
      <alignment horizontal="center" vertical="center" wrapText="1"/>
    </xf>
    <xf numFmtId="0" fontId="110" fillId="27" borderId="5" applyNumberFormat="0" applyFont="1" applyFill="1" applyBorder="1" applyAlignment="1" applyProtection="0">
      <alignment vertical="center" wrapText="1"/>
    </xf>
    <xf numFmtId="0" fontId="44" fillId="27" borderId="4" applyNumberFormat="0" applyFont="1" applyFill="1" applyBorder="1" applyAlignment="1" applyProtection="0">
      <alignment vertical="bottom" wrapText="1"/>
    </xf>
    <xf numFmtId="0" fontId="44" fillId="27" borderId="5" applyNumberFormat="0" applyFont="1" applyFill="1" applyBorder="1" applyAlignment="1" applyProtection="0">
      <alignment horizontal="center" vertical="center"/>
    </xf>
    <xf numFmtId="49" fontId="42" fillId="4" borderId="5" applyNumberFormat="1" applyFont="1" applyFill="1" applyBorder="1" applyAlignment="1" applyProtection="0">
      <alignment horizontal="left" vertical="center" wrapText="1"/>
    </xf>
    <xf numFmtId="0" fontId="44" fillId="27" borderId="5" applyNumberFormat="0" applyFont="1" applyFill="1" applyBorder="1" applyAlignment="1" applyProtection="0">
      <alignment horizontal="center" vertical="center" wrapText="1"/>
    </xf>
    <xf numFmtId="0" fontId="44" fillId="27" borderId="5" applyNumberFormat="0" applyFont="1" applyFill="1" applyBorder="1" applyAlignment="1" applyProtection="0">
      <alignment vertical="center"/>
    </xf>
    <xf numFmtId="0" fontId="44" fillId="11" borderId="180" applyNumberFormat="0" applyFont="1" applyFill="1" applyBorder="1" applyAlignment="1" applyProtection="0">
      <alignment horizontal="center" vertical="bottom" wrapText="1"/>
    </xf>
    <xf numFmtId="49" fontId="44" fillId="27" borderId="4" applyNumberFormat="1" applyFont="1" applyFill="1" applyBorder="1" applyAlignment="1" applyProtection="0">
      <alignment vertical="bottom"/>
    </xf>
    <xf numFmtId="0" fontId="44" fillId="27" borderId="5" applyNumberFormat="0" applyFont="1" applyFill="1" applyBorder="1" applyAlignment="1" applyProtection="0">
      <alignment horizontal="center" vertical="bottom"/>
    </xf>
    <xf numFmtId="49" fontId="44" fillId="27" borderId="5" applyNumberFormat="1" applyFont="1" applyFill="1" applyBorder="1" applyAlignment="1" applyProtection="0">
      <alignment vertical="bottom"/>
    </xf>
    <xf numFmtId="0" fontId="44" fillId="4" borderId="4" applyNumberFormat="0" applyFont="1" applyFill="1" applyBorder="1" applyAlignment="1" applyProtection="0">
      <alignment vertical="bottom"/>
    </xf>
    <xf numFmtId="0" fontId="0" applyNumberFormat="1" applyFont="1" applyFill="0" applyBorder="0" applyAlignment="1" applyProtection="0">
      <alignment vertical="bottom"/>
    </xf>
    <xf numFmtId="0" fontId="0" applyNumberFormat="1" applyFont="1" applyFill="0" applyBorder="0" applyAlignment="1" applyProtection="0">
      <alignment vertical="bottom"/>
    </xf>
    <xf numFmtId="0" fontId="67" fillId="4" borderId="240" applyNumberFormat="0" applyFont="1" applyFill="1" applyBorder="1" applyAlignment="1" applyProtection="0">
      <alignment vertical="center" wrapText="1"/>
    </xf>
    <xf numFmtId="0" fontId="0" applyNumberFormat="1" applyFont="1" applyFill="0" applyBorder="0" applyAlignment="1" applyProtection="0">
      <alignment vertical="bottom"/>
    </xf>
    <xf numFmtId="0" fontId="0" applyNumberFormat="1" applyFont="1" applyFill="0" applyBorder="0" applyAlignment="1" applyProtection="0">
      <alignment vertical="bottom"/>
    </xf>
    <xf numFmtId="0" fontId="101" fillId="4" borderId="14" applyNumberFormat="0" applyFont="1" applyFill="1" applyBorder="1" applyAlignment="1" applyProtection="0">
      <alignment horizontal="center" vertical="center" wrapText="1"/>
    </xf>
    <xf numFmtId="0" fontId="44" fillId="4" borderId="14" applyNumberFormat="0" applyFont="1" applyFill="1" applyBorder="1" applyAlignment="1" applyProtection="0">
      <alignment horizontal="left" vertical="center" wrapText="1"/>
    </xf>
    <xf numFmtId="9" fontId="111" fillId="4" borderId="41" applyNumberFormat="1" applyFont="1" applyFill="1" applyBorder="1" applyAlignment="1" applyProtection="0">
      <alignment horizontal="center" vertical="center"/>
    </xf>
    <xf numFmtId="0" fontId="0" applyNumberFormat="1" applyFont="1" applyFill="0" applyBorder="0" applyAlignment="1" applyProtection="0">
      <alignment vertical="bottom"/>
    </xf>
    <xf numFmtId="0" fontId="0" applyNumberFormat="1" applyFont="1" applyFill="0" applyBorder="0" applyAlignment="1" applyProtection="0">
      <alignment vertical="bottom"/>
    </xf>
    <xf numFmtId="0" fontId="113" fillId="11" borderId="248" applyNumberFormat="0" applyFont="1" applyFill="1" applyBorder="1" applyAlignment="1" applyProtection="0">
      <alignment vertical="center" wrapText="1"/>
    </xf>
    <xf numFmtId="0" fontId="113" fillId="11" borderId="31" applyNumberFormat="0" applyFont="1" applyFill="1" applyBorder="1" applyAlignment="1" applyProtection="0">
      <alignment vertical="center" wrapText="1"/>
    </xf>
    <xf numFmtId="49" fontId="113" fillId="4" borderId="31" applyNumberFormat="1" applyFont="1" applyFill="1" applyBorder="1" applyAlignment="1" applyProtection="0">
      <alignment vertical="center" wrapText="1"/>
    </xf>
    <xf numFmtId="0" fontId="44" fillId="11" borderId="248" applyNumberFormat="0" applyFont="1" applyFill="1" applyBorder="1" applyAlignment="1" applyProtection="0">
      <alignment horizontal="center" vertical="center" wrapText="1"/>
    </xf>
    <xf numFmtId="0" fontId="44" fillId="11" borderId="248" applyNumberFormat="0" applyFont="1" applyFill="1" applyBorder="1" applyAlignment="1" applyProtection="0">
      <alignment horizontal="center" vertical="center"/>
    </xf>
    <xf numFmtId="0" fontId="67" fillId="11" borderId="259" applyNumberFormat="0" applyFont="1" applyFill="1" applyBorder="1" applyAlignment="1" applyProtection="0">
      <alignment vertical="center" wrapText="1"/>
    </xf>
    <xf numFmtId="0" fontId="44" fillId="11" borderId="212" applyNumberFormat="0" applyFont="1" applyFill="1" applyBorder="1" applyAlignment="1" applyProtection="0">
      <alignment horizontal="center" vertical="center"/>
    </xf>
    <xf numFmtId="0" fontId="44" fillId="11" borderId="260" applyNumberFormat="0" applyFont="1" applyFill="1" applyBorder="1" applyAlignment="1" applyProtection="0">
      <alignment horizontal="center" vertical="center"/>
    </xf>
    <xf numFmtId="0" fontId="44" fillId="11" borderId="235" applyNumberFormat="0" applyFont="1" applyFill="1" applyBorder="1" applyAlignment="1" applyProtection="0">
      <alignment horizontal="center" vertical="center"/>
    </xf>
    <xf numFmtId="0" fontId="0" fillId="4" borderId="152" applyNumberFormat="0" applyFont="1" applyFill="1" applyBorder="1" applyAlignment="1" applyProtection="0">
      <alignment vertical="bottom"/>
    </xf>
    <xf numFmtId="0" fontId="116" fillId="4" borderId="195" applyNumberFormat="0" applyFont="1" applyFill="1" applyBorder="1" applyAlignment="1" applyProtection="0">
      <alignment horizontal="center" vertical="center"/>
    </xf>
    <xf numFmtId="0" fontId="67" fillId="4" borderId="198" applyNumberFormat="0" applyFont="1" applyFill="1" applyBorder="1" applyAlignment="1" applyProtection="0">
      <alignment horizontal="center" vertical="center"/>
    </xf>
    <xf numFmtId="0" fontId="44" fillId="30" borderId="227" applyNumberFormat="0" applyFont="1" applyFill="1" applyBorder="1" applyAlignment="1" applyProtection="0">
      <alignment horizontal="center" vertical="center"/>
    </xf>
    <xf numFmtId="0" fontId="44" fillId="30" borderId="224" applyNumberFormat="0" applyFont="1" applyFill="1" applyBorder="1" applyAlignment="1" applyProtection="0">
      <alignment horizontal="center" vertical="center"/>
    </xf>
    <xf numFmtId="0" fontId="0" applyNumberFormat="1" applyFont="1" applyFill="0" applyBorder="0" applyAlignment="1" applyProtection="0">
      <alignment vertical="bottom"/>
    </xf>
    <xf numFmtId="0" fontId="44" fillId="13" borderId="1" applyNumberFormat="0" applyFont="1" applyFill="1" applyBorder="1" applyAlignment="1" applyProtection="0">
      <alignment vertical="bottom"/>
    </xf>
    <xf numFmtId="49" fontId="89" fillId="13" borderId="2" applyNumberFormat="1" applyFont="1" applyFill="1" applyBorder="1" applyAlignment="1" applyProtection="0">
      <alignment horizontal="left" vertical="center"/>
    </xf>
    <xf numFmtId="0" fontId="90" fillId="13" borderId="2" applyNumberFormat="0" applyFont="1" applyFill="1" applyBorder="1" applyAlignment="1" applyProtection="0">
      <alignment horizontal="center" vertical="center" wrapText="1"/>
    </xf>
    <xf numFmtId="0" fontId="44" fillId="13" borderId="2" applyNumberFormat="0" applyFont="1" applyFill="1" applyBorder="1" applyAlignment="1" applyProtection="0">
      <alignment vertical="bottom"/>
    </xf>
    <xf numFmtId="0" fontId="90" fillId="13" borderId="2" applyNumberFormat="0" applyFont="1" applyFill="1" applyBorder="1" applyAlignment="1" applyProtection="0">
      <alignment vertical="center" wrapText="1"/>
    </xf>
    <xf numFmtId="49" fontId="89" fillId="13" borderId="2" applyNumberFormat="1" applyFont="1" applyFill="1" applyBorder="1" applyAlignment="1" applyProtection="0">
      <alignment horizontal="center" vertical="center"/>
    </xf>
    <xf numFmtId="0" fontId="44" fillId="13" borderId="3" applyNumberFormat="0" applyFont="1" applyFill="1" applyBorder="1" applyAlignment="1" applyProtection="0">
      <alignment vertical="bottom"/>
    </xf>
    <xf numFmtId="0" fontId="44" fillId="13" borderId="4" applyNumberFormat="0" applyFont="1" applyFill="1" applyBorder="1" applyAlignment="1" applyProtection="0">
      <alignment vertical="bottom"/>
    </xf>
    <xf numFmtId="0" fontId="44" fillId="13" borderId="5" applyNumberFormat="0" applyFont="1" applyFill="1" applyBorder="1" applyAlignment="1" applyProtection="0">
      <alignment vertical="bottom"/>
    </xf>
    <xf numFmtId="49" fontId="91" fillId="13" borderId="5" applyNumberFormat="1" applyFont="1" applyFill="1" applyBorder="1" applyAlignment="1" applyProtection="0">
      <alignment horizontal="center" vertical="top"/>
    </xf>
    <xf numFmtId="0" fontId="44" fillId="13" borderId="6" applyNumberFormat="0" applyFont="1" applyFill="1" applyBorder="1" applyAlignment="1" applyProtection="0">
      <alignment vertical="bottom"/>
    </xf>
    <xf numFmtId="0" fontId="94" fillId="13" borderId="4" applyNumberFormat="0" applyFont="1" applyFill="1" applyBorder="1" applyAlignment="1" applyProtection="0">
      <alignment vertical="bottom"/>
    </xf>
    <xf numFmtId="0" fontId="94" fillId="13" borderId="6" applyNumberFormat="0" applyFont="1" applyFill="1" applyBorder="1" applyAlignment="1" applyProtection="0">
      <alignment vertical="bottom"/>
    </xf>
    <xf numFmtId="0" fontId="97" fillId="13" borderId="4" applyNumberFormat="0" applyFont="1" applyFill="1" applyBorder="1" applyAlignment="1" applyProtection="0">
      <alignment vertical="bottom"/>
    </xf>
    <xf numFmtId="0" fontId="97" fillId="13" borderId="6" applyNumberFormat="0" applyFont="1" applyFill="1" applyBorder="1" applyAlignment="1" applyProtection="0">
      <alignment vertical="bottom"/>
    </xf>
    <xf numFmtId="49" fontId="44" fillId="13" borderId="7" applyNumberFormat="1" applyFont="1" applyFill="1" applyBorder="1" applyAlignment="1" applyProtection="0">
      <alignment vertical="bottom"/>
    </xf>
    <xf numFmtId="0" fontId="44" fillId="13" borderId="8" applyNumberFormat="0" applyFont="1" applyFill="1" applyBorder="1" applyAlignment="1" applyProtection="0">
      <alignment vertical="bottom"/>
    </xf>
    <xf numFmtId="49" fontId="44" fillId="13" borderId="9" applyNumberFormat="1" applyFont="1" applyFill="1" applyBorder="1" applyAlignment="1" applyProtection="0">
      <alignment vertical="bottom"/>
    </xf>
    <xf numFmtId="0" fontId="0" applyNumberFormat="1" applyFont="1" applyFill="0" applyBorder="0" applyAlignment="1" applyProtection="0">
      <alignment vertical="bottom"/>
    </xf>
    <xf numFmtId="0" fontId="0" fillId="13" borderId="1" applyNumberFormat="0" applyFont="1" applyFill="1" applyBorder="1" applyAlignment="1" applyProtection="0">
      <alignment vertical="bottom"/>
    </xf>
    <xf numFmtId="0" fontId="0" fillId="13" borderId="2" applyNumberFormat="0" applyFont="1" applyFill="1" applyBorder="1" applyAlignment="1" applyProtection="0">
      <alignment vertical="bottom"/>
    </xf>
    <xf numFmtId="0" fontId="91" fillId="13" borderId="2" applyNumberFormat="0" applyFont="1" applyFill="1" applyBorder="1" applyAlignment="1" applyProtection="0">
      <alignment horizontal="left" vertical="bottom"/>
    </xf>
    <xf numFmtId="0" fontId="90" fillId="13" borderId="2" applyNumberFormat="0" applyFont="1" applyFill="1" applyBorder="1" applyAlignment="1" applyProtection="0">
      <alignment horizontal="left" vertical="center"/>
    </xf>
    <xf numFmtId="0" fontId="108" fillId="13" borderId="2" applyNumberFormat="0" applyFont="1" applyFill="1" applyBorder="1" applyAlignment="1" applyProtection="0">
      <alignment horizontal="center" vertical="center"/>
    </xf>
    <xf numFmtId="49" fontId="108" fillId="13" borderId="2" applyNumberFormat="1" applyFont="1" applyFill="1" applyBorder="1" applyAlignment="1" applyProtection="0">
      <alignment horizontal="center" vertical="center"/>
    </xf>
    <xf numFmtId="0" fontId="91" fillId="13" borderId="5" applyNumberFormat="0" applyFont="1" applyFill="1" applyBorder="1" applyAlignment="1" applyProtection="0">
      <alignment horizontal="center" vertical="top"/>
    </xf>
    <xf numFmtId="0" fontId="90" fillId="13" borderId="5" applyNumberFormat="0" applyFont="1" applyFill="1" applyBorder="1" applyAlignment="1" applyProtection="0">
      <alignment horizontal="center" vertical="center" wrapText="1"/>
    </xf>
    <xf numFmtId="0" fontId="126" fillId="4" borderId="5" applyNumberFormat="0" applyFont="1" applyFill="1" applyBorder="1" applyAlignment="1" applyProtection="0">
      <alignment vertical="bottom"/>
    </xf>
    <xf numFmtId="49" fontId="127" fillId="4" borderId="5" applyNumberFormat="1" applyFont="1" applyFill="1" applyBorder="1" applyAlignment="1" applyProtection="0">
      <alignment horizontal="center" vertical="bottom"/>
    </xf>
    <xf numFmtId="0" fontId="110" fillId="13" borderId="5" applyNumberFormat="0" applyFont="1" applyFill="1" applyBorder="1" applyAlignment="1" applyProtection="0">
      <alignment vertical="center" wrapText="1"/>
    </xf>
    <xf numFmtId="0" fontId="112" fillId="4" borderId="76" applyNumberFormat="0" applyFont="1" applyFill="1" applyBorder="1" applyAlignment="1" applyProtection="0">
      <alignment vertical="center" wrapText="1"/>
    </xf>
    <xf numFmtId="0" fontId="44" fillId="4" borderId="76" applyNumberFormat="0" applyFont="1" applyFill="1" applyBorder="1" applyAlignment="1" applyProtection="0">
      <alignment vertical="bottom"/>
    </xf>
    <xf numFmtId="0" fontId="44" fillId="4" borderId="76" applyNumberFormat="0" applyFont="1" applyFill="1" applyBorder="1" applyAlignment="1" applyProtection="0">
      <alignment horizontal="center" vertical="bottom"/>
    </xf>
    <xf numFmtId="0" fontId="44" fillId="4" borderId="261" applyNumberFormat="0" applyFont="1" applyFill="1" applyBorder="1" applyAlignment="1" applyProtection="0">
      <alignment vertical="bottom"/>
    </xf>
    <xf numFmtId="0" fontId="44" fillId="13" borderId="4" applyNumberFormat="0" applyFont="1" applyFill="1" applyBorder="1" applyAlignment="1" applyProtection="0">
      <alignment vertical="bottom" wrapText="1"/>
    </xf>
    <xf numFmtId="0" fontId="113" fillId="4" borderId="262" applyNumberFormat="0" applyFont="1" applyFill="1" applyBorder="1" applyAlignment="1" applyProtection="0">
      <alignment vertical="center" wrapText="1"/>
    </xf>
    <xf numFmtId="0" fontId="113" fillId="14" borderId="263" applyNumberFormat="0" applyFont="1" applyFill="1" applyBorder="1" applyAlignment="1" applyProtection="0">
      <alignment vertical="center" wrapText="1"/>
    </xf>
    <xf numFmtId="0" fontId="113" fillId="14" borderId="78" applyNumberFormat="0" applyFont="1" applyFill="1" applyBorder="1" applyAlignment="1" applyProtection="0">
      <alignment vertical="center" wrapText="1"/>
    </xf>
    <xf numFmtId="0" fontId="44" fillId="14" borderId="264" applyNumberFormat="0" applyFont="1" applyFill="1" applyBorder="1" applyAlignment="1" applyProtection="0">
      <alignment vertical="bottom" wrapText="1"/>
    </xf>
    <xf numFmtId="0" fontId="110" fillId="14" borderId="264" applyNumberFormat="0" applyFont="1" applyFill="1" applyBorder="1" applyAlignment="1" applyProtection="0">
      <alignment vertical="center" wrapText="1"/>
    </xf>
    <xf numFmtId="0" fontId="110" fillId="14" borderId="78" applyNumberFormat="0" applyFont="1" applyFill="1" applyBorder="1" applyAlignment="1" applyProtection="0">
      <alignment vertical="center" wrapText="1"/>
    </xf>
    <xf numFmtId="0" fontId="110" fillId="14" borderId="265" applyNumberFormat="0" applyFont="1" applyFill="1" applyBorder="1" applyAlignment="1" applyProtection="0">
      <alignment vertical="center" wrapText="1"/>
    </xf>
    <xf numFmtId="0" fontId="110" fillId="14" borderId="266" applyNumberFormat="0" applyFont="1" applyFill="1" applyBorder="1" applyAlignment="1" applyProtection="0">
      <alignment vertical="center" wrapText="1"/>
    </xf>
    <xf numFmtId="0" fontId="110" fillId="4" borderId="267" applyNumberFormat="0" applyFont="1" applyFill="1" applyBorder="1" applyAlignment="1" applyProtection="0">
      <alignment vertical="center" wrapText="1"/>
    </xf>
    <xf numFmtId="0" fontId="44" fillId="13" borderId="5" applyNumberFormat="0" applyFont="1" applyFill="1" applyBorder="1" applyAlignment="1" applyProtection="0">
      <alignment horizontal="center" vertical="center"/>
    </xf>
    <xf numFmtId="0" fontId="113" fillId="14" borderId="267" applyNumberFormat="0" applyFont="1" applyFill="1" applyBorder="1" applyAlignment="1" applyProtection="0">
      <alignment vertical="center" wrapText="1"/>
    </xf>
    <xf numFmtId="0" fontId="113" fillId="14" borderId="29" applyNumberFormat="0" applyFont="1" applyFill="1" applyBorder="1" applyAlignment="1" applyProtection="0">
      <alignment vertical="center" wrapText="1"/>
    </xf>
    <xf numFmtId="0" fontId="44" fillId="14" borderId="32" applyNumberFormat="0" applyFont="1" applyFill="1" applyBorder="1" applyAlignment="1" applyProtection="0">
      <alignment vertical="center"/>
    </xf>
    <xf numFmtId="0" fontId="44" fillId="14" borderId="268" applyNumberFormat="0" applyFont="1" applyFill="1" applyBorder="1" applyAlignment="1" applyProtection="0">
      <alignment vertical="center"/>
    </xf>
    <xf numFmtId="0" fontId="44" fillId="4" borderId="269" applyNumberFormat="0" applyFont="1" applyFill="1" applyBorder="1" applyAlignment="1" applyProtection="0">
      <alignment vertical="center"/>
    </xf>
    <xf numFmtId="0" fontId="44" fillId="14" borderId="171" applyNumberFormat="0" applyFont="1" applyFill="1" applyBorder="1" applyAlignment="1" applyProtection="0">
      <alignment horizontal="center" vertical="center"/>
    </xf>
    <xf numFmtId="0" fontId="44" fillId="14" borderId="174" applyNumberFormat="0" applyFont="1" applyFill="1" applyBorder="1" applyAlignment="1" applyProtection="0">
      <alignment vertical="top" wrapText="1"/>
    </xf>
    <xf numFmtId="0" fontId="44" fillId="14" borderId="174" applyNumberFormat="0" applyFont="1" applyFill="1" applyBorder="1" applyAlignment="1" applyProtection="0">
      <alignment vertical="top"/>
    </xf>
    <xf numFmtId="0" fontId="44" fillId="13" borderId="5" applyNumberFormat="0" applyFont="1" applyFill="1" applyBorder="1" applyAlignment="1" applyProtection="0">
      <alignment horizontal="center" vertical="center" wrapText="1"/>
    </xf>
    <xf numFmtId="0" fontId="44" fillId="4" borderId="262" applyNumberFormat="0" applyFont="1" applyFill="1" applyBorder="1" applyAlignment="1" applyProtection="0">
      <alignment horizontal="center" vertical="center" wrapText="1"/>
    </xf>
    <xf numFmtId="0" fontId="44" fillId="14" borderId="267" applyNumberFormat="0" applyFont="1" applyFill="1" applyBorder="1" applyAlignment="1" applyProtection="0">
      <alignment horizontal="center" vertical="center" wrapText="1"/>
    </xf>
    <xf numFmtId="0" fontId="44" fillId="4" borderId="267" applyNumberFormat="0" applyFont="1" applyFill="1" applyBorder="1" applyAlignment="1" applyProtection="0">
      <alignment vertical="center"/>
    </xf>
    <xf numFmtId="0" fontId="44" fillId="4" borderId="262" applyNumberFormat="0" applyFont="1" applyFill="1" applyBorder="1" applyAlignment="1" applyProtection="0">
      <alignment horizontal="center" vertical="center"/>
    </xf>
    <xf numFmtId="0" fontId="44" fillId="14" borderId="267" applyNumberFormat="0" applyFont="1" applyFill="1" applyBorder="1" applyAlignment="1" applyProtection="0">
      <alignment horizontal="center" vertical="center"/>
    </xf>
    <xf numFmtId="0" fontId="44" fillId="13" borderId="5" applyNumberFormat="0" applyFont="1" applyFill="1" applyBorder="1" applyAlignment="1" applyProtection="0">
      <alignment vertical="center"/>
    </xf>
    <xf numFmtId="0" fontId="53" fillId="4" borderId="262" applyNumberFormat="0" applyFont="1" applyFill="1" applyBorder="1" applyAlignment="1" applyProtection="0">
      <alignment vertical="center" wrapText="1"/>
    </xf>
    <xf numFmtId="0" fontId="53" fillId="14" borderId="267" applyNumberFormat="0" applyFont="1" applyFill="1" applyBorder="1" applyAlignment="1" applyProtection="0">
      <alignment vertical="center" wrapText="1"/>
    </xf>
    <xf numFmtId="0" fontId="44" fillId="14" borderId="5" applyNumberFormat="0" applyFont="1" applyFill="1" applyBorder="1" applyAlignment="1" applyProtection="0">
      <alignment horizontal="center" vertical="center"/>
    </xf>
    <xf numFmtId="0" fontId="44" fillId="14" borderId="270" applyNumberFormat="0" applyFont="1" applyFill="1" applyBorder="1" applyAlignment="1" applyProtection="0">
      <alignment vertical="bottom"/>
    </xf>
    <xf numFmtId="0" fontId="44" fillId="14" borderId="41" applyNumberFormat="0" applyFont="1" applyFill="1" applyBorder="1" applyAlignment="1" applyProtection="0">
      <alignment vertical="bottom"/>
    </xf>
    <xf numFmtId="0" fontId="44" fillId="14" borderId="5" applyNumberFormat="0" applyFont="1" applyFill="1" applyBorder="1" applyAlignment="1" applyProtection="0">
      <alignment vertical="bottom"/>
    </xf>
    <xf numFmtId="0" fontId="44" fillId="14" borderId="180" applyNumberFormat="0" applyFont="1" applyFill="1" applyBorder="1" applyAlignment="1" applyProtection="0">
      <alignment horizontal="center" vertical="bottom" wrapText="1"/>
    </xf>
    <xf numFmtId="0" fontId="44" fillId="14" borderId="180" applyNumberFormat="0" applyFont="1" applyFill="1" applyBorder="1" applyAlignment="1" applyProtection="0">
      <alignment vertical="bottom"/>
    </xf>
    <xf numFmtId="0" fontId="44" fillId="14" borderId="271" applyNumberFormat="0" applyFont="1" applyFill="1" applyBorder="1" applyAlignment="1" applyProtection="0">
      <alignment vertical="bottom"/>
    </xf>
    <xf numFmtId="0" fontId="44" fillId="14" borderId="262" applyNumberFormat="0" applyFont="1" applyFill="1" applyBorder="1" applyAlignment="1" applyProtection="0">
      <alignment vertical="bottom"/>
    </xf>
    <xf numFmtId="0" fontId="120" fillId="4" borderId="262" applyNumberFormat="0" applyFont="1" applyFill="1" applyBorder="1" applyAlignment="1" applyProtection="0">
      <alignment vertical="center" wrapText="1"/>
    </xf>
    <xf numFmtId="0" fontId="67" fillId="14" borderId="267" applyNumberFormat="0" applyFont="1" applyFill="1" applyBorder="1" applyAlignment="1" applyProtection="0">
      <alignment vertical="center" wrapText="1"/>
    </xf>
    <xf numFmtId="0" fontId="44" fillId="14" borderId="272" applyNumberFormat="0" applyFont="1" applyFill="1" applyBorder="1" applyAlignment="1" applyProtection="0">
      <alignment horizontal="center" vertical="center"/>
    </xf>
    <xf numFmtId="49" fontId="114" fillId="13" borderId="273" applyNumberFormat="1" applyFont="1" applyFill="1" applyBorder="1" applyAlignment="1" applyProtection="0">
      <alignment horizontal="center" vertical="center" wrapText="1"/>
    </xf>
    <xf numFmtId="0" fontId="44" fillId="14" borderId="59" applyNumberFormat="0" applyFont="1" applyFill="1" applyBorder="1" applyAlignment="1" applyProtection="0">
      <alignment vertical="center"/>
    </xf>
    <xf numFmtId="0" fontId="44" fillId="14" borderId="5" applyNumberFormat="0" applyFont="1" applyFill="1" applyBorder="1" applyAlignment="1" applyProtection="0">
      <alignment vertical="center"/>
    </xf>
    <xf numFmtId="0" fontId="44" fillId="14" borderId="153" applyNumberFormat="0" applyFont="1" applyFill="1" applyBorder="1" applyAlignment="1" applyProtection="0">
      <alignment horizontal="center" vertical="bottom"/>
    </xf>
    <xf numFmtId="0" fontId="44" fillId="14" borderId="153" applyNumberFormat="0" applyFont="1" applyFill="1" applyBorder="1" applyAlignment="1" applyProtection="0">
      <alignment vertical="bottom"/>
    </xf>
    <xf numFmtId="0" fontId="44" fillId="14" borderId="272" applyNumberFormat="0" applyFont="1" applyFill="1" applyBorder="1" applyAlignment="1" applyProtection="0">
      <alignment vertical="top" wrapText="1"/>
    </xf>
    <xf numFmtId="49" fontId="117" fillId="13" borderId="274" applyNumberFormat="1" applyFont="1" applyFill="1" applyBorder="1" applyAlignment="1" applyProtection="0">
      <alignment horizontal="center" vertical="center" wrapText="1"/>
    </xf>
    <xf numFmtId="0" fontId="44" fillId="14" borderId="275" applyNumberFormat="0" applyFont="1" applyFill="1" applyBorder="1" applyAlignment="1" applyProtection="0">
      <alignment vertical="bottom"/>
    </xf>
    <xf numFmtId="0" fontId="44" fillId="4" borderId="267" applyNumberFormat="0" applyFont="1" applyFill="1" applyBorder="1" applyAlignment="1" applyProtection="0">
      <alignment vertical="bottom"/>
    </xf>
    <xf numFmtId="0" fontId="44" fillId="14" borderId="154" applyNumberFormat="0" applyFont="1" applyFill="1" applyBorder="1" applyAlignment="1" applyProtection="0">
      <alignment horizontal="center" vertical="center"/>
    </xf>
    <xf numFmtId="0" fontId="44" fillId="14" borderId="156" applyNumberFormat="0" applyFont="1" applyFill="1" applyBorder="1" applyAlignment="1" applyProtection="0">
      <alignment vertical="center"/>
    </xf>
    <xf numFmtId="0" fontId="44" fillId="14" borderId="154" applyNumberFormat="0" applyFont="1" applyFill="1" applyBorder="1" applyAlignment="1" applyProtection="0">
      <alignment vertical="center"/>
    </xf>
    <xf numFmtId="0" fontId="44" fillId="14" borderId="174" applyNumberFormat="0" applyFont="1" applyFill="1" applyBorder="1" applyAlignment="1" applyProtection="0">
      <alignment vertical="bottom"/>
    </xf>
    <xf numFmtId="60" fontId="52" fillId="4" borderId="276" applyNumberFormat="1" applyFont="1" applyFill="1" applyBorder="1" applyAlignment="1" applyProtection="0">
      <alignment horizontal="center" vertical="center"/>
    </xf>
    <xf numFmtId="9" fontId="52" fillId="4" borderId="276" applyNumberFormat="1" applyFont="1" applyFill="1" applyBorder="1" applyAlignment="1" applyProtection="0">
      <alignment horizontal="center" vertical="center"/>
    </xf>
    <xf numFmtId="0" fontId="44" fillId="14" borderId="268" applyNumberFormat="0" applyFont="1" applyFill="1" applyBorder="1" applyAlignment="1" applyProtection="0">
      <alignment vertical="bottom"/>
    </xf>
    <xf numFmtId="0" fontId="120" fillId="14" borderId="277" applyNumberFormat="0" applyFont="1" applyFill="1" applyBorder="1" applyAlignment="1" applyProtection="0">
      <alignment vertical="center" wrapText="1"/>
    </xf>
    <xf numFmtId="0" fontId="44" fillId="14" borderId="76" applyNumberFormat="0" applyFont="1" applyFill="1" applyBorder="1" applyAlignment="1" applyProtection="0">
      <alignment horizontal="center" vertical="center"/>
    </xf>
    <xf numFmtId="0" fontId="44" fillId="14" borderId="261" applyNumberFormat="0" applyFont="1" applyFill="1" applyBorder="1" applyAlignment="1" applyProtection="0">
      <alignment vertical="bottom"/>
    </xf>
    <xf numFmtId="0" fontId="44" fillId="14" borderId="76" applyNumberFormat="0" applyFont="1" applyFill="1" applyBorder="1" applyAlignment="1" applyProtection="0">
      <alignment vertical="bottom"/>
    </xf>
    <xf numFmtId="0" fontId="44" fillId="14" borderId="261" applyNumberFormat="0" applyFont="1" applyFill="1" applyBorder="1" applyAlignment="1" applyProtection="0">
      <alignment horizontal="center" vertical="bottom"/>
    </xf>
    <xf numFmtId="0" fontId="44" fillId="14" borderId="278" applyNumberFormat="0" applyFont="1" applyFill="1" applyBorder="1" applyAlignment="1" applyProtection="0">
      <alignment vertical="bottom"/>
    </xf>
    <xf numFmtId="0" fontId="44" fillId="14" borderId="279" applyNumberFormat="0" applyFont="1" applyFill="1" applyBorder="1" applyAlignment="1" applyProtection="0">
      <alignment vertical="bottom"/>
    </xf>
    <xf numFmtId="0" fontId="0" fillId="4" borderId="78" applyNumberFormat="0" applyFont="1" applyFill="1" applyBorder="1" applyAlignment="1" applyProtection="0">
      <alignment vertical="bottom"/>
    </xf>
    <xf numFmtId="0" fontId="0" fillId="4" borderId="264" applyNumberFormat="0" applyFont="1" applyFill="1" applyBorder="1" applyAlignment="1" applyProtection="0">
      <alignment vertical="bottom"/>
    </xf>
    <xf numFmtId="9" fontId="123" fillId="4" borderId="225" applyNumberFormat="1" applyFont="1" applyFill="1" applyBorder="1" applyAlignment="1" applyProtection="0">
      <alignment horizontal="center" vertical="center"/>
    </xf>
    <xf numFmtId="9" fontId="123" fillId="4" borderId="229" applyNumberFormat="1" applyFont="1" applyFill="1" applyBorder="1" applyAlignment="1" applyProtection="0">
      <alignment horizontal="center" vertical="center"/>
    </xf>
    <xf numFmtId="49" fontId="44" fillId="4" borderId="224" applyNumberFormat="1" applyFont="1" applyFill="1" applyBorder="1" applyAlignment="1" applyProtection="0">
      <alignment vertical="center" wrapText="1"/>
    </xf>
    <xf numFmtId="9" fontId="123" fillId="4" borderId="79" applyNumberFormat="1" applyFont="1" applyFill="1" applyBorder="1" applyAlignment="1" applyProtection="0">
      <alignment horizontal="center" vertical="center"/>
    </xf>
    <xf numFmtId="0" fontId="44" fillId="4" borderId="14" applyNumberFormat="0" applyFont="1" applyFill="1" applyBorder="1" applyAlignment="1" applyProtection="0">
      <alignment vertical="center" wrapText="1"/>
    </xf>
    <xf numFmtId="0" fontId="44" fillId="30" borderId="41" applyNumberFormat="0" applyFont="1" applyFill="1" applyBorder="1" applyAlignment="1" applyProtection="0">
      <alignment horizontal="center" vertical="center"/>
    </xf>
    <xf numFmtId="0" fontId="44" fillId="4" borderId="41" applyNumberFormat="0" applyFont="1" applyFill="1" applyBorder="1" applyAlignment="1" applyProtection="0">
      <alignment vertical="center" wrapText="1"/>
    </xf>
    <xf numFmtId="49" fontId="44" fillId="13" borderId="4" applyNumberFormat="1" applyFont="1" applyFill="1" applyBorder="1" applyAlignment="1" applyProtection="0">
      <alignment vertical="bottom"/>
    </xf>
    <xf numFmtId="0" fontId="44" fillId="13" borderId="5" applyNumberFormat="0" applyFont="1" applyFill="1" applyBorder="1" applyAlignment="1" applyProtection="0">
      <alignment horizontal="center" vertical="bottom"/>
    </xf>
    <xf numFmtId="49" fontId="44" fillId="13" borderId="5" applyNumberFormat="1" applyFont="1" applyFill="1" applyBorder="1" applyAlignment="1" applyProtection="0">
      <alignment vertical="bottom"/>
    </xf>
    <xf numFmtId="0" fontId="0" applyNumberFormat="1" applyFont="1" applyFill="0" applyBorder="0" applyAlignment="1" applyProtection="0">
      <alignment vertical="bottom"/>
    </xf>
    <xf numFmtId="0" fontId="0" applyNumberFormat="1" applyFont="1" applyFill="0" applyBorder="0" applyAlignment="1" applyProtection="0">
      <alignment vertical="bottom"/>
    </xf>
    <xf numFmtId="0" fontId="120" fillId="4" borderId="78" applyNumberFormat="0" applyFont="1" applyFill="1" applyBorder="1" applyAlignment="1" applyProtection="0">
      <alignment vertical="center" wrapText="1"/>
    </xf>
    <xf numFmtId="0" fontId="44" fillId="4" borderId="78" applyNumberFormat="0" applyFont="1" applyFill="1" applyBorder="1" applyAlignment="1" applyProtection="0">
      <alignment horizontal="center" vertical="center"/>
    </xf>
    <xf numFmtId="0" fontId="44" fillId="4" borderId="264" applyNumberFormat="0" applyFont="1" applyFill="1" applyBorder="1" applyAlignment="1" applyProtection="0">
      <alignment vertical="bottom"/>
    </xf>
    <xf numFmtId="0" fontId="44" fillId="4" borderId="78" applyNumberFormat="0" applyFont="1" applyFill="1" applyBorder="1" applyAlignment="1" applyProtection="0">
      <alignment vertical="bottom"/>
    </xf>
    <xf numFmtId="0" fontId="0" applyNumberFormat="1" applyFont="1" applyFill="0" applyBorder="0" applyAlignment="1" applyProtection="0">
      <alignment vertical="bottom"/>
    </xf>
    <xf numFmtId="0" fontId="0" applyNumberFormat="1" applyFont="1" applyFill="0" applyBorder="0" applyAlignment="1" applyProtection="0">
      <alignment vertical="bottom"/>
    </xf>
    <xf numFmtId="0" fontId="67" fillId="4" borderId="262" applyNumberFormat="0" applyFont="1" applyFill="1" applyBorder="1" applyAlignment="1" applyProtection="0">
      <alignment vertical="center" wrapText="1"/>
    </xf>
    <xf numFmtId="9" fontId="117" fillId="28" borderId="280" applyNumberFormat="1" applyFont="1" applyFill="1" applyBorder="1" applyAlignment="1" applyProtection="0">
      <alignment horizontal="center" vertical="center"/>
    </xf>
    <xf numFmtId="9" fontId="117" fillId="28" borderId="281" applyNumberFormat="1" applyFont="1" applyFill="1" applyBorder="1" applyAlignment="1" applyProtection="0">
      <alignment horizontal="center" vertical="center"/>
    </xf>
    <xf numFmtId="9" fontId="123" fillId="4" borderId="83" applyNumberFormat="1" applyFont="1" applyFill="1" applyBorder="1" applyAlignment="1" applyProtection="0">
      <alignment horizontal="center" vertical="center"/>
    </xf>
    <xf numFmtId="9" fontId="44" fillId="4" borderId="282" applyNumberFormat="1" applyFont="1" applyFill="1" applyBorder="1" applyAlignment="1" applyProtection="0">
      <alignment horizontal="center" vertical="center"/>
    </xf>
    <xf numFmtId="9" fontId="123" fillId="4" borderId="283" applyNumberFormat="1" applyFont="1" applyFill="1" applyBorder="1" applyAlignment="1" applyProtection="0">
      <alignment horizontal="center" vertical="center"/>
    </xf>
    <xf numFmtId="9" fontId="123" fillId="4" borderId="282" applyNumberFormat="1" applyFont="1" applyFill="1" applyBorder="1" applyAlignment="1" applyProtection="0">
      <alignment horizontal="center" vertical="center"/>
    </xf>
    <xf numFmtId="9" fontId="44" fillId="4" borderId="29" applyNumberFormat="1" applyFont="1" applyFill="1" applyBorder="1" applyAlignment="1" applyProtection="0">
      <alignment horizontal="center" vertical="center"/>
    </xf>
    <xf numFmtId="9" fontId="123" fillId="4" borderId="29" applyNumberFormat="1" applyFont="1" applyFill="1" applyBorder="1" applyAlignment="1" applyProtection="0">
      <alignment horizontal="center" vertical="center"/>
    </xf>
    <xf numFmtId="9" fontId="44" fillId="4" borderId="284" applyNumberFormat="1" applyFont="1" applyFill="1" applyBorder="1" applyAlignment="1" applyProtection="0">
      <alignment horizontal="center" vertical="center"/>
    </xf>
    <xf numFmtId="9" fontId="123" fillId="4" borderId="285" applyNumberFormat="1" applyFont="1" applyFill="1" applyBorder="1" applyAlignment="1" applyProtection="0">
      <alignment horizontal="center" vertical="center"/>
    </xf>
    <xf numFmtId="9" fontId="123" fillId="4" borderId="284" applyNumberFormat="1" applyFont="1" applyFill="1" applyBorder="1" applyAlignment="1" applyProtection="0">
      <alignment horizontal="center" vertical="center"/>
    </xf>
    <xf numFmtId="49" fontId="101" fillId="4" borderId="224" applyNumberFormat="1" applyFont="1" applyFill="1" applyBorder="1" applyAlignment="1" applyProtection="0">
      <alignment horizontal="center" vertical="center" wrapText="1"/>
    </xf>
    <xf numFmtId="49" fontId="44" fillId="4" borderId="286" applyNumberFormat="1" applyFont="1" applyFill="1" applyBorder="1" applyAlignment="1" applyProtection="0">
      <alignment horizontal="center" vertical="center"/>
    </xf>
    <xf numFmtId="49" fontId="44" fillId="4" borderId="287" applyNumberFormat="1" applyFont="1" applyFill="1" applyBorder="1" applyAlignment="1" applyProtection="0">
      <alignment horizontal="center" vertical="center"/>
    </xf>
    <xf numFmtId="49" fontId="44" fillId="4" borderId="288" applyNumberFormat="1" applyFont="1" applyFill="1" applyBorder="1" applyAlignment="1" applyProtection="0">
      <alignment horizontal="center" vertical="center"/>
    </xf>
    <xf numFmtId="9" fontId="44" fillId="4" borderId="204" applyNumberFormat="1" applyFont="1" applyFill="1" applyBorder="1" applyAlignment="1" applyProtection="0">
      <alignment horizontal="center" vertical="center"/>
    </xf>
    <xf numFmtId="9" fontId="123" fillId="4" borderId="289" applyNumberFormat="1" applyFont="1" applyFill="1" applyBorder="1" applyAlignment="1" applyProtection="0">
      <alignment horizontal="center" vertical="center"/>
    </xf>
    <xf numFmtId="9" fontId="123" fillId="4" borderId="204" applyNumberFormat="1" applyFont="1" applyFill="1" applyBorder="1" applyAlignment="1" applyProtection="0">
      <alignment horizontal="center" vertical="center"/>
    </xf>
    <xf numFmtId="0" fontId="101" fillId="4" borderId="41" applyNumberFormat="0" applyFont="1" applyFill="1" applyBorder="1" applyAlignment="1" applyProtection="0">
      <alignment horizontal="center" vertical="center" wrapText="1"/>
    </xf>
    <xf numFmtId="0" fontId="44" fillId="4" borderId="41" applyNumberFormat="0" applyFont="1" applyFill="1" applyBorder="1" applyAlignment="1" applyProtection="0">
      <alignment horizontal="left" vertical="center" wrapText="1"/>
    </xf>
    <xf numFmtId="9" fontId="111" fillId="4" borderId="5" applyNumberFormat="1" applyFont="1" applyFill="1" applyBorder="1" applyAlignment="1" applyProtection="0">
      <alignment horizontal="center" vertical="center"/>
    </xf>
    <xf numFmtId="0" fontId="0" applyNumberFormat="1" applyFont="1" applyFill="0" applyBorder="0" applyAlignment="1" applyProtection="0">
      <alignment vertical="bottom"/>
    </xf>
    <xf numFmtId="0" fontId="0" applyNumberFormat="1" applyFont="1" applyFill="0" applyBorder="0" applyAlignment="1" applyProtection="0">
      <alignment vertical="bottom"/>
    </xf>
    <xf numFmtId="0" fontId="104" fillId="4" borderId="5" applyNumberFormat="0" applyFont="1" applyFill="1" applyBorder="1" applyAlignment="1" applyProtection="0">
      <alignment vertical="bottom"/>
    </xf>
    <xf numFmtId="0" fontId="117" fillId="4" borderId="83" applyNumberFormat="0" applyFont="1" applyFill="1" applyBorder="1" applyAlignment="1" applyProtection="0">
      <alignment vertical="center" wrapText="1"/>
    </xf>
    <xf numFmtId="9" fontId="117" fillId="4" borderId="83" applyNumberFormat="1" applyFont="1" applyFill="1" applyBorder="1" applyAlignment="1" applyProtection="0">
      <alignment vertical="center"/>
    </xf>
    <xf numFmtId="9" fontId="123" fillId="4" borderId="83" applyNumberFormat="1" applyFont="1" applyFill="1" applyBorder="1" applyAlignment="1" applyProtection="0">
      <alignment vertical="center"/>
    </xf>
    <xf numFmtId="0" fontId="0" applyNumberFormat="1" applyFont="1" applyFill="0" applyBorder="0" applyAlignment="1" applyProtection="0">
      <alignment vertical="bottom"/>
    </xf>
    <xf numFmtId="1" fontId="99" borderId="5" applyNumberFormat="1" applyFont="1" applyFill="0" applyBorder="1" applyAlignment="1" applyProtection="0">
      <alignment horizontal="center" vertical="bottom"/>
    </xf>
  </cellXfs>
  <cellStyles count="1">
    <cellStyle name="Normal" xfId="0" builtinId="0"/>
  </cellStyles>
  <dxfs count="42">
    <dxf>
      <font>
        <color rgb="ff92d050"/>
      </font>
      <fill>
        <patternFill patternType="solid">
          <fgColor indexed="32"/>
          <bgColor indexed="33"/>
        </patternFill>
      </fill>
    </dxf>
    <dxf>
      <font>
        <color rgb="ffffff00"/>
      </font>
      <fill>
        <patternFill patternType="solid">
          <fgColor indexed="32"/>
          <bgColor indexed="34"/>
        </patternFill>
      </fill>
    </dxf>
    <dxf>
      <font>
        <color rgb="ffff0000"/>
      </font>
      <fill>
        <patternFill patternType="solid">
          <fgColor indexed="32"/>
          <bgColor indexed="35"/>
        </patternFill>
      </fill>
    </dxf>
    <dxf>
      <font>
        <color rgb="ff92d050"/>
      </font>
      <fill>
        <patternFill patternType="solid">
          <fgColor indexed="32"/>
          <bgColor indexed="33"/>
        </patternFill>
      </fill>
    </dxf>
    <dxf>
      <font>
        <color rgb="ffffff00"/>
      </font>
      <fill>
        <patternFill patternType="solid">
          <fgColor indexed="32"/>
          <bgColor indexed="34"/>
        </patternFill>
      </fill>
    </dxf>
    <dxf>
      <font>
        <color rgb="ffff0000"/>
      </font>
      <fill>
        <patternFill patternType="solid">
          <fgColor indexed="32"/>
          <bgColor indexed="35"/>
        </patternFill>
      </fill>
    </dxf>
    <dxf>
      <font>
        <color rgb="ff92d050"/>
      </font>
      <fill>
        <patternFill patternType="solid">
          <fgColor indexed="32"/>
          <bgColor indexed="33"/>
        </patternFill>
      </fill>
    </dxf>
    <dxf>
      <font>
        <color rgb="ffffff00"/>
      </font>
      <fill>
        <patternFill patternType="solid">
          <fgColor indexed="32"/>
          <bgColor indexed="34"/>
        </patternFill>
      </fill>
    </dxf>
    <dxf>
      <font>
        <color rgb="ffff0000"/>
      </font>
      <fill>
        <patternFill patternType="solid">
          <fgColor indexed="32"/>
          <bgColor indexed="35"/>
        </patternFill>
      </fill>
    </dxf>
    <dxf>
      <font>
        <color rgb="ff92d050"/>
      </font>
      <fill>
        <patternFill patternType="solid">
          <fgColor indexed="32"/>
          <bgColor indexed="33"/>
        </patternFill>
      </fill>
    </dxf>
    <dxf>
      <font>
        <color rgb="ffffff00"/>
      </font>
      <fill>
        <patternFill patternType="solid">
          <fgColor indexed="32"/>
          <bgColor indexed="34"/>
        </patternFill>
      </fill>
    </dxf>
    <dxf>
      <font>
        <color rgb="ffff0000"/>
      </font>
      <fill>
        <patternFill patternType="solid">
          <fgColor indexed="32"/>
          <bgColor indexed="35"/>
        </patternFill>
      </fill>
    </dxf>
    <dxf>
      <font>
        <color rgb="ff92d050"/>
      </font>
      <fill>
        <patternFill patternType="solid">
          <fgColor indexed="32"/>
          <bgColor indexed="33"/>
        </patternFill>
      </fill>
    </dxf>
    <dxf>
      <font>
        <color rgb="ffffff00"/>
      </font>
      <fill>
        <patternFill patternType="solid">
          <fgColor indexed="32"/>
          <bgColor indexed="34"/>
        </patternFill>
      </fill>
    </dxf>
    <dxf>
      <font>
        <color rgb="ffff0000"/>
      </font>
      <fill>
        <patternFill patternType="solid">
          <fgColor indexed="32"/>
          <bgColor indexed="35"/>
        </patternFill>
      </fill>
    </dxf>
    <dxf>
      <font>
        <color rgb="ff92d050"/>
      </font>
      <fill>
        <patternFill patternType="solid">
          <fgColor indexed="32"/>
          <bgColor indexed="33"/>
        </patternFill>
      </fill>
    </dxf>
    <dxf>
      <font>
        <color rgb="ffffff00"/>
      </font>
      <fill>
        <patternFill patternType="solid">
          <fgColor indexed="32"/>
          <bgColor indexed="34"/>
        </patternFill>
      </fill>
    </dxf>
    <dxf>
      <font>
        <color rgb="ffff0000"/>
      </font>
      <fill>
        <patternFill patternType="solid">
          <fgColor indexed="32"/>
          <bgColor indexed="35"/>
        </patternFill>
      </fill>
    </dxf>
    <dxf>
      <font>
        <color rgb="ff92d050"/>
      </font>
      <fill>
        <patternFill patternType="solid">
          <fgColor indexed="32"/>
          <bgColor indexed="33"/>
        </patternFill>
      </fill>
    </dxf>
    <dxf>
      <font>
        <color rgb="ffffff00"/>
      </font>
      <fill>
        <patternFill patternType="solid">
          <fgColor indexed="32"/>
          <bgColor indexed="34"/>
        </patternFill>
      </fill>
    </dxf>
    <dxf>
      <font>
        <color rgb="ffff0000"/>
      </font>
      <fill>
        <patternFill patternType="solid">
          <fgColor indexed="32"/>
          <bgColor indexed="35"/>
        </patternFill>
      </fill>
    </dxf>
    <dxf>
      <font>
        <color rgb="ff92d050"/>
      </font>
      <fill>
        <patternFill patternType="solid">
          <fgColor indexed="32"/>
          <bgColor indexed="33"/>
        </patternFill>
      </fill>
    </dxf>
    <dxf>
      <font>
        <color rgb="ffffff00"/>
      </font>
      <fill>
        <patternFill patternType="solid">
          <fgColor indexed="32"/>
          <bgColor indexed="34"/>
        </patternFill>
      </fill>
    </dxf>
    <dxf>
      <font>
        <color rgb="ffff0000"/>
      </font>
      <fill>
        <patternFill patternType="solid">
          <fgColor indexed="32"/>
          <bgColor indexed="35"/>
        </patternFill>
      </fill>
    </dxf>
    <dxf>
      <font>
        <color rgb="ff92d050"/>
      </font>
      <fill>
        <patternFill patternType="solid">
          <fgColor indexed="32"/>
          <bgColor indexed="33"/>
        </patternFill>
      </fill>
    </dxf>
    <dxf>
      <font>
        <color rgb="ffffff00"/>
      </font>
      <fill>
        <patternFill patternType="solid">
          <fgColor indexed="32"/>
          <bgColor indexed="34"/>
        </patternFill>
      </fill>
    </dxf>
    <dxf>
      <font>
        <color rgb="ffff0000"/>
      </font>
      <fill>
        <patternFill patternType="solid">
          <fgColor indexed="32"/>
          <bgColor indexed="35"/>
        </patternFill>
      </fill>
    </dxf>
    <dxf>
      <font>
        <color rgb="ff92d050"/>
      </font>
      <fill>
        <patternFill patternType="solid">
          <fgColor indexed="32"/>
          <bgColor indexed="33"/>
        </patternFill>
      </fill>
    </dxf>
    <dxf>
      <font>
        <color rgb="ffffff00"/>
      </font>
      <fill>
        <patternFill patternType="solid">
          <fgColor indexed="32"/>
          <bgColor indexed="34"/>
        </patternFill>
      </fill>
    </dxf>
    <dxf>
      <font>
        <color rgb="ffff0000"/>
      </font>
      <fill>
        <patternFill patternType="solid">
          <fgColor indexed="32"/>
          <bgColor indexed="35"/>
        </patternFill>
      </fill>
    </dxf>
    <dxf>
      <font>
        <color rgb="ff92d050"/>
      </font>
      <fill>
        <patternFill patternType="solid">
          <fgColor indexed="32"/>
          <bgColor indexed="33"/>
        </patternFill>
      </fill>
    </dxf>
    <dxf>
      <font>
        <color rgb="ffffff00"/>
      </font>
      <fill>
        <patternFill patternType="solid">
          <fgColor indexed="32"/>
          <bgColor indexed="34"/>
        </patternFill>
      </fill>
    </dxf>
    <dxf>
      <font>
        <color rgb="ffff0000"/>
      </font>
      <fill>
        <patternFill patternType="solid">
          <fgColor indexed="32"/>
          <bgColor indexed="35"/>
        </patternFill>
      </fill>
    </dxf>
    <dxf>
      <font>
        <color rgb="ff92d050"/>
      </font>
      <fill>
        <patternFill patternType="solid">
          <fgColor indexed="32"/>
          <bgColor indexed="33"/>
        </patternFill>
      </fill>
    </dxf>
    <dxf>
      <font>
        <color rgb="ffffff00"/>
      </font>
      <fill>
        <patternFill patternType="solid">
          <fgColor indexed="32"/>
          <bgColor indexed="34"/>
        </patternFill>
      </fill>
    </dxf>
    <dxf>
      <font>
        <color rgb="ffff0000"/>
      </font>
      <fill>
        <patternFill patternType="solid">
          <fgColor indexed="32"/>
          <bgColor indexed="35"/>
        </patternFill>
      </fill>
    </dxf>
    <dxf>
      <font>
        <color rgb="ff92d050"/>
      </font>
      <fill>
        <patternFill patternType="solid">
          <fgColor indexed="32"/>
          <bgColor indexed="33"/>
        </patternFill>
      </fill>
    </dxf>
    <dxf>
      <font>
        <color rgb="ffffff00"/>
      </font>
      <fill>
        <patternFill patternType="solid">
          <fgColor indexed="32"/>
          <bgColor indexed="34"/>
        </patternFill>
      </fill>
    </dxf>
    <dxf>
      <font>
        <color rgb="ffff0000"/>
      </font>
      <fill>
        <patternFill patternType="solid">
          <fgColor indexed="32"/>
          <bgColor indexed="35"/>
        </patternFill>
      </fill>
    </dxf>
    <dxf>
      <font>
        <color rgb="ff92d050"/>
      </font>
      <fill>
        <patternFill patternType="solid">
          <fgColor indexed="32"/>
          <bgColor indexed="33"/>
        </patternFill>
      </fill>
    </dxf>
    <dxf>
      <font>
        <color rgb="ffffff00"/>
      </font>
      <fill>
        <patternFill patternType="solid">
          <fgColor indexed="32"/>
          <bgColor indexed="34"/>
        </patternFill>
      </fill>
    </dxf>
    <dxf>
      <font>
        <color rgb="ffff0000"/>
      </font>
      <fill>
        <patternFill patternType="solid">
          <fgColor indexed="32"/>
          <bgColor indexed="35"/>
        </patternFill>
      </fill>
    </dxf>
  </dxfs>
  <tableStyles count="0"/>
  <colors>
    <indexedColors>
      <rgbColor rgb="ff000000"/>
      <rgbColor rgb="ffffffff"/>
      <rgbColor rgb="ffff0000"/>
      <rgbColor rgb="ff00ff00"/>
      <rgbColor rgb="ff0000ff"/>
      <rgbColor rgb="ffffff00"/>
      <rgbColor rgb="ffff00ff"/>
      <rgbColor rgb="ff00ffff"/>
      <rgbColor rgb="ff000000"/>
      <rgbColor rgb="ffdeeaf6"/>
      <rgbColor rgb="ffaaaaaa"/>
      <rgbColor rgb="ff376c99"/>
      <rgbColor rgb="ff1c3d79"/>
      <rgbColor rgb="ffffffff"/>
      <rgbColor rgb="ff0097cc"/>
      <rgbColor rgb="ff45413f"/>
      <rgbColor rgb="ff7f7f7f"/>
      <rgbColor rgb="ff70ad47"/>
      <rgbColor rgb="ffc00000"/>
      <rgbColor rgb="ff0079a4"/>
      <rgbColor rgb="ffbf9000"/>
      <rgbColor rgb="ff00b050"/>
      <rgbColor rgb="ff8eaadb"/>
      <rgbColor rgb="ffb4c6e7"/>
      <rgbColor rgb="ffbfcdef"/>
      <rgbColor rgb="ff203b7d"/>
      <rgbColor rgb="ffbdd6ee"/>
      <rgbColor rgb="ffbbd3e7"/>
      <rgbColor rgb="ff525252"/>
      <rgbColor rgb="fff2f2f2"/>
      <rgbColor rgb="ff385623"/>
      <rgbColor rgb="ff523162"/>
      <rgbColor rgb="00000000"/>
      <rgbColor rgb="ff92d050"/>
      <rgbColor rgb="ffffff00"/>
      <rgbColor rgb="ffff0000"/>
      <rgbColor rgb="ffebf6f9"/>
      <rgbColor rgb="ffadacac"/>
      <rgbColor rgb="ffacbeea"/>
      <rgbColor rgb="ffd9e2f3"/>
      <rgbColor rgb="ffe1e0df"/>
      <rgbColor rgb="ffe7e6e6"/>
      <rgbColor rgb="ff763e18"/>
      <rgbColor rgb="ffd6c2e0"/>
      <rgbColor rgb="ffd8d8d8"/>
      <rgbColor rgb="fffff2cb"/>
      <rgbColor rgb="ffe2eeda"/>
      <rgbColor rgb="fff7caac"/>
      <rgbColor rgb="fff4b083"/>
      <rgbColor rgb="ffa5a5a5"/>
      <rgbColor rgb="ffffd965"/>
      <rgbColor rgb="ffbfbfbf"/>
      <rgbColor rgb="ff5b9bd5"/>
      <rgbColor rgb="fffff58c"/>
      <rgbColor rgb="ff00ff00"/>
      <rgbColor rgb="ff006411"/>
      <rgbColor rgb="ff1f3864"/>
      <rgbColor rgb="ff44546a"/>
      <rgbColor rgb="ff9b162c"/>
      <rgbColor rgb="ffed7d31"/>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 Id="rId18" Type="http://schemas.openxmlformats.org/officeDocument/2006/relationships/worksheet" Target="worksheets/sheet15.xml"/><Relationship Id="rId19" Type="http://schemas.openxmlformats.org/officeDocument/2006/relationships/worksheet" Target="worksheets/sheet16.xml"/><Relationship Id="rId20" Type="http://schemas.openxmlformats.org/officeDocument/2006/relationships/worksheet" Target="worksheets/sheet17.xml"/><Relationship Id="rId21" Type="http://schemas.openxmlformats.org/officeDocument/2006/relationships/worksheet" Target="worksheets/sheet18.xml"/><Relationship Id="rId22" Type="http://schemas.openxmlformats.org/officeDocument/2006/relationships/worksheet" Target="worksheets/sheet19.xml"/><Relationship Id="rId23" Type="http://schemas.openxmlformats.org/officeDocument/2006/relationships/worksheet" Target="worksheets/sheet20.xml"/><Relationship Id="rId24" Type="http://schemas.openxmlformats.org/officeDocument/2006/relationships/worksheet" Target="worksheets/sheet21.xml"/><Relationship Id="rId25" Type="http://schemas.openxmlformats.org/officeDocument/2006/relationships/worksheet" Target="worksheets/sheet22.xml"/><Relationship Id="rId26" Type="http://schemas.openxmlformats.org/officeDocument/2006/relationships/worksheet" Target="worksheets/sheet23.xml"/><Relationship Id="rId27" Type="http://schemas.openxmlformats.org/officeDocument/2006/relationships/worksheet" Target="worksheets/sheet24.xml"/><Relationship Id="rId28" Type="http://schemas.openxmlformats.org/officeDocument/2006/relationships/worksheet" Target="worksheets/sheet25.xml"/><Relationship Id="rId29" Type="http://schemas.openxmlformats.org/officeDocument/2006/relationships/worksheet" Target="worksheets/sheet26.xml"/><Relationship Id="rId30" Type="http://schemas.openxmlformats.org/officeDocument/2006/relationships/worksheet" Target="worksheets/sheet27.xml"/><Relationship Id="rId31" Type="http://schemas.openxmlformats.org/officeDocument/2006/relationships/worksheet" Target="worksheets/sheet28.xml"/><Relationship Id="rId32" Type="http://schemas.openxmlformats.org/officeDocument/2006/relationships/worksheet" Target="worksheets/sheet29.xml"/><Relationship Id="rId33" Type="http://schemas.openxmlformats.org/officeDocument/2006/relationships/worksheet" Target="worksheets/sheet30.xml"/><Relationship Id="rId34" Type="http://schemas.openxmlformats.org/officeDocument/2006/relationships/worksheet" Target="worksheets/sheet31.xml"/><Relationship Id="rId35" Type="http://schemas.openxmlformats.org/officeDocument/2006/relationships/worksheet" Target="worksheets/sheet32.xml"/><Relationship Id="rId36" Type="http://schemas.openxmlformats.org/officeDocument/2006/relationships/worksheet" Target="worksheets/sheet33.xml"/><Relationship Id="rId37" Type="http://schemas.openxmlformats.org/officeDocument/2006/relationships/worksheet" Target="worksheets/sheet34.xml"/></Relationships>

</file>

<file path=xl/charts/chart1.xml><?xml version="1.0" encoding="utf-8"?>
<c:chartSpace xmlns:c="http://schemas.openxmlformats.org/drawingml/2006/chart" xmlns:a="http://schemas.openxmlformats.org/drawingml/2006/main" xmlns:r="http://schemas.openxmlformats.org/officeDocument/2006/relationships">
  <c:date1904 val="0"/>
  <c:roundedCorners val="0"/>
  <c:chart>
    <c:autoTitleDeleted val="1"/>
    <c:plotArea>
      <c:layout>
        <c:manualLayout>
          <c:layoutTarget val="inner"/>
          <c:xMode val="edge"/>
          <c:yMode val="edge"/>
          <c:x val="0.005"/>
          <c:y val="0.0504657"/>
          <c:w val="0.99"/>
          <c:h val="0.937034"/>
        </c:manualLayout>
      </c:layout>
      <c:radarChart>
        <c:radarStyle val="marker"/>
        <c:varyColors val="0"/>
        <c:ser>
          <c:idx val="1"/>
          <c:order val="0"/>
          <c:tx>
            <c:v>Series1</c:v>
          </c:tx>
          <c:spPr>
            <a:noFill/>
            <a:ln w="28575" cap="rnd">
              <a:solidFill>
                <a:schemeClr val="accent1"/>
              </a:solidFill>
              <a:prstDash val="solid"/>
              <a:round/>
            </a:ln>
            <a:effectLst/>
          </c:spPr>
          <c:marker>
            <c:symbol val="none"/>
            <c:size val="4"/>
            <c:spPr>
              <a:noFill/>
              <a:ln w="28575" cap="rnd">
                <a:solidFill>
                  <a:schemeClr val="accent1"/>
                </a:solidFill>
                <a:prstDash val="solid"/>
                <a:round/>
              </a:ln>
              <a:effectLst/>
            </c:spPr>
          </c:marker>
          <c:dLbls>
            <c:numFmt formatCode="General" sourceLinked="1"/>
            <c:txPr>
              <a:bodyPr/>
              <a:lstStyle/>
              <a:p>
                <a:pPr>
                  <a:defRPr b="0" i="0" strike="noStrike" sz="1000" u="none">
                    <a:solidFill>
                      <a:srgbClr val="000000"/>
                    </a:solidFill>
                    <a:latin typeface="Calibri"/>
                  </a:defRPr>
                </a:pPr>
              </a:p>
            </c:txPr>
            <c:showLegendKey val="0"/>
            <c:showVal val="0"/>
            <c:showCatName val="0"/>
            <c:showSerName val="0"/>
            <c:showPercent val="0"/>
            <c:showBubbleSize val="0"/>
            <c:showLeaderLines val="0"/>
          </c:dLbls>
          <c:cat>
            <c:strRef>
              <c:f>'Synthèse globale'!$F$6:$F$18</c:f>
              <c:strCache>
                <c:ptCount val="1"/>
                <c:pt idx="0">
                  <c:v>row 1</c:v>
                </c:pt>
              </c:strCache>
            </c:strRef>
          </c:cat>
          <c:val>
            <c:numRef>
              <c:f>'Synthèse globale'!$F$6:$F$18</c:f>
              <c:numCache>
                <c:ptCount val="0"/>
              </c:numCache>
            </c:numRef>
          </c:val>
        </c:ser>
        <c:ser>
          <c:idx val="0"/>
          <c:order val="1"/>
          <c:tx>
            <c:v>Series2</c:v>
          </c:tx>
          <c:spPr>
            <a:noFill/>
            <a:ln w="22225" cap="rnd">
              <a:solidFill>
                <a:srgbClr val="F2F2F2"/>
              </a:solidFill>
              <a:prstDash val="solid"/>
              <a:round/>
            </a:ln>
            <a:effectLst/>
          </c:spPr>
          <c:marker>
            <c:symbol val="diamond"/>
            <c:size val="6"/>
            <c:spPr>
              <a:solidFill>
                <a:srgbClr val="203B7D"/>
              </a:solidFill>
              <a:ln w="22225" cap="flat">
                <a:solidFill>
                  <a:srgbClr val="203B7D"/>
                </a:solidFill>
                <a:prstDash val="solid"/>
                <a:miter lim="800000"/>
              </a:ln>
              <a:effectLst/>
            </c:spPr>
          </c:marker>
          <c:dLbls>
            <c:numFmt formatCode="#,##0.0&quot; / 5&quot;" sourceLinked="0"/>
            <c:txPr>
              <a:bodyPr/>
              <a:lstStyle/>
              <a:p>
                <a:pPr>
                  <a:defRPr b="0" i="0" strike="noStrike" sz="1000" u="none">
                    <a:solidFill>
                      <a:srgbClr val="000000"/>
                    </a:solidFill>
                    <a:latin typeface="Calibri"/>
                  </a:defRPr>
                </a:pPr>
              </a:p>
            </c:txPr>
            <c:showLegendKey val="0"/>
            <c:showVal val="0"/>
            <c:showCatName val="0"/>
            <c:showSerName val="0"/>
            <c:showPercent val="0"/>
            <c:showBubbleSize val="0"/>
            <c:showLeaderLines val="0"/>
          </c:dLbls>
          <c:cat>
            <c:strRef>
              <c:f>'Synthèse globale'!$F$6:$F$18</c:f>
              <c:strCache>
                <c:ptCount val="1"/>
                <c:pt idx="0">
                  <c:v>row 1</c:v>
                </c:pt>
              </c:strCache>
            </c:strRef>
          </c:cat>
          <c:val>
            <c:numRef>
              <c:f>'Synthèse globale'!$G$6:$G$18</c:f>
              <c:numCache>
                <c:ptCount val="0"/>
              </c:numCache>
            </c:numRef>
          </c:val>
        </c:ser>
        <c:axId val="2094734552"/>
        <c:axId val="2094734553"/>
      </c:radarChart>
      <c:catAx>
        <c:axId val="2094734552"/>
        <c:scaling>
          <c:orientation val="minMax"/>
        </c:scaling>
        <c:delete val="0"/>
        <c:axPos val="b"/>
        <c:majorGridlines>
          <c:spPr>
            <a:ln w="6350" cap="flat">
              <a:solidFill>
                <a:srgbClr val="D9D9D9"/>
              </a:solidFill>
              <a:prstDash val="solid"/>
              <a:miter lim="800000"/>
            </a:ln>
          </c:spPr>
        </c:majorGridlines>
        <c:numFmt formatCode="General" sourceLinked="1"/>
        <c:majorTickMark val="none"/>
        <c:minorTickMark val="none"/>
        <c:tickLblPos val="low"/>
        <c:spPr>
          <a:ln w="12700" cap="flat">
            <a:solidFill>
              <a:srgbClr val="D9D9D9"/>
            </a:solidFill>
            <a:prstDash val="solid"/>
            <a:miter lim="800000"/>
          </a:ln>
        </c:spPr>
        <c:txPr>
          <a:bodyPr rot="0"/>
          <a:lstStyle/>
          <a:p>
            <a:pPr>
              <a:defRPr b="1" i="0" strike="noStrike" sz="1400" u="none">
                <a:solidFill>
                  <a:srgbClr val="203B7D"/>
                </a:solidFill>
                <a:latin typeface="Calibri"/>
              </a:defRPr>
            </a:pPr>
          </a:p>
        </c:txPr>
        <c:crossAx val="2094734553"/>
        <c:crosses val="autoZero"/>
        <c:auto val="1"/>
        <c:lblAlgn val="ctr"/>
        <c:noMultiLvlLbl val="1"/>
      </c:catAx>
      <c:valAx>
        <c:axId val="2094734553"/>
        <c:scaling>
          <c:orientation val="minMax"/>
          <c:max val="5"/>
        </c:scaling>
        <c:delete val="0"/>
        <c:axPos val="l"/>
        <c:majorGridlines>
          <c:spPr>
            <a:ln w="12700" cap="flat">
              <a:solidFill>
                <a:srgbClr val="D9D9D9"/>
              </a:solidFill>
              <a:prstDash val="solid"/>
              <a:round/>
            </a:ln>
          </c:spPr>
        </c:majorGridlines>
        <c:numFmt formatCode="General" sourceLinked="1"/>
        <c:majorTickMark val="in"/>
        <c:minorTickMark val="in"/>
        <c:tickLblPos val="nextTo"/>
        <c:spPr>
          <a:ln w="6350" cap="flat">
            <a:solidFill>
              <a:srgbClr val="D9D9D9"/>
            </a:solidFill>
            <a:prstDash val="solid"/>
            <a:miter lim="800000"/>
          </a:ln>
        </c:spPr>
        <c:txPr>
          <a:bodyPr rot="0"/>
          <a:lstStyle/>
          <a:p>
            <a:pPr>
              <a:defRPr b="0" i="0" strike="noStrike" sz="900" u="none">
                <a:solidFill>
                  <a:srgbClr val="203B7D"/>
                </a:solidFill>
                <a:latin typeface="Calibri"/>
              </a:defRPr>
            </a:pPr>
          </a:p>
        </c:txPr>
        <c:crossAx val="2094734552"/>
        <c:crosses val="autoZero"/>
        <c:crossBetween val="between"/>
        <c:majorUnit val="1.25"/>
        <c:minorUnit val="0.625"/>
      </c:valAx>
      <c:spPr>
        <a:noFill/>
        <a:ln w="12700" cap="flat">
          <a:noFill/>
          <a:miter lim="400000"/>
        </a:ln>
        <a:effectLst/>
      </c:spPr>
    </c:plotArea>
    <c:plotVisOnly val="1"/>
    <c:dispBlanksAs val="gap"/>
  </c:chart>
  <c:spPr>
    <a:solidFill>
      <a:srgbClr val="FFFFFF"/>
    </a:solidFill>
    <a:ln>
      <a:noFill/>
    </a:ln>
    <a:effectLst/>
  </c:spPr>
</c:chartSpace>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 Id="rId3" Type="http://schemas.openxmlformats.org/officeDocument/2006/relationships/image" Target="../media/image3.png"/><Relationship Id="rId4" Type="http://schemas.openxmlformats.org/officeDocument/2006/relationships/image" Target="../media/image4.png"/></Relationships>

</file>

<file path=xl/drawings/_rels/drawing3.xml.rels><?xml version="1.0" encoding="UTF-8"?>
<Relationships xmlns="http://schemas.openxmlformats.org/package/2006/relationships"><Relationship Id="rId1" Type="http://schemas.openxmlformats.org/officeDocument/2006/relationships/chart" Target="../charts/chart1.xml"/></Relationships>

</file>

<file path=xl/drawings/drawing1.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0</xdr:col>
      <xdr:colOff>377187</xdr:colOff>
      <xdr:row>2</xdr:row>
      <xdr:rowOff>487408</xdr:rowOff>
    </xdr:from>
    <xdr:to>
      <xdr:col>10</xdr:col>
      <xdr:colOff>368923</xdr:colOff>
      <xdr:row>26</xdr:row>
      <xdr:rowOff>42494</xdr:rowOff>
    </xdr:to>
    <xdr:sp>
      <xdr:nvSpPr>
        <xdr:cNvPr id="2" name="Rectangle 1"/>
        <xdr:cNvSpPr/>
      </xdr:nvSpPr>
      <xdr:spPr>
        <a:xfrm>
          <a:off x="377187" y="1287508"/>
          <a:ext cx="8754737" cy="4462367"/>
        </a:xfrm>
        <a:prstGeom prst="rect">
          <a:avLst/>
        </a:prstGeom>
        <a:solidFill>
          <a:srgbClr val="FFFFFF"/>
        </a:solidFill>
        <a:ln w="12700" cap="flat">
          <a:solidFill>
            <a:srgbClr val="1C3D79"/>
          </a:solidFill>
          <a:prstDash val="solid"/>
          <a:miter lim="800000"/>
        </a:ln>
        <a:effectLst/>
        <a:extLst>
          <a:ext uri="{C572A759-6A51-4108-AA02-DFA0A04FC94B}">
            <ma14:wrappingTextBoxFlag xmlns:ma14="http://schemas.microsoft.com/office/mac/drawingml/2011/main" val="1"/>
          </a:ext>
        </a:extLst>
      </xdr:spPr>
      <xdr:txBody>
        <a:bodyPr wrap="square" lIns="45719" tIns="45719" rIns="45719" bIns="45719" numCol="1" anchor="t">
          <a:noAutofit/>
        </a:bodyPr>
        <a:lstStyle/>
        <a:p>
          <a:pPr marL="0" marR="0" indent="0" algn="ctr" defTabSz="914400" latinLnBrk="0">
            <a:lnSpc>
              <a:spcPct val="100000"/>
            </a:lnSpc>
            <a:spcBef>
              <a:spcPts val="0"/>
            </a:spcBef>
            <a:spcAft>
              <a:spcPts val="0"/>
            </a:spcAft>
            <a:buClrTx/>
            <a:buSzTx/>
            <a:buFontTx/>
            <a:buNone/>
            <a:tabLst/>
            <a:defRPr b="1" baseline="0" cap="none" i="0" spc="0" strike="noStrike" sz="1200" u="sng">
              <a:solidFill>
                <a:srgbClr val="1C3D79"/>
              </a:solidFill>
              <a:uFillTx/>
              <a:latin typeface="Sitka Banner"/>
              <a:ea typeface="Sitka Banner"/>
              <a:cs typeface="Sitka Banner"/>
              <a:sym typeface="Sitka Banner"/>
            </a:defRPr>
          </a:pPr>
          <a:r>
            <a:rPr b="1" baseline="0" cap="none" i="0" spc="0" strike="noStrike" sz="1200" u="sng">
              <a:solidFill>
                <a:srgbClr val="1C3D79"/>
              </a:solidFill>
              <a:uFillTx/>
              <a:latin typeface="Sitka Banner"/>
              <a:ea typeface="Sitka Banner"/>
              <a:cs typeface="Sitka Banner"/>
              <a:sym typeface="Sitka Banner"/>
            </a:rPr>
            <a:t>Présentation générale</a:t>
          </a:r>
          <a:endParaRPr b="1" baseline="0" cap="none" i="0" spc="0" strike="noStrike" sz="1200" u="sng">
            <a:solidFill>
              <a:srgbClr val="FFFFFF"/>
            </a:solidFill>
            <a:uFillTx/>
            <a:latin typeface="Sitka Banner"/>
            <a:ea typeface="Sitka Banner"/>
            <a:cs typeface="Sitka Banner"/>
            <a:sym typeface="Sitka Banner"/>
          </a:endParaRPr>
        </a:p>
        <a:p>
          <a:pPr marL="0" marR="0" indent="0" algn="ctr" defTabSz="914400" latinLnBrk="0">
            <a:lnSpc>
              <a:spcPct val="100000"/>
            </a:lnSpc>
            <a:spcBef>
              <a:spcPts val="0"/>
            </a:spcBef>
            <a:spcAft>
              <a:spcPts val="0"/>
            </a:spcAft>
            <a:buClrTx/>
            <a:buSzTx/>
            <a:buFontTx/>
            <a:buNone/>
            <a:tabLst/>
            <a:defRPr b="0" baseline="0" cap="none" i="0" spc="0" strike="noStrike" sz="1200" u="none">
              <a:solidFill>
                <a:srgbClr val="1C3D79"/>
              </a:solidFill>
              <a:uFillTx/>
              <a:latin typeface="Sitka Banner"/>
              <a:ea typeface="Sitka Banner"/>
              <a:cs typeface="Sitka Banner"/>
              <a:sym typeface="Sitka Banner"/>
            </a:defRPr>
          </a:pPr>
          <a:endParaRPr b="0" baseline="0" cap="none" i="0" spc="0" strike="noStrike" sz="1200" u="none">
            <a:solidFill>
              <a:srgbClr val="1C3D79"/>
            </a:solidFill>
            <a:uFillTx/>
            <a:latin typeface="Sitka Banner"/>
            <a:ea typeface="Sitka Banner"/>
            <a:cs typeface="Sitka Banner"/>
            <a:sym typeface="Sitka Banner"/>
          </a:endParaRPr>
        </a:p>
        <a:p>
          <a:pPr marL="0" marR="0" indent="0" algn="ctr" defTabSz="914400" latinLnBrk="0">
            <a:lnSpc>
              <a:spcPct val="100000"/>
            </a:lnSpc>
            <a:spcBef>
              <a:spcPts val="0"/>
            </a:spcBef>
            <a:spcAft>
              <a:spcPts val="0"/>
            </a:spcAft>
            <a:buClrTx/>
            <a:buSzTx/>
            <a:buFontTx/>
            <a:buNone/>
            <a:tabLst/>
            <a:defRPr b="0" baseline="0" cap="none" i="0" spc="0" strike="noStrike" sz="1200" u="none">
              <a:solidFill>
                <a:srgbClr val="1C3D79"/>
              </a:solidFill>
              <a:uFillTx/>
              <a:latin typeface="Sitka Banner"/>
              <a:ea typeface="Sitka Banner"/>
              <a:cs typeface="Sitka Banner"/>
              <a:sym typeface="Sitka Banner"/>
            </a:defRPr>
          </a:pPr>
          <a:endParaRPr b="0" baseline="0" cap="none" i="0" spc="0" strike="noStrike" sz="1200" u="none">
            <a:solidFill>
              <a:srgbClr val="1C3D79"/>
            </a:solidFill>
            <a:uFillTx/>
            <a:latin typeface="Sitka Banner"/>
            <a:ea typeface="Sitka Banner"/>
            <a:cs typeface="Sitka Banner"/>
            <a:sym typeface="Sitka Banner"/>
          </a:endParaRPr>
        </a:p>
        <a:p>
          <a:pPr marL="0" marR="0" indent="0" algn="l" defTabSz="914400" latinLnBrk="0">
            <a:lnSpc>
              <a:spcPct val="100000"/>
            </a:lnSpc>
            <a:spcBef>
              <a:spcPts val="0"/>
            </a:spcBef>
            <a:spcAft>
              <a:spcPts val="0"/>
            </a:spcAft>
            <a:buClrTx/>
            <a:buSzTx/>
            <a:buFontTx/>
            <a:buNone/>
            <a:tabLst/>
            <a:defRPr b="0" baseline="0" cap="none" i="0" spc="0" strike="noStrike" sz="1200" u="none">
              <a:solidFill>
                <a:srgbClr val="1C3D79"/>
              </a:solidFill>
              <a:uFillTx/>
              <a:latin typeface="Sitka Banner"/>
              <a:ea typeface="Sitka Banner"/>
              <a:cs typeface="Sitka Banner"/>
              <a:sym typeface="Sitka Banner"/>
            </a:defRPr>
          </a:pPr>
          <a:r>
            <a:rPr b="0" baseline="0" cap="none" i="0" spc="0" strike="noStrike" sz="1200" u="none">
              <a:solidFill>
                <a:srgbClr val="1C3D79"/>
              </a:solidFill>
              <a:uFillTx/>
              <a:latin typeface="Sitka Banner"/>
              <a:ea typeface="Sitka Banner"/>
              <a:cs typeface="Sitka Banner"/>
              <a:sym typeface="Sitka Banner"/>
            </a:rPr>
            <a:t>L'objectif de cette grille et de permettre à chaque entreprise d'auto-évaluer sa gouvernance du numérique sur une échelle de 1 à 5 à travers 13 vecteurs stratégiques ou grands axes de gouvernance ci-après classés en trois volets : </a:t>
          </a:r>
          <a:endParaRPr b="0" baseline="0" cap="none" i="0" spc="0" strike="noStrike" sz="1200" u="none">
            <a:solidFill>
              <a:srgbClr val="1C3D79"/>
            </a:solidFill>
            <a:uFillTx/>
            <a:latin typeface="Sitka Banner"/>
            <a:ea typeface="Sitka Banner"/>
            <a:cs typeface="Sitka Banner"/>
            <a:sym typeface="Sitka Banner"/>
          </a:endParaRPr>
        </a:p>
        <a:p>
          <a:pPr marL="0" marR="0" indent="0" algn="l" defTabSz="914400" latinLnBrk="0">
            <a:lnSpc>
              <a:spcPct val="100000"/>
            </a:lnSpc>
            <a:spcBef>
              <a:spcPts val="0"/>
            </a:spcBef>
            <a:spcAft>
              <a:spcPts val="0"/>
            </a:spcAft>
            <a:buClrTx/>
            <a:buSzTx/>
            <a:buFontTx/>
            <a:buNone/>
            <a:tabLst/>
            <a:defRPr b="0" baseline="0" cap="none" i="0" spc="0" strike="noStrike" sz="1200" u="none">
              <a:solidFill>
                <a:srgbClr val="1C3D79"/>
              </a:solidFill>
              <a:uFillTx/>
              <a:latin typeface="Sitka Banner"/>
              <a:ea typeface="Sitka Banner"/>
              <a:cs typeface="Sitka Banner"/>
              <a:sym typeface="Sitka Banner"/>
            </a:defRPr>
          </a:pPr>
          <a:endParaRPr b="0" baseline="0" cap="none" i="0" spc="0" strike="noStrike" sz="1200" u="none">
            <a:solidFill>
              <a:srgbClr val="1C3D79"/>
            </a:solidFill>
            <a:uFillTx/>
            <a:latin typeface="Sitka Banner"/>
            <a:ea typeface="Sitka Banner"/>
            <a:cs typeface="Sitka Banner"/>
            <a:sym typeface="Sitka Banner"/>
          </a:endParaRPr>
        </a:p>
        <a:p>
          <a:pPr marL="0" marR="0" indent="0" algn="l" defTabSz="914400" latinLnBrk="0">
            <a:lnSpc>
              <a:spcPct val="100000"/>
            </a:lnSpc>
            <a:spcBef>
              <a:spcPts val="0"/>
            </a:spcBef>
            <a:spcAft>
              <a:spcPts val="0"/>
            </a:spcAft>
            <a:buClrTx/>
            <a:buSzTx/>
            <a:buFontTx/>
            <a:buNone/>
            <a:tabLst/>
            <a:defRPr b="0" baseline="0" cap="none" i="0" spc="0" strike="noStrike" sz="1200" u="none">
              <a:solidFill>
                <a:srgbClr val="1C3D79"/>
              </a:solidFill>
              <a:uFillTx/>
              <a:latin typeface="Sitka Banner"/>
              <a:ea typeface="Sitka Banner"/>
              <a:cs typeface="Sitka Banner"/>
              <a:sym typeface="Sitka Banner"/>
            </a:defRPr>
          </a:pPr>
          <a:r>
            <a:rPr b="0" baseline="0" cap="none" i="0" spc="0" strike="noStrike" sz="1200" u="none">
              <a:solidFill>
                <a:srgbClr val="1C3D79"/>
              </a:solidFill>
              <a:uFillTx/>
              <a:latin typeface="Sitka Banner"/>
              <a:ea typeface="Sitka Banner"/>
              <a:cs typeface="Sitka Banner"/>
              <a:sym typeface="Sitka Banner"/>
            </a:rPr>
            <a:t>- </a:t>
          </a:r>
          <a:r>
            <a:rPr b="1" baseline="0" cap="none" i="0" spc="0" strike="noStrike" sz="1200" u="none">
              <a:solidFill>
                <a:srgbClr val="0097CC"/>
              </a:solidFill>
              <a:uFillTx/>
              <a:latin typeface="Sitka Banner"/>
              <a:ea typeface="Sitka Banner"/>
              <a:cs typeface="Sitka Banner"/>
              <a:sym typeface="Sitka Banner"/>
            </a:rPr>
            <a:t>Volet 1</a:t>
          </a:r>
          <a:r>
            <a:rPr b="0" baseline="0" cap="none" i="0" spc="0" strike="noStrike" sz="1200" u="none">
              <a:solidFill>
                <a:srgbClr val="0097CC"/>
              </a:solidFill>
              <a:uFillTx/>
              <a:latin typeface="Sitka Banner"/>
              <a:ea typeface="Sitka Banner"/>
              <a:cs typeface="Sitka Banner"/>
              <a:sym typeface="Sitka Banner"/>
            </a:rPr>
            <a:t> : </a:t>
          </a:r>
          <a:r>
            <a:rPr b="0" baseline="0" cap="none" i="0" spc="0" strike="noStrike" sz="1200" u="none">
              <a:solidFill>
                <a:srgbClr val="1C3D79"/>
              </a:solidFill>
              <a:uFillTx/>
              <a:latin typeface="Sitka Banner"/>
              <a:ea typeface="Sitka Banner"/>
              <a:cs typeface="Sitka Banner"/>
              <a:sym typeface="Sitka Banner"/>
            </a:rPr>
            <a:t>les vecteurs liés à la </a:t>
          </a:r>
          <a:r>
            <a:rPr b="1" baseline="0" cap="none" i="0" spc="0" strike="noStrike" sz="1200" u="none">
              <a:solidFill>
                <a:srgbClr val="0097CC"/>
              </a:solidFill>
              <a:uFillTx/>
              <a:latin typeface="Sitka Banner"/>
              <a:ea typeface="Sitka Banner"/>
              <a:cs typeface="Sitka Banner"/>
              <a:sym typeface="Sitka Banner"/>
            </a:rPr>
            <a:t>Stratégie</a:t>
          </a:r>
          <a:r>
            <a:rPr b="0" baseline="0" cap="none" i="0" spc="0" strike="noStrike" sz="1200" u="none">
              <a:solidFill>
                <a:srgbClr val="1C3D79"/>
              </a:solidFill>
              <a:uFillTx/>
              <a:latin typeface="Sitka Banner"/>
              <a:ea typeface="Sitka Banner"/>
              <a:cs typeface="Sitka Banner"/>
              <a:sym typeface="Sitka Banner"/>
            </a:rPr>
            <a:t> de l'entreprise (</a:t>
          </a:r>
          <a:r>
            <a:rPr b="0" baseline="0" cap="none" i="0" spc="0" strike="noStrike" sz="1200" u="none">
              <a:solidFill>
                <a:srgbClr val="0097CC"/>
              </a:solidFill>
              <a:uFillTx/>
              <a:latin typeface="Sitka Banner"/>
              <a:ea typeface="Sitka Banner"/>
              <a:cs typeface="Sitka Banner"/>
              <a:sym typeface="Sitka Banner"/>
            </a:rPr>
            <a:t>Stratégie</a:t>
          </a:r>
          <a:r>
            <a:rPr b="0" baseline="0" cap="none" i="0" spc="0" strike="noStrike" sz="1200" u="none">
              <a:solidFill>
                <a:srgbClr val="1C3D79"/>
              </a:solidFill>
              <a:uFillTx/>
              <a:latin typeface="Sitka Banner"/>
              <a:ea typeface="Sitka Banner"/>
              <a:cs typeface="Sitka Banner"/>
              <a:sym typeface="Sitka Banner"/>
            </a:rPr>
            <a:t>, </a:t>
          </a:r>
          <a:r>
            <a:rPr b="0" baseline="0" cap="none" i="0" spc="0" strike="noStrike" sz="1200" u="none">
              <a:solidFill>
                <a:srgbClr val="0097CC"/>
              </a:solidFill>
              <a:uFillTx/>
              <a:latin typeface="Sitka Banner"/>
              <a:ea typeface="Sitka Banner"/>
              <a:cs typeface="Sitka Banner"/>
              <a:sym typeface="Sitka Banner"/>
            </a:rPr>
            <a:t>Innovation</a:t>
          </a:r>
          <a:r>
            <a:rPr b="0" baseline="0" cap="none" i="0" spc="0" strike="noStrike" sz="1200" u="none">
              <a:solidFill>
                <a:srgbClr val="1C3D79"/>
              </a:solidFill>
              <a:uFillTx/>
              <a:latin typeface="Sitka Banner"/>
              <a:ea typeface="Sitka Banner"/>
              <a:cs typeface="Sitka Banner"/>
              <a:sym typeface="Sitka Banner"/>
            </a:rPr>
            <a:t>, </a:t>
          </a:r>
          <a:r>
            <a:rPr b="0" baseline="0" cap="none" i="0" spc="0" strike="noStrike" sz="1200" u="none">
              <a:solidFill>
                <a:srgbClr val="0097CC"/>
              </a:solidFill>
              <a:uFillTx/>
              <a:latin typeface="Sitka Banner"/>
              <a:ea typeface="Sitka Banner"/>
              <a:cs typeface="Sitka Banner"/>
              <a:sym typeface="Sitka Banner"/>
            </a:rPr>
            <a:t>Risques &amp; Conformité</a:t>
          </a:r>
          <a:r>
            <a:rPr b="0" baseline="0" cap="none" i="0" spc="0" strike="noStrike" sz="1200" u="none">
              <a:solidFill>
                <a:srgbClr val="1C3D79"/>
              </a:solidFill>
              <a:uFillTx/>
              <a:latin typeface="Sitka Banner"/>
              <a:ea typeface="Sitka Banner"/>
              <a:cs typeface="Sitka Banner"/>
              <a:sym typeface="Sitka Banner"/>
            </a:rPr>
            <a:t>, </a:t>
          </a:r>
          <a:r>
            <a:rPr b="0" baseline="0" cap="none" i="0" spc="0" strike="noStrike" sz="1200" u="none">
              <a:solidFill>
                <a:srgbClr val="0097CC"/>
              </a:solidFill>
              <a:uFillTx/>
              <a:latin typeface="Sitka Banner"/>
              <a:ea typeface="Sitka Banner"/>
              <a:cs typeface="Sitka Banner"/>
              <a:sym typeface="Sitka Banner"/>
            </a:rPr>
            <a:t>RSE</a:t>
          </a:r>
          <a:r>
            <a:rPr b="0" baseline="0" cap="none" i="0" spc="0" strike="noStrike" sz="1200" u="none">
              <a:solidFill>
                <a:srgbClr val="1C3D79"/>
              </a:solidFill>
              <a:uFillTx/>
              <a:latin typeface="Sitka Banner"/>
              <a:ea typeface="Sitka Banner"/>
              <a:cs typeface="Sitka Banner"/>
              <a:sym typeface="Sitka Banner"/>
            </a:rPr>
            <a:t>),</a:t>
          </a:r>
          <a:endParaRPr b="0" baseline="0" cap="none" i="0" spc="0" strike="noStrike" sz="1200" u="none">
            <a:solidFill>
              <a:srgbClr val="FFFFFF"/>
            </a:solidFill>
            <a:uFillTx/>
            <a:latin typeface="Sitka Banner"/>
            <a:ea typeface="Sitka Banner"/>
            <a:cs typeface="Sitka Banner"/>
            <a:sym typeface="Sitka Banner"/>
          </a:endParaRPr>
        </a:p>
        <a:p>
          <a:pPr marL="0" marR="0" indent="0" algn="l" defTabSz="914400" latinLnBrk="0">
            <a:lnSpc>
              <a:spcPct val="100000"/>
            </a:lnSpc>
            <a:spcBef>
              <a:spcPts val="0"/>
            </a:spcBef>
            <a:spcAft>
              <a:spcPts val="0"/>
            </a:spcAft>
            <a:buClrTx/>
            <a:buSzTx/>
            <a:buFontTx/>
            <a:buNone/>
            <a:tabLst/>
            <a:defRPr b="0" baseline="0" cap="none" i="0" spc="0" strike="noStrike" sz="1200" u="none">
              <a:solidFill>
                <a:srgbClr val="1C3D79"/>
              </a:solidFill>
              <a:uFillTx/>
              <a:latin typeface="Sitka Banner"/>
              <a:ea typeface="Sitka Banner"/>
              <a:cs typeface="Sitka Banner"/>
              <a:sym typeface="Sitka Banner"/>
            </a:defRPr>
          </a:pPr>
          <a:r>
            <a:rPr b="0" baseline="0" cap="none" i="0" spc="0" strike="noStrike" sz="1200" u="none">
              <a:solidFill>
                <a:srgbClr val="1C3D79"/>
              </a:solidFill>
              <a:uFillTx/>
              <a:latin typeface="Sitka Banner"/>
              <a:ea typeface="Sitka Banner"/>
              <a:cs typeface="Sitka Banner"/>
              <a:sym typeface="Sitka Banner"/>
            </a:rPr>
            <a:t>- </a:t>
          </a:r>
          <a:r>
            <a:rPr b="1" baseline="0" cap="none" i="0" spc="0" strike="noStrike" sz="1200" u="none">
              <a:solidFill>
                <a:srgbClr val="1C3D79"/>
              </a:solidFill>
              <a:uFillTx/>
              <a:latin typeface="Sitka Banner"/>
              <a:ea typeface="Sitka Banner"/>
              <a:cs typeface="Sitka Banner"/>
              <a:sym typeface="Sitka Banner"/>
            </a:rPr>
            <a:t>Volet 2 </a:t>
          </a:r>
          <a:r>
            <a:rPr b="0" baseline="0" cap="none" i="0" spc="0" strike="noStrike" sz="1200" u="none">
              <a:solidFill>
                <a:srgbClr val="1C3D79"/>
              </a:solidFill>
              <a:uFillTx/>
              <a:latin typeface="Sitka Banner"/>
              <a:ea typeface="Sitka Banner"/>
              <a:cs typeface="Sitka Banner"/>
              <a:sym typeface="Sitka Banner"/>
            </a:rPr>
            <a:t>: les vecteurs liés aux </a:t>
          </a:r>
          <a:r>
            <a:rPr b="1" baseline="0" cap="none" i="0" spc="0" strike="noStrike" sz="1200" u="none">
              <a:solidFill>
                <a:srgbClr val="1C3D79"/>
              </a:solidFill>
              <a:uFillTx/>
              <a:latin typeface="Sitka Banner"/>
              <a:ea typeface="Sitka Banner"/>
              <a:cs typeface="Sitka Banner"/>
              <a:sym typeface="Sitka Banner"/>
            </a:rPr>
            <a:t>Opérations</a:t>
          </a:r>
          <a:r>
            <a:rPr b="0" baseline="0" cap="none" i="0" spc="0" strike="noStrike" sz="1200" u="none">
              <a:solidFill>
                <a:srgbClr val="1C3D79"/>
              </a:solidFill>
              <a:uFillTx/>
              <a:latin typeface="Sitka Banner"/>
              <a:ea typeface="Sitka Banner"/>
              <a:cs typeface="Sitka Banner"/>
              <a:sym typeface="Sitka Banner"/>
            </a:rPr>
            <a:t> IT de l'entreprise (Données &amp; IA, Architecture, Portefeuille de projets, Projets, Services),</a:t>
          </a:r>
          <a:endParaRPr b="0" baseline="0" cap="none" i="0" spc="0" strike="noStrike" sz="1200" u="none">
            <a:solidFill>
              <a:srgbClr val="FFFFFF"/>
            </a:solidFill>
            <a:uFillTx/>
            <a:latin typeface="Sitka Banner"/>
            <a:ea typeface="Sitka Banner"/>
            <a:cs typeface="Sitka Banner"/>
            <a:sym typeface="Sitka Banner"/>
          </a:endParaRPr>
        </a:p>
        <a:p>
          <a:pPr marL="0" marR="0" indent="0" algn="l" defTabSz="914400" latinLnBrk="0">
            <a:lnSpc>
              <a:spcPct val="100000"/>
            </a:lnSpc>
            <a:spcBef>
              <a:spcPts val="0"/>
            </a:spcBef>
            <a:spcAft>
              <a:spcPts val="0"/>
            </a:spcAft>
            <a:buClrTx/>
            <a:buSzTx/>
            <a:buFontTx/>
            <a:buNone/>
            <a:tabLst/>
            <a:defRPr b="0" baseline="0" cap="none" i="0" spc="0" strike="noStrike" sz="1200" u="none">
              <a:solidFill>
                <a:srgbClr val="1C3D79"/>
              </a:solidFill>
              <a:uFillTx/>
              <a:latin typeface="Sitka Banner"/>
              <a:ea typeface="Sitka Banner"/>
              <a:cs typeface="Sitka Banner"/>
              <a:sym typeface="Sitka Banner"/>
            </a:defRPr>
          </a:pPr>
          <a:r>
            <a:rPr b="0" baseline="0" cap="none" i="0" spc="0" strike="noStrike" sz="1200" u="none">
              <a:solidFill>
                <a:srgbClr val="1C3D79"/>
              </a:solidFill>
              <a:uFillTx/>
              <a:latin typeface="Sitka Banner"/>
              <a:ea typeface="Sitka Banner"/>
              <a:cs typeface="Sitka Banner"/>
              <a:sym typeface="Sitka Banner"/>
            </a:rPr>
            <a:t>- </a:t>
          </a:r>
          <a:r>
            <a:rPr b="1" baseline="0" cap="none" i="0" spc="0" strike="noStrike" sz="1200" u="none">
              <a:solidFill>
                <a:srgbClr val="45413F"/>
              </a:solidFill>
              <a:uFillTx/>
              <a:latin typeface="Sitka Banner"/>
              <a:ea typeface="Sitka Banner"/>
              <a:cs typeface="Sitka Banner"/>
              <a:sym typeface="Sitka Banner"/>
            </a:rPr>
            <a:t>Volet 3</a:t>
          </a:r>
          <a:r>
            <a:rPr b="0" baseline="0" cap="none" i="0" spc="0" strike="noStrike" sz="1200" u="none">
              <a:solidFill>
                <a:srgbClr val="1C3D79"/>
              </a:solidFill>
              <a:uFillTx/>
              <a:latin typeface="Sitka Banner"/>
              <a:ea typeface="Sitka Banner"/>
              <a:cs typeface="Sitka Banner"/>
              <a:sym typeface="Sitka Banner"/>
            </a:rPr>
            <a:t> : les vecteurs liés aux fonctions </a:t>
          </a:r>
          <a:r>
            <a:rPr b="1" baseline="0" cap="none" i="0" spc="0" strike="noStrike" sz="1200" u="none">
              <a:solidFill>
                <a:srgbClr val="45413F"/>
              </a:solidFill>
              <a:uFillTx/>
              <a:latin typeface="Sitka Banner"/>
              <a:ea typeface="Sitka Banner"/>
              <a:cs typeface="Sitka Banner"/>
              <a:sym typeface="Sitka Banner"/>
            </a:rPr>
            <a:t>Support</a:t>
          </a:r>
          <a:r>
            <a:rPr b="1" baseline="0" cap="none" i="0" spc="0" strike="noStrike" sz="1200" u="none">
              <a:solidFill>
                <a:srgbClr val="808080"/>
              </a:solidFill>
              <a:uFillTx/>
              <a:latin typeface="Sitka Banner"/>
              <a:ea typeface="Sitka Banner"/>
              <a:cs typeface="Sitka Banner"/>
              <a:sym typeface="Sitka Banner"/>
            </a:rPr>
            <a:t> </a:t>
          </a:r>
          <a:r>
            <a:rPr b="0" baseline="0" cap="none" i="0" spc="0" strike="noStrike" sz="1200" u="none">
              <a:solidFill>
                <a:srgbClr val="1C3D79"/>
              </a:solidFill>
              <a:uFillTx/>
              <a:latin typeface="Sitka Banner"/>
              <a:ea typeface="Sitka Banner"/>
              <a:cs typeface="Sitka Banner"/>
              <a:sym typeface="Sitka Banner"/>
            </a:rPr>
            <a:t>de l'entreprise (</a:t>
          </a:r>
          <a:r>
            <a:rPr b="0" baseline="0" cap="none" i="0" spc="0" strike="noStrike" sz="1200" u="none">
              <a:solidFill>
                <a:srgbClr val="45413F"/>
              </a:solidFill>
              <a:uFillTx/>
              <a:latin typeface="Sitka Banner"/>
              <a:ea typeface="Sitka Banner"/>
              <a:cs typeface="Sitka Banner"/>
              <a:sym typeface="Sitka Banner"/>
            </a:rPr>
            <a:t>Ressources humaines</a:t>
          </a:r>
          <a:r>
            <a:rPr b="0" baseline="0" cap="none" i="0" spc="0" strike="noStrike" sz="1200" u="none">
              <a:solidFill>
                <a:srgbClr val="808080"/>
              </a:solidFill>
              <a:uFillTx/>
              <a:latin typeface="Sitka Banner"/>
              <a:ea typeface="Sitka Banner"/>
              <a:cs typeface="Sitka Banner"/>
              <a:sym typeface="Sitka Banner"/>
            </a:rPr>
            <a:t>, </a:t>
          </a:r>
          <a:r>
            <a:rPr b="0" baseline="0" cap="none" i="0" spc="0" strike="noStrike" sz="1200" u="none">
              <a:solidFill>
                <a:srgbClr val="45413F"/>
              </a:solidFill>
              <a:uFillTx/>
              <a:latin typeface="Sitka Banner"/>
              <a:ea typeface="Sitka Banner"/>
              <a:cs typeface="Sitka Banner"/>
              <a:sym typeface="Sitka Banner"/>
            </a:rPr>
            <a:t>Prestataires &amp; fournisseurs</a:t>
          </a:r>
          <a:r>
            <a:rPr b="0" baseline="0" cap="none" i="0" spc="0" strike="noStrike" sz="1200" u="none">
              <a:solidFill>
                <a:srgbClr val="1C3D79"/>
              </a:solidFill>
              <a:uFillTx/>
              <a:latin typeface="Sitka Banner"/>
              <a:ea typeface="Sitka Banner"/>
              <a:cs typeface="Sitka Banner"/>
              <a:sym typeface="Sitka Banner"/>
            </a:rPr>
            <a:t>, </a:t>
          </a:r>
          <a:r>
            <a:rPr b="0" baseline="0" cap="none" i="0" spc="0" strike="noStrike" sz="1200" u="none">
              <a:solidFill>
                <a:srgbClr val="45413F"/>
              </a:solidFill>
              <a:uFillTx/>
              <a:latin typeface="Sitka Banner"/>
              <a:ea typeface="Sitka Banner"/>
              <a:cs typeface="Sitka Banner"/>
              <a:sym typeface="Sitka Banner"/>
            </a:rPr>
            <a:t>Budget &amp; performance</a:t>
          </a:r>
          <a:r>
            <a:rPr b="0" baseline="0" cap="none" i="0" spc="0" strike="noStrike" sz="1200" u="none">
              <a:solidFill>
                <a:srgbClr val="1C3D79"/>
              </a:solidFill>
              <a:uFillTx/>
              <a:latin typeface="Sitka Banner"/>
              <a:ea typeface="Sitka Banner"/>
              <a:cs typeface="Sitka Banner"/>
              <a:sym typeface="Sitka Banner"/>
            </a:rPr>
            <a:t>, </a:t>
          </a:r>
          <a:r>
            <a:rPr b="0" baseline="0" cap="none" i="0" spc="0" strike="noStrike" sz="1200" u="none">
              <a:solidFill>
                <a:srgbClr val="45413F"/>
              </a:solidFill>
              <a:uFillTx/>
              <a:latin typeface="Sitka Banner"/>
              <a:ea typeface="Sitka Banner"/>
              <a:cs typeface="Sitka Banner"/>
              <a:sym typeface="Sitka Banner"/>
            </a:rPr>
            <a:t>Marketing &amp; communication</a:t>
          </a:r>
          <a:r>
            <a:rPr b="0" baseline="0" cap="none" i="0" spc="0" strike="noStrike" sz="1200" u="none">
              <a:solidFill>
                <a:srgbClr val="1C3D79"/>
              </a:solidFill>
              <a:uFillTx/>
              <a:latin typeface="Sitka Banner"/>
              <a:ea typeface="Sitka Banner"/>
              <a:cs typeface="Sitka Banner"/>
              <a:sym typeface="Sitka Banner"/>
            </a:rPr>
            <a:t>).</a:t>
          </a:r>
          <a:endParaRPr b="0" baseline="0" cap="none" i="0" spc="0" strike="noStrike" sz="1200" u="none">
            <a:solidFill>
              <a:srgbClr val="FFFFFF"/>
            </a:solidFill>
            <a:uFillTx/>
            <a:latin typeface="Sitka Banner"/>
            <a:ea typeface="Sitka Banner"/>
            <a:cs typeface="Sitka Banner"/>
            <a:sym typeface="Sitka Banner"/>
          </a:endParaRPr>
        </a:p>
        <a:p>
          <a:pPr marL="0" marR="0" indent="0" algn="l" defTabSz="914400" latinLnBrk="0">
            <a:lnSpc>
              <a:spcPct val="100000"/>
            </a:lnSpc>
            <a:spcBef>
              <a:spcPts val="0"/>
            </a:spcBef>
            <a:spcAft>
              <a:spcPts val="0"/>
            </a:spcAft>
            <a:buClrTx/>
            <a:buSzTx/>
            <a:buFontTx/>
            <a:buNone/>
            <a:tabLst/>
            <a:defRPr b="0" baseline="0" cap="none" i="0" spc="0" strike="noStrike" sz="1200" u="none">
              <a:solidFill>
                <a:srgbClr val="1C3D79"/>
              </a:solidFill>
              <a:uFillTx/>
              <a:latin typeface="Sitka Banner"/>
              <a:ea typeface="Sitka Banner"/>
              <a:cs typeface="Sitka Banner"/>
              <a:sym typeface="Sitka Banner"/>
            </a:defRPr>
          </a:pPr>
          <a:endParaRPr b="0" baseline="0" cap="none" i="0" spc="0" strike="noStrike" sz="1200" u="none">
            <a:solidFill>
              <a:srgbClr val="1C3D79"/>
            </a:solidFill>
            <a:uFillTx/>
            <a:latin typeface="Sitka Banner"/>
            <a:ea typeface="Sitka Banner"/>
            <a:cs typeface="Sitka Banner"/>
            <a:sym typeface="Sitka Banner"/>
          </a:endParaRPr>
        </a:p>
        <a:p>
          <a:pPr marL="0" marR="0" indent="0" algn="l" defTabSz="914400" latinLnBrk="0">
            <a:lnSpc>
              <a:spcPct val="100000"/>
            </a:lnSpc>
            <a:spcBef>
              <a:spcPts val="0"/>
            </a:spcBef>
            <a:spcAft>
              <a:spcPts val="0"/>
            </a:spcAft>
            <a:buClrTx/>
            <a:buSzTx/>
            <a:buFontTx/>
            <a:buNone/>
            <a:tabLst/>
            <a:defRPr b="0" baseline="0" cap="none" i="0" spc="0" strike="noStrike" sz="1200" u="none">
              <a:solidFill>
                <a:srgbClr val="1C3D79"/>
              </a:solidFill>
              <a:uFillTx/>
              <a:latin typeface="Sitka Banner"/>
              <a:ea typeface="Sitka Banner"/>
              <a:cs typeface="Sitka Banner"/>
              <a:sym typeface="Sitka Banner"/>
            </a:defRPr>
          </a:pPr>
          <a:r>
            <a:rPr b="0" baseline="0" cap="none" i="0" spc="0" strike="noStrike" sz="1200" u="none">
              <a:solidFill>
                <a:srgbClr val="1C3D79"/>
              </a:solidFill>
              <a:uFillTx/>
              <a:latin typeface="Sitka Banner"/>
              <a:ea typeface="Sitka Banner"/>
              <a:cs typeface="Sitka Banner"/>
              <a:sym typeface="Sitka Banner"/>
            </a:rPr>
            <a:t>Chaque vecteur est décliné à travers une série de "bonnes pratiques" thématiques.</a:t>
          </a:r>
          <a:endParaRPr b="0" baseline="0" cap="none" i="0" spc="0" strike="noStrike" sz="1200" u="none">
            <a:solidFill>
              <a:srgbClr val="FFFFFF"/>
            </a:solidFill>
            <a:uFillTx/>
            <a:latin typeface="Sitka Banner"/>
            <a:ea typeface="Sitka Banner"/>
            <a:cs typeface="Sitka Banner"/>
            <a:sym typeface="Sitka Banner"/>
          </a:endParaRPr>
        </a:p>
        <a:p>
          <a:pPr marL="0" marR="0" indent="0" algn="l" defTabSz="914400" latinLnBrk="0">
            <a:lnSpc>
              <a:spcPct val="100000"/>
            </a:lnSpc>
            <a:spcBef>
              <a:spcPts val="0"/>
            </a:spcBef>
            <a:spcAft>
              <a:spcPts val="0"/>
            </a:spcAft>
            <a:buClrTx/>
            <a:buSzTx/>
            <a:buFontTx/>
            <a:buNone/>
            <a:tabLst/>
            <a:defRPr b="0" baseline="0" cap="none" i="0" spc="0" strike="noStrike" sz="1200" u="none">
              <a:solidFill>
                <a:srgbClr val="1C3D79"/>
              </a:solidFill>
              <a:uFillTx/>
              <a:latin typeface="Sitka Banner"/>
              <a:ea typeface="Sitka Banner"/>
              <a:cs typeface="Sitka Banner"/>
              <a:sym typeface="Sitka Banner"/>
            </a:defRPr>
          </a:pPr>
          <a:endParaRPr b="0" baseline="0" cap="none" i="0" spc="0" strike="noStrike" sz="1200" u="none">
            <a:solidFill>
              <a:srgbClr val="1C3D79"/>
            </a:solidFill>
            <a:uFillTx/>
            <a:latin typeface="Sitka Banner"/>
            <a:ea typeface="Sitka Banner"/>
            <a:cs typeface="Sitka Banner"/>
            <a:sym typeface="Sitka Banner"/>
          </a:endParaRPr>
        </a:p>
        <a:p>
          <a:pPr marL="0" marR="0" indent="0" algn="l" defTabSz="914400" latinLnBrk="0">
            <a:lnSpc>
              <a:spcPct val="100000"/>
            </a:lnSpc>
            <a:spcBef>
              <a:spcPts val="0"/>
            </a:spcBef>
            <a:spcAft>
              <a:spcPts val="0"/>
            </a:spcAft>
            <a:buClrTx/>
            <a:buSzTx/>
            <a:buFontTx/>
            <a:buNone/>
            <a:tabLst/>
            <a:defRPr b="0" baseline="0" cap="none" i="0" spc="0" strike="noStrike" sz="1200" u="none">
              <a:solidFill>
                <a:srgbClr val="1C3D79"/>
              </a:solidFill>
              <a:uFillTx/>
              <a:latin typeface="Sitka Banner"/>
              <a:ea typeface="Sitka Banner"/>
              <a:cs typeface="Sitka Banner"/>
              <a:sym typeface="Sitka Banner"/>
            </a:defRPr>
          </a:pPr>
          <a:r>
            <a:rPr b="0" baseline="0" cap="none" i="0" spc="0" strike="noStrike" sz="1200" u="none">
              <a:solidFill>
                <a:srgbClr val="1C3D79"/>
              </a:solidFill>
              <a:uFillTx/>
              <a:latin typeface="Sitka Banner"/>
              <a:ea typeface="Sitka Banner"/>
              <a:cs typeface="Sitka Banner"/>
              <a:sym typeface="Sitka Banner"/>
            </a:rPr>
            <a:t>Chaque bonne pratique comprend une liste de critères auxquels sont attribués des niveaux de maturité. </a:t>
          </a:r>
          <a:endParaRPr b="0" baseline="0" cap="none" i="0" spc="0" strike="noStrike" sz="1200" u="none">
            <a:solidFill>
              <a:srgbClr val="FFFFFF"/>
            </a:solidFill>
            <a:uFillTx/>
            <a:latin typeface="Sitka Banner"/>
            <a:ea typeface="Sitka Banner"/>
            <a:cs typeface="Sitka Banner"/>
            <a:sym typeface="Sitka Banner"/>
          </a:endParaRPr>
        </a:p>
        <a:p>
          <a:pPr marL="0" marR="0" indent="0" algn="l" defTabSz="914400" latinLnBrk="0">
            <a:lnSpc>
              <a:spcPct val="100000"/>
            </a:lnSpc>
            <a:spcBef>
              <a:spcPts val="0"/>
            </a:spcBef>
            <a:spcAft>
              <a:spcPts val="0"/>
            </a:spcAft>
            <a:buClrTx/>
            <a:buSzTx/>
            <a:buFontTx/>
            <a:buNone/>
            <a:tabLst/>
            <a:defRPr b="0" baseline="0" cap="none" i="0" spc="0" strike="noStrike" sz="1200" u="none">
              <a:solidFill>
                <a:srgbClr val="1C3D79"/>
              </a:solidFill>
              <a:uFillTx/>
              <a:latin typeface="Sitka Banner"/>
              <a:ea typeface="Sitka Banner"/>
              <a:cs typeface="Sitka Banner"/>
              <a:sym typeface="Sitka Banner"/>
            </a:defRPr>
          </a:pPr>
          <a:endParaRPr b="0" baseline="0" cap="none" i="0" spc="0" strike="noStrike" sz="1200" u="none">
            <a:solidFill>
              <a:srgbClr val="1C3D79"/>
            </a:solidFill>
            <a:uFillTx/>
            <a:latin typeface="Sitka Banner"/>
            <a:ea typeface="Sitka Banner"/>
            <a:cs typeface="Sitka Banner"/>
            <a:sym typeface="Sitka Banner"/>
          </a:endParaRPr>
        </a:p>
        <a:p>
          <a:pPr marL="0" marR="0" indent="0" algn="l" defTabSz="914400" latinLnBrk="0">
            <a:lnSpc>
              <a:spcPct val="100000"/>
            </a:lnSpc>
            <a:spcBef>
              <a:spcPts val="0"/>
            </a:spcBef>
            <a:spcAft>
              <a:spcPts val="0"/>
            </a:spcAft>
            <a:buClrTx/>
            <a:buSzTx/>
            <a:buFontTx/>
            <a:buNone/>
            <a:tabLst/>
            <a:defRPr b="0" baseline="0" cap="none" i="0" spc="0" strike="noStrike" sz="1200" u="none">
              <a:solidFill>
                <a:srgbClr val="1C3D79"/>
              </a:solidFill>
              <a:uFillTx/>
              <a:latin typeface="Sitka Banner"/>
              <a:ea typeface="Sitka Banner"/>
              <a:cs typeface="Sitka Banner"/>
              <a:sym typeface="Sitka Banner"/>
            </a:defRPr>
          </a:pPr>
          <a:r>
            <a:rPr b="0" baseline="0" cap="none" i="0" spc="0" strike="noStrike" sz="1200" u="none">
              <a:solidFill>
                <a:srgbClr val="1C3D79"/>
              </a:solidFill>
              <a:uFillTx/>
              <a:latin typeface="Sitka Banner"/>
              <a:ea typeface="Sitka Banner"/>
              <a:cs typeface="Sitka Banner"/>
              <a:sym typeface="Sitka Banner"/>
            </a:rPr>
            <a:t>L'évaluation se fait à travers le constat de la réalisation partielle, totale, ou nulle de chacun de ces critères et permet de calculer les taux de complétude et niveau de maturité par bonne pratique ou par vecteur.</a:t>
          </a:r>
        </a:p>
      </xdr:txBody>
    </xdr:sp>
    <xdr:clientData/>
  </xdr:twoCellAnchor>
  <xdr:twoCellAnchor>
    <xdr:from>
      <xdr:col>0</xdr:col>
      <xdr:colOff>380419</xdr:colOff>
      <xdr:row>23</xdr:row>
      <xdr:rowOff>87818</xdr:rowOff>
    </xdr:from>
    <xdr:to>
      <xdr:col>10</xdr:col>
      <xdr:colOff>368923</xdr:colOff>
      <xdr:row>76</xdr:row>
      <xdr:rowOff>136966</xdr:rowOff>
    </xdr:to>
    <xdr:sp>
      <xdr:nvSpPr>
        <xdr:cNvPr id="3" name="Rectangle 2"/>
        <xdr:cNvSpPr/>
      </xdr:nvSpPr>
      <xdr:spPr>
        <a:xfrm>
          <a:off x="380419" y="5246558"/>
          <a:ext cx="8751505" cy="9840849"/>
        </a:xfrm>
        <a:prstGeom prst="rect">
          <a:avLst/>
        </a:prstGeom>
        <a:solidFill>
          <a:srgbClr val="FFFFFF"/>
        </a:solidFill>
        <a:ln w="12700" cap="flat">
          <a:solidFill>
            <a:srgbClr val="1C3D79"/>
          </a:solidFill>
          <a:prstDash val="solid"/>
          <a:miter lim="800000"/>
        </a:ln>
        <a:effectLst/>
        <a:extLst>
          <a:ext uri="{C572A759-6A51-4108-AA02-DFA0A04FC94B}">
            <ma14:wrappingTextBoxFlag xmlns:ma14="http://schemas.microsoft.com/office/mac/drawingml/2011/main" val="1"/>
          </a:ext>
        </a:extLst>
      </xdr:spPr>
      <xdr:txBody>
        <a:bodyPr wrap="square" lIns="45719" tIns="45719" rIns="45719" bIns="45719" numCol="1" anchor="t">
          <a:noAutofit/>
        </a:bodyPr>
        <a:lstStyle/>
        <a:p>
          <a:pPr marL="0" marR="0" indent="0" algn="ctr" defTabSz="914400" latinLnBrk="0">
            <a:lnSpc>
              <a:spcPct val="100000"/>
            </a:lnSpc>
            <a:spcBef>
              <a:spcPts val="0"/>
            </a:spcBef>
            <a:spcAft>
              <a:spcPts val="0"/>
            </a:spcAft>
            <a:buClrTx/>
            <a:buSzTx/>
            <a:buFontTx/>
            <a:buNone/>
            <a:tabLst/>
            <a:defRPr b="1" baseline="0" cap="none" i="0" spc="0" strike="noStrike" sz="1200" u="sng">
              <a:solidFill>
                <a:srgbClr val="1C3D79"/>
              </a:solidFill>
              <a:uFillTx/>
              <a:latin typeface="Sitka Banner"/>
              <a:ea typeface="Sitka Banner"/>
              <a:cs typeface="Sitka Banner"/>
              <a:sym typeface="Sitka Banner"/>
            </a:defRPr>
          </a:pPr>
          <a:r>
            <a:rPr b="1" baseline="0" cap="none" i="0" spc="0" strike="noStrike" sz="1200" u="sng">
              <a:solidFill>
                <a:srgbClr val="1C3D79"/>
              </a:solidFill>
              <a:uFillTx/>
              <a:latin typeface="Sitka Banner"/>
              <a:ea typeface="Sitka Banner"/>
              <a:cs typeface="Sitka Banner"/>
              <a:sym typeface="Sitka Banner"/>
            </a:rPr>
            <a:t>Présentation détaillée des différents onglets</a:t>
          </a:r>
          <a:endParaRPr b="1" baseline="0" cap="none" i="0" spc="0" strike="noStrike" sz="1200" u="sng">
            <a:solidFill>
              <a:srgbClr val="1C3D79"/>
            </a:solidFill>
            <a:uFillTx/>
            <a:latin typeface="Sitka Banner"/>
            <a:ea typeface="Sitka Banner"/>
            <a:cs typeface="Sitka Banner"/>
            <a:sym typeface="Sitka Banner"/>
          </a:endParaRPr>
        </a:p>
        <a:p>
          <a:pPr marL="0" marR="0" indent="0" algn="l" defTabSz="914400" latinLnBrk="0">
            <a:lnSpc>
              <a:spcPct val="100000"/>
            </a:lnSpc>
            <a:spcBef>
              <a:spcPts val="0"/>
            </a:spcBef>
            <a:spcAft>
              <a:spcPts val="0"/>
            </a:spcAft>
            <a:buClrTx/>
            <a:buSzTx/>
            <a:buFontTx/>
            <a:buNone/>
            <a:tabLst/>
            <a:defRPr b="0" baseline="0" cap="none" i="0" spc="0" strike="noStrike" sz="1200" u="none">
              <a:solidFill>
                <a:srgbClr val="1C3D79"/>
              </a:solidFill>
              <a:uFillTx/>
              <a:latin typeface="Sitka Banner"/>
              <a:ea typeface="Sitka Banner"/>
              <a:cs typeface="Sitka Banner"/>
              <a:sym typeface="Sitka Banner"/>
            </a:defRPr>
          </a:pPr>
          <a:endParaRPr b="0" baseline="0" cap="none" i="0" spc="0" strike="noStrike" sz="1200" u="none">
            <a:solidFill>
              <a:srgbClr val="1C3D79"/>
            </a:solidFill>
            <a:uFillTx/>
            <a:latin typeface="Sitka Banner"/>
            <a:ea typeface="Sitka Banner"/>
            <a:cs typeface="Sitka Banner"/>
            <a:sym typeface="Sitka Banner"/>
          </a:endParaRPr>
        </a:p>
        <a:p>
          <a:pPr marL="0" marR="0" indent="0" algn="l" defTabSz="914400" latinLnBrk="0">
            <a:lnSpc>
              <a:spcPct val="100000"/>
            </a:lnSpc>
            <a:spcBef>
              <a:spcPts val="0"/>
            </a:spcBef>
            <a:spcAft>
              <a:spcPts val="0"/>
            </a:spcAft>
            <a:buClrTx/>
            <a:buSzTx/>
            <a:buFontTx/>
            <a:buNone/>
            <a:tabLst/>
            <a:defRPr b="0" baseline="0" cap="none" i="0" spc="0" strike="noStrike" sz="1200" u="none">
              <a:solidFill>
                <a:srgbClr val="1C3D79"/>
              </a:solidFill>
              <a:uFillTx/>
              <a:latin typeface="Sitka Banner"/>
              <a:ea typeface="Sitka Banner"/>
              <a:cs typeface="Sitka Banner"/>
              <a:sym typeface="Sitka Banner"/>
            </a:defRPr>
          </a:pPr>
          <a:endParaRPr b="0" baseline="0" cap="none" i="0" spc="0" strike="noStrike" sz="1200" u="none">
            <a:solidFill>
              <a:srgbClr val="1C3D79"/>
            </a:solidFill>
            <a:uFillTx/>
            <a:latin typeface="Sitka Banner"/>
            <a:ea typeface="Sitka Banner"/>
            <a:cs typeface="Sitka Banner"/>
            <a:sym typeface="Sitka Banner"/>
          </a:endParaRPr>
        </a:p>
        <a:p>
          <a:pPr marL="0" marR="0" indent="0" algn="l" defTabSz="914400" latinLnBrk="0">
            <a:lnSpc>
              <a:spcPct val="100000"/>
            </a:lnSpc>
            <a:spcBef>
              <a:spcPts val="0"/>
            </a:spcBef>
            <a:spcAft>
              <a:spcPts val="0"/>
            </a:spcAft>
            <a:buClrTx/>
            <a:buSzTx/>
            <a:buFontTx/>
            <a:buNone/>
            <a:tabLst/>
            <a:defRPr b="0" baseline="0" cap="none" i="0" spc="0" strike="noStrike" sz="1200" u="none">
              <a:solidFill>
                <a:schemeClr val="accent6"/>
              </a:solidFill>
              <a:uFillTx/>
              <a:latin typeface="Sitka Banner"/>
              <a:ea typeface="Sitka Banner"/>
              <a:cs typeface="Sitka Banner"/>
              <a:sym typeface="Sitka Banner"/>
            </a:defRPr>
          </a:pPr>
          <a:r>
            <a:rPr b="0" baseline="0" cap="none" i="0" spc="0" strike="noStrike" sz="1200" u="none">
              <a:solidFill>
                <a:schemeClr val="accent6"/>
              </a:solidFill>
              <a:uFillTx/>
              <a:latin typeface="Sitka Banner"/>
              <a:ea typeface="Sitka Banner"/>
              <a:cs typeface="Sitka Banner"/>
              <a:sym typeface="Sitka Banner"/>
            </a:rPr>
            <a:t>	</a:t>
          </a:r>
          <a:r>
            <a:rPr b="0" baseline="0" cap="none" i="0" spc="0" strike="noStrike" sz="1200" u="sng">
              <a:solidFill>
                <a:srgbClr val="1C3D79"/>
              </a:solidFill>
              <a:uFillTx/>
              <a:latin typeface="Sitka Banner"/>
              <a:ea typeface="Sitka Banner"/>
              <a:cs typeface="Sitka Banner"/>
              <a:sym typeface="Sitka Banner"/>
            </a:rPr>
            <a:t>Onglet </a:t>
          </a:r>
          <a:r>
            <a:rPr b="1" baseline="0" cap="none" i="0" spc="0" strike="noStrike" sz="1200" u="sng">
              <a:solidFill>
                <a:srgbClr val="C00000"/>
              </a:solidFill>
              <a:uFillTx/>
              <a:latin typeface="Sitka Banner"/>
              <a:ea typeface="Sitka Banner"/>
              <a:cs typeface="Sitka Banner"/>
              <a:sym typeface="Sitka Banner"/>
            </a:rPr>
            <a:t>Synthèse détaillée</a:t>
          </a:r>
          <a:endParaRPr b="1" baseline="0" cap="none" i="0" spc="0" strike="noStrike" sz="1200" u="sng">
            <a:solidFill>
              <a:srgbClr val="1C3D79"/>
            </a:solidFill>
            <a:uFillTx/>
            <a:latin typeface="Sitka Banner"/>
            <a:ea typeface="Sitka Banner"/>
            <a:cs typeface="Sitka Banner"/>
            <a:sym typeface="Sitka Banner"/>
          </a:endParaRPr>
        </a:p>
        <a:p>
          <a:pPr marL="0" marR="0" indent="0" algn="l" defTabSz="914400" latinLnBrk="0">
            <a:lnSpc>
              <a:spcPct val="100000"/>
            </a:lnSpc>
            <a:spcBef>
              <a:spcPts val="0"/>
            </a:spcBef>
            <a:spcAft>
              <a:spcPts val="0"/>
            </a:spcAft>
            <a:buClrTx/>
            <a:buSzTx/>
            <a:buFontTx/>
            <a:buNone/>
            <a:tabLst/>
            <a:defRPr b="0" baseline="0" cap="none" i="0" spc="0" strike="noStrike" sz="1200" u="none">
              <a:solidFill>
                <a:srgbClr val="1C3D79"/>
              </a:solidFill>
              <a:uFillTx/>
              <a:latin typeface="Sitka Banner"/>
              <a:ea typeface="Sitka Banner"/>
              <a:cs typeface="Sitka Banner"/>
              <a:sym typeface="Sitka Banner"/>
            </a:defRPr>
          </a:pPr>
          <a:endParaRPr b="0" baseline="0" cap="none" i="0" spc="0" strike="noStrike" sz="1200" u="none">
            <a:solidFill>
              <a:srgbClr val="1C3D79"/>
            </a:solidFill>
            <a:uFillTx/>
            <a:latin typeface="Sitka Banner"/>
            <a:ea typeface="Sitka Banner"/>
            <a:cs typeface="Sitka Banner"/>
            <a:sym typeface="Sitka Banner"/>
          </a:endParaRPr>
        </a:p>
        <a:p>
          <a:pPr marL="0" marR="0" indent="0" algn="l" defTabSz="914400" latinLnBrk="0">
            <a:lnSpc>
              <a:spcPct val="100000"/>
            </a:lnSpc>
            <a:spcBef>
              <a:spcPts val="0"/>
            </a:spcBef>
            <a:spcAft>
              <a:spcPts val="0"/>
            </a:spcAft>
            <a:buClrTx/>
            <a:buSzTx/>
            <a:buFontTx/>
            <a:buNone/>
            <a:tabLst/>
            <a:defRPr b="0" baseline="0" cap="none" i="0" spc="0" strike="noStrike" sz="1200" u="none">
              <a:solidFill>
                <a:srgbClr val="1C3D79"/>
              </a:solidFill>
              <a:uFillTx/>
              <a:latin typeface="Sitka Banner"/>
              <a:ea typeface="Sitka Banner"/>
              <a:cs typeface="Sitka Banner"/>
              <a:sym typeface="Sitka Banner"/>
            </a:defRPr>
          </a:pPr>
          <a:r>
            <a:rPr b="0" baseline="0" cap="none" i="0" spc="0" strike="noStrike" sz="1200" u="none">
              <a:solidFill>
                <a:srgbClr val="1C3D79"/>
              </a:solidFill>
              <a:uFillTx/>
              <a:latin typeface="Sitka Banner"/>
              <a:ea typeface="Sitka Banner"/>
              <a:cs typeface="Sitka Banner"/>
              <a:sym typeface="Sitka Banner"/>
            </a:rPr>
            <a:t>Cet onglet recense :</a:t>
          </a:r>
          <a:endParaRPr b="0" baseline="0" cap="none" i="0" spc="0" strike="noStrike" sz="1200" u="none">
            <a:solidFill>
              <a:srgbClr val="FFFFFF"/>
            </a:solidFill>
            <a:uFillTx/>
            <a:latin typeface="Sitka Banner"/>
            <a:ea typeface="Sitka Banner"/>
            <a:cs typeface="Sitka Banner"/>
            <a:sym typeface="Sitka Banner"/>
          </a:endParaRPr>
        </a:p>
        <a:p>
          <a:pPr marL="0" marR="0" indent="0" algn="l" defTabSz="914400" latinLnBrk="0">
            <a:lnSpc>
              <a:spcPct val="100000"/>
            </a:lnSpc>
            <a:spcBef>
              <a:spcPts val="0"/>
            </a:spcBef>
            <a:spcAft>
              <a:spcPts val="0"/>
            </a:spcAft>
            <a:buClrTx/>
            <a:buSzTx/>
            <a:buFontTx/>
            <a:buNone/>
            <a:tabLst/>
            <a:defRPr b="0" baseline="0" cap="none" i="0" spc="0" strike="noStrike" sz="1200" u="none">
              <a:solidFill>
                <a:srgbClr val="1C3D79"/>
              </a:solidFill>
              <a:uFillTx/>
              <a:latin typeface="Sitka Banner"/>
              <a:ea typeface="Sitka Banner"/>
              <a:cs typeface="Sitka Banner"/>
              <a:sym typeface="Sitka Banner"/>
            </a:defRPr>
          </a:pPr>
          <a:r>
            <a:rPr b="0" baseline="0" cap="none" i="0" spc="0" strike="noStrike" sz="1200" u="none">
              <a:solidFill>
                <a:srgbClr val="1C3D79"/>
              </a:solidFill>
              <a:uFillTx/>
              <a:latin typeface="Sitka Banner"/>
              <a:ea typeface="Sitka Banner"/>
              <a:cs typeface="Sitka Banner"/>
              <a:sym typeface="Sitka Banner"/>
            </a:rPr>
            <a:t>	- tous les résultats d'évaluation des bonnes pratiques par critère, </a:t>
          </a:r>
          <a:endParaRPr b="0" baseline="0" cap="none" i="0" spc="0" strike="noStrike" sz="1200" u="none">
            <a:solidFill>
              <a:srgbClr val="FFFFFF"/>
            </a:solidFill>
            <a:uFillTx/>
            <a:latin typeface="Sitka Banner"/>
            <a:ea typeface="Sitka Banner"/>
            <a:cs typeface="Sitka Banner"/>
            <a:sym typeface="Sitka Banner"/>
          </a:endParaRPr>
        </a:p>
        <a:p>
          <a:pPr marL="0" marR="0" indent="0" algn="l" defTabSz="914400" latinLnBrk="0">
            <a:lnSpc>
              <a:spcPct val="100000"/>
            </a:lnSpc>
            <a:spcBef>
              <a:spcPts val="0"/>
            </a:spcBef>
            <a:spcAft>
              <a:spcPts val="0"/>
            </a:spcAft>
            <a:buClrTx/>
            <a:buSzTx/>
            <a:buFontTx/>
            <a:buNone/>
            <a:tabLst/>
            <a:defRPr b="0" baseline="0" cap="none" i="0" spc="0" strike="noStrike" sz="1200" u="none">
              <a:solidFill>
                <a:srgbClr val="1C3D79"/>
              </a:solidFill>
              <a:uFillTx/>
              <a:latin typeface="Sitka Banner"/>
              <a:ea typeface="Sitka Banner"/>
              <a:cs typeface="Sitka Banner"/>
              <a:sym typeface="Sitka Banner"/>
            </a:defRPr>
          </a:pPr>
          <a:r>
            <a:rPr b="0" baseline="0" cap="none" i="0" spc="0" strike="noStrike" sz="1200" u="none">
              <a:solidFill>
                <a:srgbClr val="1C3D79"/>
              </a:solidFill>
              <a:uFillTx/>
              <a:latin typeface="Sitka Banner"/>
              <a:ea typeface="Sitka Banner"/>
              <a:cs typeface="Sitka Banner"/>
              <a:sym typeface="Sitka Banner"/>
            </a:rPr>
            <a:t>	- le niveau de maturité de chaque bonne pratique et de chaque vecteur,</a:t>
          </a:r>
          <a:endParaRPr b="0" baseline="0" cap="none" i="0" spc="0" strike="noStrike" sz="1200" u="none">
            <a:solidFill>
              <a:srgbClr val="FFFFFF"/>
            </a:solidFill>
            <a:uFillTx/>
            <a:latin typeface="Sitka Banner"/>
            <a:ea typeface="Sitka Banner"/>
            <a:cs typeface="Sitka Banner"/>
            <a:sym typeface="Sitka Banner"/>
          </a:endParaRPr>
        </a:p>
        <a:p>
          <a:pPr marL="0" marR="0" indent="0" algn="l" defTabSz="914400" latinLnBrk="0">
            <a:lnSpc>
              <a:spcPct val="100000"/>
            </a:lnSpc>
            <a:spcBef>
              <a:spcPts val="0"/>
            </a:spcBef>
            <a:spcAft>
              <a:spcPts val="0"/>
            </a:spcAft>
            <a:buClrTx/>
            <a:buSzTx/>
            <a:buFontTx/>
            <a:buNone/>
            <a:tabLst/>
            <a:defRPr b="0" baseline="0" cap="none" i="0" spc="0" strike="noStrike" sz="1200" u="none">
              <a:solidFill>
                <a:srgbClr val="1C3D79"/>
              </a:solidFill>
              <a:uFillTx/>
              <a:latin typeface="Sitka Banner"/>
              <a:ea typeface="Sitka Banner"/>
              <a:cs typeface="Sitka Banner"/>
              <a:sym typeface="Sitka Banner"/>
            </a:defRPr>
          </a:pPr>
          <a:r>
            <a:rPr b="0" baseline="0" cap="none" i="0" spc="0" strike="noStrike" sz="1200" u="none">
              <a:solidFill>
                <a:srgbClr val="1C3D79"/>
              </a:solidFill>
              <a:uFillTx/>
              <a:latin typeface="Sitka Banner"/>
              <a:ea typeface="Sitka Banner"/>
              <a:cs typeface="Sitka Banner"/>
              <a:sym typeface="Sitka Banner"/>
            </a:rPr>
            <a:t>	- le pourcentage de complétude de chaque bonne pratique et de chaque vecteur qui ont été remplis dans </a:t>
          </a:r>
          <a:r>
            <a:rPr b="0" baseline="0" cap="none" i="0" spc="0" strike="noStrike" sz="1200" u="none">
              <a:solidFill>
                <a:srgbClr val="376C99"/>
              </a:solidFill>
              <a:uFillTx/>
              <a:latin typeface="Sitka Banner"/>
              <a:ea typeface="Sitka Banner"/>
              <a:cs typeface="Sitka Banner"/>
              <a:sym typeface="Sitka Banner"/>
            </a:rPr>
            <a:t>les </a:t>
          </a:r>
          <a:r>
            <a:rPr b="1" baseline="0" cap="none" i="0" spc="0" strike="noStrike" sz="1200" u="none">
              <a:solidFill>
                <a:srgbClr val="0079A4"/>
              </a:solidFill>
              <a:uFillTx/>
              <a:latin typeface="Sitka Banner"/>
              <a:ea typeface="Sitka Banner"/>
              <a:cs typeface="Sitka Banner"/>
              <a:sym typeface="Sitka Banner"/>
            </a:rPr>
            <a:t>VQuest</a:t>
          </a:r>
          <a:r>
            <a:rPr b="1" baseline="0" cap="none" i="0" spc="0" strike="noStrike" sz="1200" u="none">
              <a:solidFill>
                <a:srgbClr val="0097CC"/>
              </a:solidFill>
              <a:uFillTx/>
              <a:latin typeface="Sitka Banner"/>
              <a:ea typeface="Sitka Banner"/>
              <a:cs typeface="Sitka Banner"/>
              <a:sym typeface="Sitka Banner"/>
            </a:rPr>
            <a:t> 	</a:t>
          </a:r>
          <a:r>
            <a:rPr b="0" baseline="0" cap="none" i="0" spc="0" strike="noStrike" sz="1200" u="none">
              <a:solidFill>
                <a:srgbClr val="1C3D79"/>
              </a:solidFill>
              <a:uFillTx/>
              <a:latin typeface="Sitka Banner"/>
              <a:ea typeface="Sitka Banner"/>
              <a:cs typeface="Sitka Banner"/>
              <a:sym typeface="Sitka Banner"/>
            </a:rPr>
            <a:t>et toutes les commentaires des encadrés "</a:t>
          </a:r>
          <a:r>
            <a:rPr b="1" baseline="0" cap="none" i="0" spc="0" strike="noStrike" sz="1200" u="none">
              <a:solidFill>
                <a:srgbClr val="0097CC"/>
              </a:solidFill>
              <a:uFillTx/>
              <a:latin typeface="Sitka Banner"/>
              <a:ea typeface="Sitka Banner"/>
              <a:cs typeface="Sitka Banner"/>
              <a:sym typeface="Sitka Banner"/>
            </a:rPr>
            <a:t>Synthèse d'évaluation</a:t>
          </a:r>
          <a:r>
            <a:rPr b="0" baseline="0" cap="none" i="0" spc="0" strike="noStrike" sz="1200" u="none">
              <a:solidFill>
                <a:srgbClr val="1C3D79"/>
              </a:solidFill>
              <a:uFillTx/>
              <a:latin typeface="Sitka Banner"/>
              <a:ea typeface="Sitka Banner"/>
              <a:cs typeface="Sitka Banner"/>
              <a:sym typeface="Sitka Banner"/>
            </a:rPr>
            <a:t>".</a:t>
          </a:r>
          <a:endParaRPr b="0" baseline="0" cap="none" i="0" spc="0" strike="noStrike" sz="1200" u="none">
            <a:solidFill>
              <a:srgbClr val="FFFFFF"/>
            </a:solidFill>
            <a:uFillTx/>
            <a:latin typeface="Sitka Banner"/>
            <a:ea typeface="Sitka Banner"/>
            <a:cs typeface="Sitka Banner"/>
            <a:sym typeface="Sitka Banner"/>
          </a:endParaRPr>
        </a:p>
        <a:p>
          <a:pPr marL="0" marR="0" indent="0" algn="l" defTabSz="914400" latinLnBrk="0">
            <a:lnSpc>
              <a:spcPct val="100000"/>
            </a:lnSpc>
            <a:spcBef>
              <a:spcPts val="0"/>
            </a:spcBef>
            <a:spcAft>
              <a:spcPts val="0"/>
            </a:spcAft>
            <a:buClrTx/>
            <a:buSzTx/>
            <a:buFontTx/>
            <a:buNone/>
            <a:tabLst/>
            <a:defRPr b="0" baseline="0" cap="none" i="0" spc="0" strike="noStrike" sz="1200" u="none">
              <a:solidFill>
                <a:srgbClr val="1C3D79"/>
              </a:solidFill>
              <a:uFillTx/>
              <a:latin typeface="Sitka Banner"/>
              <a:ea typeface="Sitka Banner"/>
              <a:cs typeface="Sitka Banner"/>
              <a:sym typeface="Sitka Banner"/>
            </a:defRPr>
          </a:pPr>
          <a:endParaRPr b="0" baseline="0" cap="none" i="0" spc="0" strike="noStrike" sz="1200" u="none">
            <a:solidFill>
              <a:srgbClr val="1C3D79"/>
            </a:solidFill>
            <a:uFillTx/>
            <a:latin typeface="Sitka Banner"/>
            <a:ea typeface="Sitka Banner"/>
            <a:cs typeface="Sitka Banner"/>
            <a:sym typeface="Sitka Banner"/>
          </a:endParaRPr>
        </a:p>
        <a:p>
          <a:pPr marL="0" marR="0" indent="0" algn="l" defTabSz="914400" latinLnBrk="0">
            <a:lnSpc>
              <a:spcPct val="100000"/>
            </a:lnSpc>
            <a:spcBef>
              <a:spcPts val="0"/>
            </a:spcBef>
            <a:spcAft>
              <a:spcPts val="0"/>
            </a:spcAft>
            <a:buClrTx/>
            <a:buSzTx/>
            <a:buFontTx/>
            <a:buNone/>
            <a:tabLst/>
            <a:defRPr b="0" baseline="0" cap="none" i="0" spc="0" strike="noStrike" sz="1200" u="none">
              <a:solidFill>
                <a:srgbClr val="1C3D79"/>
              </a:solidFill>
              <a:uFillTx/>
              <a:latin typeface="Sitka Banner"/>
              <a:ea typeface="Sitka Banner"/>
              <a:cs typeface="Sitka Banner"/>
              <a:sym typeface="Sitka Banner"/>
            </a:defRPr>
          </a:pPr>
          <a:r>
            <a:rPr b="0" baseline="0" cap="none" i="0" spc="0" strike="noStrike" sz="1200" u="none">
              <a:solidFill>
                <a:srgbClr val="1C3D79"/>
              </a:solidFill>
              <a:uFillTx/>
              <a:latin typeface="Sitka Banner"/>
              <a:ea typeface="Sitka Banner"/>
              <a:cs typeface="Sitka Banner"/>
              <a:sym typeface="Sitka Banner"/>
            </a:rPr>
            <a:t>	</a:t>
          </a:r>
          <a:r>
            <a:rPr b="0" baseline="0" cap="none" i="0" spc="0" strike="noStrike" sz="1200" u="sng">
              <a:solidFill>
                <a:srgbClr val="1C3D79"/>
              </a:solidFill>
              <a:uFillTx/>
              <a:latin typeface="Sitka Banner"/>
              <a:ea typeface="Sitka Banner"/>
              <a:cs typeface="Sitka Banner"/>
              <a:sym typeface="Sitka Banner"/>
            </a:rPr>
            <a:t>Onglet </a:t>
          </a:r>
          <a:r>
            <a:rPr b="1" baseline="0" cap="none" i="0" spc="0" strike="noStrike" sz="1200" u="sng">
              <a:solidFill>
                <a:srgbClr val="C00000"/>
              </a:solidFill>
              <a:uFillTx/>
              <a:latin typeface="Sitka Banner"/>
              <a:ea typeface="Sitka Banner"/>
              <a:cs typeface="Sitka Banner"/>
              <a:sym typeface="Sitka Banner"/>
            </a:rPr>
            <a:t>Synthèse globale</a:t>
          </a:r>
          <a:endParaRPr b="0" baseline="0" cap="none" i="0" spc="0" strike="noStrike" sz="1200" u="none">
            <a:solidFill>
              <a:srgbClr val="FFFFFF"/>
            </a:solidFill>
            <a:uFillTx/>
            <a:latin typeface="Sitka Banner"/>
            <a:ea typeface="Sitka Banner"/>
            <a:cs typeface="Sitka Banner"/>
            <a:sym typeface="Sitka Banner"/>
          </a:endParaRPr>
        </a:p>
        <a:p>
          <a:pPr marL="0" marR="0" indent="0" algn="l" defTabSz="914400" latinLnBrk="0">
            <a:lnSpc>
              <a:spcPct val="100000"/>
            </a:lnSpc>
            <a:spcBef>
              <a:spcPts val="0"/>
            </a:spcBef>
            <a:spcAft>
              <a:spcPts val="0"/>
            </a:spcAft>
            <a:buClrTx/>
            <a:buSzTx/>
            <a:buFontTx/>
            <a:buNone/>
            <a:tabLst/>
            <a:defRPr b="0" baseline="0" cap="none" i="0" spc="0" strike="noStrike" sz="1200" u="none">
              <a:solidFill>
                <a:srgbClr val="1C3D79"/>
              </a:solidFill>
              <a:uFillTx/>
              <a:latin typeface="Sitka Banner"/>
              <a:ea typeface="Sitka Banner"/>
              <a:cs typeface="Sitka Banner"/>
              <a:sym typeface="Sitka Banner"/>
            </a:defRPr>
          </a:pPr>
          <a:endParaRPr b="0" baseline="0" cap="none" i="0" spc="0" strike="noStrike" sz="1200" u="none">
            <a:solidFill>
              <a:srgbClr val="1C3D79"/>
            </a:solidFill>
            <a:uFillTx/>
            <a:latin typeface="Sitka Banner"/>
            <a:ea typeface="Sitka Banner"/>
            <a:cs typeface="Sitka Banner"/>
            <a:sym typeface="Sitka Banner"/>
          </a:endParaRPr>
        </a:p>
        <a:p>
          <a:pPr marL="0" marR="0" indent="0" algn="l" defTabSz="914400" latinLnBrk="0">
            <a:lnSpc>
              <a:spcPct val="100000"/>
            </a:lnSpc>
            <a:spcBef>
              <a:spcPts val="0"/>
            </a:spcBef>
            <a:spcAft>
              <a:spcPts val="0"/>
            </a:spcAft>
            <a:buClrTx/>
            <a:buSzTx/>
            <a:buFontTx/>
            <a:buNone/>
            <a:tabLst/>
            <a:defRPr b="0" baseline="0" cap="none" i="0" spc="0" strike="noStrike" sz="1200" u="none">
              <a:solidFill>
                <a:srgbClr val="1C3D79"/>
              </a:solidFill>
              <a:uFillTx/>
              <a:latin typeface="Sitka Banner"/>
              <a:ea typeface="Sitka Banner"/>
              <a:cs typeface="Sitka Banner"/>
              <a:sym typeface="Sitka Banner"/>
            </a:defRPr>
          </a:pPr>
          <a:r>
            <a:rPr b="0" baseline="0" cap="none" i="0" spc="0" strike="noStrike" sz="1200" u="none">
              <a:solidFill>
                <a:srgbClr val="1C3D79"/>
              </a:solidFill>
              <a:uFillTx/>
              <a:latin typeface="Sitka Banner"/>
              <a:ea typeface="Sitka Banner"/>
              <a:cs typeface="Sitka Banner"/>
              <a:sym typeface="Sitka Banner"/>
            </a:rPr>
            <a:t>Cette onglet affiche :</a:t>
          </a:r>
          <a:endParaRPr b="0" baseline="0" cap="none" i="0" spc="0" strike="noStrike" sz="1200" u="none">
            <a:solidFill>
              <a:srgbClr val="FFFFFF"/>
            </a:solidFill>
            <a:uFillTx/>
            <a:latin typeface="Sitka Banner"/>
            <a:ea typeface="Sitka Banner"/>
            <a:cs typeface="Sitka Banner"/>
            <a:sym typeface="Sitka Banner"/>
          </a:endParaRPr>
        </a:p>
        <a:p>
          <a:pPr marL="0" marR="0" indent="0" algn="l" defTabSz="914400" latinLnBrk="0">
            <a:lnSpc>
              <a:spcPct val="100000"/>
            </a:lnSpc>
            <a:spcBef>
              <a:spcPts val="0"/>
            </a:spcBef>
            <a:spcAft>
              <a:spcPts val="0"/>
            </a:spcAft>
            <a:buClrTx/>
            <a:buSzTx/>
            <a:buFontTx/>
            <a:buNone/>
            <a:tabLst/>
            <a:defRPr b="0" baseline="0" cap="none" i="0" spc="0" strike="noStrike" sz="1200" u="none">
              <a:solidFill>
                <a:srgbClr val="1C3D79"/>
              </a:solidFill>
              <a:uFillTx/>
              <a:latin typeface="Sitka Banner"/>
              <a:ea typeface="Sitka Banner"/>
              <a:cs typeface="Sitka Banner"/>
              <a:sym typeface="Sitka Banner"/>
            </a:defRPr>
          </a:pPr>
          <a:r>
            <a:rPr b="0" baseline="0" cap="none" i="0" spc="0" strike="noStrike" sz="1200" u="none">
              <a:solidFill>
                <a:srgbClr val="1C3D79"/>
              </a:solidFill>
              <a:uFillTx/>
              <a:latin typeface="Sitka Banner"/>
              <a:ea typeface="Sitka Banner"/>
              <a:cs typeface="Sitka Banner"/>
              <a:sym typeface="Sitka Banner"/>
            </a:rPr>
            <a:t>	- le taux de complétude et le niveau de maturité de chaque vecteur,</a:t>
          </a:r>
          <a:endParaRPr b="0" baseline="0" cap="none" i="0" spc="0" strike="noStrike" sz="1200" u="none">
            <a:solidFill>
              <a:srgbClr val="FFFFFF"/>
            </a:solidFill>
            <a:uFillTx/>
            <a:latin typeface="Sitka Banner"/>
            <a:ea typeface="Sitka Banner"/>
            <a:cs typeface="Sitka Banner"/>
            <a:sym typeface="Sitka Banner"/>
          </a:endParaRPr>
        </a:p>
        <a:p>
          <a:pPr marL="0" marR="0" indent="0" algn="l" defTabSz="914400" latinLnBrk="0">
            <a:lnSpc>
              <a:spcPct val="100000"/>
            </a:lnSpc>
            <a:spcBef>
              <a:spcPts val="0"/>
            </a:spcBef>
            <a:spcAft>
              <a:spcPts val="0"/>
            </a:spcAft>
            <a:buClrTx/>
            <a:buSzTx/>
            <a:buFontTx/>
            <a:buNone/>
            <a:tabLst/>
            <a:defRPr b="0" baseline="0" cap="none" i="0" spc="0" strike="noStrike" sz="1200" u="none">
              <a:solidFill>
                <a:srgbClr val="1C3D79"/>
              </a:solidFill>
              <a:uFillTx/>
              <a:latin typeface="Sitka Banner"/>
              <a:ea typeface="Sitka Banner"/>
              <a:cs typeface="Sitka Banner"/>
              <a:sym typeface="Sitka Banner"/>
            </a:defRPr>
          </a:pPr>
          <a:r>
            <a:rPr b="0" baseline="0" cap="none" i="0" spc="0" strike="noStrike" sz="1200" u="none">
              <a:solidFill>
                <a:srgbClr val="1C3D79"/>
              </a:solidFill>
              <a:uFillTx/>
              <a:latin typeface="Sitka Banner"/>
              <a:ea typeface="Sitka Banner"/>
              <a:cs typeface="Sitka Banner"/>
              <a:sym typeface="Sitka Banner"/>
            </a:rPr>
            <a:t>	- un radar qui représente les niveaux de maturité par vecteur.</a:t>
          </a:r>
          <a:endParaRPr b="0" baseline="0" cap="none" i="0" spc="0" strike="noStrike" sz="1200" u="none">
            <a:solidFill>
              <a:srgbClr val="FFFFFF"/>
            </a:solidFill>
            <a:uFillTx/>
            <a:latin typeface="Sitka Banner"/>
            <a:ea typeface="Sitka Banner"/>
            <a:cs typeface="Sitka Banner"/>
            <a:sym typeface="Sitka Banner"/>
          </a:endParaRPr>
        </a:p>
        <a:p>
          <a:pPr marL="0" marR="0" indent="0" algn="l" defTabSz="914400" latinLnBrk="0">
            <a:lnSpc>
              <a:spcPct val="100000"/>
            </a:lnSpc>
            <a:spcBef>
              <a:spcPts val="0"/>
            </a:spcBef>
            <a:spcAft>
              <a:spcPts val="0"/>
            </a:spcAft>
            <a:buClrTx/>
            <a:buSzTx/>
            <a:buFontTx/>
            <a:buNone/>
            <a:tabLst/>
            <a:defRPr b="0" baseline="0" cap="none" i="0" spc="0" strike="noStrike" sz="1200" u="sng">
              <a:solidFill>
                <a:schemeClr val="accent6"/>
              </a:solidFill>
              <a:uFillTx/>
              <a:latin typeface="Sitka Banner"/>
              <a:ea typeface="Sitka Banner"/>
              <a:cs typeface="Sitka Banner"/>
              <a:sym typeface="Sitka Banner"/>
            </a:defRPr>
          </a:pPr>
          <a:endParaRPr b="0" baseline="0" cap="none" i="0" spc="0" strike="noStrike" sz="1200" u="sng">
            <a:solidFill>
              <a:schemeClr val="accent6"/>
            </a:solidFill>
            <a:uFillTx/>
            <a:latin typeface="Sitka Banner"/>
            <a:ea typeface="Sitka Banner"/>
            <a:cs typeface="Sitka Banner"/>
            <a:sym typeface="Sitka Banner"/>
          </a:endParaRPr>
        </a:p>
        <a:p>
          <a:pPr marL="0" marR="0" indent="0" algn="l" defTabSz="914400" latinLnBrk="0">
            <a:lnSpc>
              <a:spcPct val="100000"/>
            </a:lnSpc>
            <a:spcBef>
              <a:spcPts val="0"/>
            </a:spcBef>
            <a:spcAft>
              <a:spcPts val="0"/>
            </a:spcAft>
            <a:buClrTx/>
            <a:buSzTx/>
            <a:buFontTx/>
            <a:buNone/>
            <a:tabLst/>
            <a:defRPr b="0" baseline="0" cap="none" i="0" spc="0" strike="noStrike" sz="1200" u="none">
              <a:solidFill>
                <a:schemeClr val="accent6"/>
              </a:solidFill>
              <a:uFillTx/>
              <a:latin typeface="Sitka Banner"/>
              <a:ea typeface="Sitka Banner"/>
              <a:cs typeface="Sitka Banner"/>
              <a:sym typeface="Sitka Banner"/>
            </a:defRPr>
          </a:pPr>
          <a:r>
            <a:rPr b="0" baseline="0" cap="none" i="0" spc="0" strike="noStrike" sz="1200" u="none">
              <a:solidFill>
                <a:schemeClr val="accent6"/>
              </a:solidFill>
              <a:uFillTx/>
              <a:latin typeface="Sitka Banner"/>
              <a:ea typeface="Sitka Banner"/>
              <a:cs typeface="Sitka Banner"/>
              <a:sym typeface="Sitka Banner"/>
            </a:rPr>
            <a:t>	</a:t>
          </a:r>
          <a:r>
            <a:rPr b="0" baseline="0" cap="none" i="0" spc="0" strike="noStrike" sz="1200" u="sng">
              <a:solidFill>
                <a:srgbClr val="1C3D79"/>
              </a:solidFill>
              <a:uFillTx/>
              <a:latin typeface="Sitka Banner"/>
              <a:ea typeface="Sitka Banner"/>
              <a:cs typeface="Sitka Banner"/>
              <a:sym typeface="Sitka Banner"/>
            </a:rPr>
            <a:t>Onglets </a:t>
          </a:r>
          <a:r>
            <a:rPr b="1" baseline="0" cap="none" i="0" spc="0" strike="noStrike" sz="1200" u="sng">
              <a:solidFill>
                <a:srgbClr val="0079A4"/>
              </a:solidFill>
              <a:uFillTx/>
              <a:latin typeface="Sitka Banner"/>
              <a:ea typeface="Sitka Banner"/>
              <a:cs typeface="Sitka Banner"/>
              <a:sym typeface="Sitka Banner"/>
            </a:rPr>
            <a:t>VQuest</a:t>
          </a:r>
          <a:r>
            <a:rPr b="1" baseline="0" cap="none" i="0" spc="0" strike="noStrike" sz="1200" u="sng">
              <a:solidFill>
                <a:srgbClr val="0097CC"/>
              </a:solidFill>
              <a:uFillTx/>
              <a:latin typeface="Sitka Banner"/>
              <a:ea typeface="Sitka Banner"/>
              <a:cs typeface="Sitka Banner"/>
              <a:sym typeface="Sitka Banner"/>
            </a:rPr>
            <a:t> </a:t>
          </a:r>
          <a:endParaRPr b="0" baseline="0" cap="none" i="0" spc="0" strike="noStrike" sz="1200" u="none">
            <a:solidFill>
              <a:srgbClr val="FFFFFF"/>
            </a:solidFill>
            <a:uFillTx/>
            <a:latin typeface="Sitka Banner"/>
            <a:ea typeface="Sitka Banner"/>
            <a:cs typeface="Sitka Banner"/>
            <a:sym typeface="Sitka Banner"/>
          </a:endParaRPr>
        </a:p>
        <a:p>
          <a:pPr marL="0" marR="0" indent="0" algn="l" defTabSz="914400" latinLnBrk="0">
            <a:lnSpc>
              <a:spcPct val="100000"/>
            </a:lnSpc>
            <a:spcBef>
              <a:spcPts val="0"/>
            </a:spcBef>
            <a:spcAft>
              <a:spcPts val="0"/>
            </a:spcAft>
            <a:buClrTx/>
            <a:buSzTx/>
            <a:buFontTx/>
            <a:buNone/>
            <a:tabLst/>
            <a:defRPr b="0" baseline="0" cap="none" i="0" spc="0" strike="noStrike" sz="1200" u="none">
              <a:solidFill>
                <a:srgbClr val="1C3D79"/>
              </a:solidFill>
              <a:uFillTx/>
              <a:latin typeface="Sitka Banner"/>
              <a:ea typeface="Sitka Banner"/>
              <a:cs typeface="Sitka Banner"/>
              <a:sym typeface="Sitka Banner"/>
            </a:defRPr>
          </a:pPr>
          <a:endParaRPr b="0" baseline="0" cap="none" i="0" spc="0" strike="noStrike" sz="1200" u="none">
            <a:solidFill>
              <a:srgbClr val="1C3D79"/>
            </a:solidFill>
            <a:uFillTx/>
            <a:latin typeface="Sitka Banner"/>
            <a:ea typeface="Sitka Banner"/>
            <a:cs typeface="Sitka Banner"/>
            <a:sym typeface="Sitka Banner"/>
          </a:endParaRPr>
        </a:p>
        <a:p>
          <a:pPr marL="0" marR="0" indent="0" algn="l" defTabSz="914400" latinLnBrk="0">
            <a:lnSpc>
              <a:spcPct val="100000"/>
            </a:lnSpc>
            <a:spcBef>
              <a:spcPts val="0"/>
            </a:spcBef>
            <a:spcAft>
              <a:spcPts val="0"/>
            </a:spcAft>
            <a:buClrTx/>
            <a:buSzTx/>
            <a:buFontTx/>
            <a:buNone/>
            <a:tabLst/>
            <a:defRPr b="0" baseline="0" cap="none" i="0" spc="0" strike="noStrike" sz="1200" u="none">
              <a:solidFill>
                <a:srgbClr val="1C3D79"/>
              </a:solidFill>
              <a:uFillTx/>
              <a:latin typeface="Sitka Banner"/>
              <a:ea typeface="Sitka Banner"/>
              <a:cs typeface="Sitka Banner"/>
              <a:sym typeface="Sitka Banner"/>
            </a:defRPr>
          </a:pPr>
          <a:r>
            <a:rPr b="0" baseline="0" cap="none" i="0" spc="0" strike="noStrike" sz="1200" u="none">
              <a:solidFill>
                <a:srgbClr val="1C3D79"/>
              </a:solidFill>
              <a:uFillTx/>
              <a:latin typeface="Sitka Banner"/>
              <a:ea typeface="Sitka Banner"/>
              <a:cs typeface="Sitka Banner"/>
              <a:sym typeface="Sitka Banner"/>
            </a:rPr>
            <a:t>Cette page contient :</a:t>
          </a:r>
          <a:endParaRPr b="0" baseline="0" cap="none" i="0" spc="0" strike="noStrike" sz="1200" u="none">
            <a:solidFill>
              <a:srgbClr val="FFFFFF"/>
            </a:solidFill>
            <a:uFillTx/>
            <a:latin typeface="Sitka Banner"/>
            <a:ea typeface="Sitka Banner"/>
            <a:cs typeface="Sitka Banner"/>
            <a:sym typeface="Sitka Banner"/>
          </a:endParaRPr>
        </a:p>
        <a:p>
          <a:pPr marL="0" marR="0" indent="0" algn="l" defTabSz="914400" latinLnBrk="0">
            <a:lnSpc>
              <a:spcPct val="100000"/>
            </a:lnSpc>
            <a:spcBef>
              <a:spcPts val="0"/>
            </a:spcBef>
            <a:spcAft>
              <a:spcPts val="0"/>
            </a:spcAft>
            <a:buClrTx/>
            <a:buSzTx/>
            <a:buFontTx/>
            <a:buNone/>
            <a:tabLst/>
            <a:defRPr b="0" baseline="0" cap="none" i="0" spc="0" strike="noStrike" sz="1200" u="none">
              <a:solidFill>
                <a:srgbClr val="1C3D79"/>
              </a:solidFill>
              <a:uFillTx/>
              <a:latin typeface="Sitka Banner"/>
              <a:ea typeface="Sitka Banner"/>
              <a:cs typeface="Sitka Banner"/>
              <a:sym typeface="Sitka Banner"/>
            </a:defRPr>
          </a:pPr>
          <a:r>
            <a:rPr b="0" baseline="0" cap="none" i="0" spc="0" strike="noStrike" sz="1200" u="none">
              <a:solidFill>
                <a:srgbClr val="1C3D79"/>
              </a:solidFill>
              <a:uFillTx/>
              <a:latin typeface="Sitka Banner"/>
              <a:ea typeface="Sitka Banner"/>
              <a:cs typeface="Sitka Banner"/>
              <a:sym typeface="Sitka Banner"/>
            </a:rPr>
            <a:t>	- le détail de chaque bonne pratique, de chaque critère et des informations complémentaires,</a:t>
          </a:r>
          <a:endParaRPr b="0" baseline="0" cap="none" i="0" spc="0" strike="noStrike" sz="1200" u="none">
            <a:solidFill>
              <a:srgbClr val="FFFFFF"/>
            </a:solidFill>
            <a:uFillTx/>
            <a:latin typeface="Sitka Banner"/>
            <a:ea typeface="Sitka Banner"/>
            <a:cs typeface="Sitka Banner"/>
            <a:sym typeface="Sitka Banner"/>
          </a:endParaRPr>
        </a:p>
        <a:p>
          <a:pPr marL="0" marR="0" indent="0" algn="l" defTabSz="914400" latinLnBrk="0">
            <a:lnSpc>
              <a:spcPct val="100000"/>
            </a:lnSpc>
            <a:spcBef>
              <a:spcPts val="0"/>
            </a:spcBef>
            <a:spcAft>
              <a:spcPts val="0"/>
            </a:spcAft>
            <a:buClrTx/>
            <a:buSzTx/>
            <a:buFontTx/>
            <a:buNone/>
            <a:tabLst/>
            <a:defRPr b="0" baseline="0" cap="none" i="0" spc="0" strike="noStrike" sz="1200" u="none">
              <a:solidFill>
                <a:srgbClr val="1C3D79"/>
              </a:solidFill>
              <a:uFillTx/>
              <a:latin typeface="Sitka Banner"/>
              <a:ea typeface="Sitka Banner"/>
              <a:cs typeface="Sitka Banner"/>
              <a:sym typeface="Sitka Banner"/>
            </a:defRPr>
          </a:pPr>
          <a:r>
            <a:rPr b="0" baseline="0" cap="none" i="0" spc="0" strike="noStrike" sz="1200" u="none">
              <a:solidFill>
                <a:srgbClr val="1C3D79"/>
              </a:solidFill>
              <a:uFillTx/>
              <a:latin typeface="Sitka Banner"/>
              <a:ea typeface="Sitka Banner"/>
              <a:cs typeface="Sitka Banner"/>
              <a:sym typeface="Sitka Banner"/>
            </a:rPr>
            <a:t>	- les questionnaires à remplir pour évaluer la maturité d'un vecteur,</a:t>
          </a:r>
          <a:endParaRPr b="0" baseline="0" cap="none" i="0" spc="0" strike="noStrike" sz="1200" u="none">
            <a:solidFill>
              <a:srgbClr val="FFFFFF"/>
            </a:solidFill>
            <a:uFillTx/>
            <a:latin typeface="Sitka Banner"/>
            <a:ea typeface="Sitka Banner"/>
            <a:cs typeface="Sitka Banner"/>
            <a:sym typeface="Sitka Banner"/>
          </a:endParaRPr>
        </a:p>
        <a:p>
          <a:pPr marL="0" marR="0" indent="0" algn="l" defTabSz="914400" latinLnBrk="0">
            <a:lnSpc>
              <a:spcPct val="100000"/>
            </a:lnSpc>
            <a:spcBef>
              <a:spcPts val="0"/>
            </a:spcBef>
            <a:spcAft>
              <a:spcPts val="0"/>
            </a:spcAft>
            <a:buClrTx/>
            <a:buSzTx/>
            <a:buFontTx/>
            <a:buNone/>
            <a:tabLst/>
            <a:defRPr b="0" baseline="0" cap="none" i="0" spc="0" strike="noStrike" sz="1200" u="none">
              <a:solidFill>
                <a:srgbClr val="1C3D79"/>
              </a:solidFill>
              <a:uFillTx/>
              <a:latin typeface="Sitka Banner"/>
              <a:ea typeface="Sitka Banner"/>
              <a:cs typeface="Sitka Banner"/>
              <a:sym typeface="Sitka Banner"/>
            </a:defRPr>
          </a:pPr>
          <a:r>
            <a:rPr b="0" baseline="0" cap="none" i="0" spc="0" strike="noStrike" sz="1200" u="none">
              <a:solidFill>
                <a:srgbClr val="1C3D79"/>
              </a:solidFill>
              <a:uFillTx/>
              <a:latin typeface="Sitka Banner"/>
              <a:ea typeface="Sitka Banner"/>
              <a:cs typeface="Sitka Banner"/>
              <a:sym typeface="Sitka Banner"/>
            </a:rPr>
            <a:t>	- les notes de l'auditeur.</a:t>
          </a:r>
          <a:endParaRPr b="0" baseline="0" cap="none" i="0" spc="0" strike="noStrike" sz="1200" u="none">
            <a:solidFill>
              <a:srgbClr val="FFFFFF"/>
            </a:solidFill>
            <a:uFillTx/>
            <a:latin typeface="Sitka Banner"/>
            <a:ea typeface="Sitka Banner"/>
            <a:cs typeface="Sitka Banner"/>
            <a:sym typeface="Sitka Banner"/>
          </a:endParaRPr>
        </a:p>
        <a:p>
          <a:pPr marL="0" marR="0" indent="0" algn="l" defTabSz="914400" latinLnBrk="0">
            <a:lnSpc>
              <a:spcPct val="100000"/>
            </a:lnSpc>
            <a:spcBef>
              <a:spcPts val="0"/>
            </a:spcBef>
            <a:spcAft>
              <a:spcPts val="0"/>
            </a:spcAft>
            <a:buClrTx/>
            <a:buSzTx/>
            <a:buFontTx/>
            <a:buNone/>
            <a:tabLst/>
            <a:defRPr b="0" baseline="0" cap="none" i="0" spc="0" strike="noStrike" sz="1200" u="sng">
              <a:solidFill>
                <a:srgbClr val="1C3D79"/>
              </a:solidFill>
              <a:uFillTx/>
              <a:latin typeface="Sitka Banner"/>
              <a:ea typeface="Sitka Banner"/>
              <a:cs typeface="Sitka Banner"/>
              <a:sym typeface="Sitka Banner"/>
            </a:defRPr>
          </a:pPr>
          <a:endParaRPr b="0" baseline="0" cap="none" i="0" spc="0" strike="noStrike" sz="1200" u="sng">
            <a:solidFill>
              <a:srgbClr val="1C3D79"/>
            </a:solidFill>
            <a:uFillTx/>
            <a:latin typeface="Sitka Banner"/>
            <a:ea typeface="Sitka Banner"/>
            <a:cs typeface="Sitka Banner"/>
            <a:sym typeface="Sitka Banner"/>
          </a:endParaRPr>
        </a:p>
        <a:p>
          <a:pPr marL="0" marR="0" indent="0" algn="l" defTabSz="914400" latinLnBrk="0">
            <a:lnSpc>
              <a:spcPct val="100000"/>
            </a:lnSpc>
            <a:spcBef>
              <a:spcPts val="0"/>
            </a:spcBef>
            <a:spcAft>
              <a:spcPts val="0"/>
            </a:spcAft>
            <a:buClrTx/>
            <a:buSzTx/>
            <a:buFontTx/>
            <a:buNone/>
            <a:tabLst/>
            <a:defRPr b="0" baseline="0" cap="none" i="0" spc="0" strike="noStrike" sz="1200" u="none">
              <a:solidFill>
                <a:srgbClr val="1C3D79"/>
              </a:solidFill>
              <a:uFillTx/>
              <a:latin typeface="Sitka Banner"/>
              <a:ea typeface="Sitka Banner"/>
              <a:cs typeface="Sitka Banner"/>
              <a:sym typeface="Sitka Banner"/>
            </a:defRPr>
          </a:pPr>
          <a:r>
            <a:rPr b="0" baseline="0" cap="none" i="0" spc="0" strike="noStrike" sz="1200" u="none">
              <a:solidFill>
                <a:srgbClr val="1C3D79"/>
              </a:solidFill>
              <a:uFillTx/>
              <a:latin typeface="Sitka Banner"/>
              <a:ea typeface="Sitka Banner"/>
              <a:cs typeface="Sitka Banner"/>
              <a:sym typeface="Sitka Banner"/>
            </a:rPr>
            <a:t>Chaque critère peut être évalué selon 4 notations : </a:t>
          </a:r>
          <a:endParaRPr b="0" baseline="0" cap="none" i="0" spc="0" strike="noStrike" sz="1200" u="none">
            <a:solidFill>
              <a:srgbClr val="FFFFFF"/>
            </a:solidFill>
            <a:uFillTx/>
            <a:latin typeface="Sitka Banner"/>
            <a:ea typeface="Sitka Banner"/>
            <a:cs typeface="Sitka Banner"/>
            <a:sym typeface="Sitka Banner"/>
          </a:endParaRPr>
        </a:p>
        <a:p>
          <a:pPr marL="0" marR="0" indent="0" algn="l" defTabSz="914400" latinLnBrk="0">
            <a:lnSpc>
              <a:spcPct val="100000"/>
            </a:lnSpc>
            <a:spcBef>
              <a:spcPts val="0"/>
            </a:spcBef>
            <a:spcAft>
              <a:spcPts val="0"/>
            </a:spcAft>
            <a:buClrTx/>
            <a:buSzTx/>
            <a:buFontTx/>
            <a:buNone/>
            <a:tabLst/>
            <a:defRPr b="0" baseline="0" cap="none" i="0" spc="0" strike="noStrike" sz="1200" u="none">
              <a:solidFill>
                <a:srgbClr val="1C3D79"/>
              </a:solidFill>
              <a:uFillTx/>
              <a:latin typeface="Sitka Banner"/>
              <a:ea typeface="Sitka Banner"/>
              <a:cs typeface="Sitka Banner"/>
              <a:sym typeface="Sitka Banner"/>
            </a:defRPr>
          </a:pPr>
          <a:r>
            <a:rPr b="0" baseline="0" cap="none" i="0" spc="0" strike="noStrike" sz="1200" u="none">
              <a:solidFill>
                <a:srgbClr val="1C3D79"/>
              </a:solidFill>
              <a:uFillTx/>
              <a:latin typeface="Sitka Banner"/>
              <a:ea typeface="Sitka Banner"/>
              <a:cs typeface="Sitka Banner"/>
              <a:sym typeface="Sitka Banner"/>
            </a:rPr>
            <a:t>	- Exigences </a:t>
          </a:r>
          <a:r>
            <a:rPr b="0" baseline="0" cap="none" i="0" spc="0" strike="noStrike" sz="1200" u="none">
              <a:solidFill>
                <a:srgbClr val="C00000"/>
              </a:solidFill>
              <a:uFillTx/>
              <a:latin typeface="Sitka Banner"/>
              <a:ea typeface="Sitka Banner"/>
              <a:cs typeface="Sitka Banner"/>
              <a:sym typeface="Sitka Banner"/>
            </a:rPr>
            <a:t>non respectées</a:t>
          </a:r>
          <a:endParaRPr b="0" baseline="0" cap="none" i="0" spc="0" strike="noStrike" sz="1200" u="none">
            <a:solidFill>
              <a:srgbClr val="FFFFFF"/>
            </a:solidFill>
            <a:uFillTx/>
            <a:latin typeface="Sitka Banner"/>
            <a:ea typeface="Sitka Banner"/>
            <a:cs typeface="Sitka Banner"/>
            <a:sym typeface="Sitka Banner"/>
          </a:endParaRPr>
        </a:p>
        <a:p>
          <a:pPr marL="0" marR="0" indent="0" algn="l" defTabSz="914400" latinLnBrk="0">
            <a:lnSpc>
              <a:spcPct val="100000"/>
            </a:lnSpc>
            <a:spcBef>
              <a:spcPts val="0"/>
            </a:spcBef>
            <a:spcAft>
              <a:spcPts val="0"/>
            </a:spcAft>
            <a:buClrTx/>
            <a:buSzTx/>
            <a:buFontTx/>
            <a:buNone/>
            <a:tabLst/>
            <a:defRPr b="0" baseline="0" cap="none" i="0" spc="0" strike="noStrike" sz="1200" u="none">
              <a:solidFill>
                <a:srgbClr val="1C3D79"/>
              </a:solidFill>
              <a:uFillTx/>
              <a:latin typeface="Sitka Banner"/>
              <a:ea typeface="Sitka Banner"/>
              <a:cs typeface="Sitka Banner"/>
              <a:sym typeface="Sitka Banner"/>
            </a:defRPr>
          </a:pPr>
          <a:r>
            <a:rPr b="0" baseline="0" cap="none" i="0" spc="0" strike="noStrike" sz="1200" u="none">
              <a:solidFill>
                <a:srgbClr val="1C3D79"/>
              </a:solidFill>
              <a:uFillTx/>
              <a:latin typeface="Sitka Banner"/>
              <a:ea typeface="Sitka Banner"/>
              <a:cs typeface="Sitka Banner"/>
              <a:sym typeface="Sitka Banner"/>
            </a:rPr>
            <a:t>	- Exigences </a:t>
          </a:r>
          <a:r>
            <a:rPr b="0" baseline="0" cap="none" i="0" spc="0" strike="noStrike" sz="1200" u="none">
              <a:solidFill>
                <a:srgbClr val="BF9000"/>
              </a:solidFill>
              <a:uFillTx/>
              <a:latin typeface="Sitka Banner"/>
              <a:ea typeface="Sitka Banner"/>
              <a:cs typeface="Sitka Banner"/>
              <a:sym typeface="Sitka Banner"/>
            </a:rPr>
            <a:t>partiellement respectées</a:t>
          </a:r>
          <a:endParaRPr b="0" baseline="0" cap="none" i="0" spc="0" strike="noStrike" sz="1200" u="none">
            <a:solidFill>
              <a:srgbClr val="FFFFFF"/>
            </a:solidFill>
            <a:uFillTx/>
            <a:latin typeface="Sitka Banner"/>
            <a:ea typeface="Sitka Banner"/>
            <a:cs typeface="Sitka Banner"/>
            <a:sym typeface="Sitka Banner"/>
          </a:endParaRPr>
        </a:p>
        <a:p>
          <a:pPr marL="0" marR="0" indent="0" algn="l" defTabSz="914400" latinLnBrk="0">
            <a:lnSpc>
              <a:spcPct val="100000"/>
            </a:lnSpc>
            <a:spcBef>
              <a:spcPts val="0"/>
            </a:spcBef>
            <a:spcAft>
              <a:spcPts val="0"/>
            </a:spcAft>
            <a:buClrTx/>
            <a:buSzTx/>
            <a:buFontTx/>
            <a:buNone/>
            <a:tabLst/>
            <a:defRPr b="0" baseline="0" cap="none" i="0" spc="0" strike="noStrike" sz="1200" u="none">
              <a:solidFill>
                <a:srgbClr val="1C3D79"/>
              </a:solidFill>
              <a:uFillTx/>
              <a:latin typeface="Sitka Banner"/>
              <a:ea typeface="Sitka Banner"/>
              <a:cs typeface="Sitka Banner"/>
              <a:sym typeface="Sitka Banner"/>
            </a:defRPr>
          </a:pPr>
          <a:r>
            <a:rPr b="0" baseline="0" cap="none" i="0" spc="0" strike="noStrike" sz="1200" u="none">
              <a:solidFill>
                <a:srgbClr val="1C3D79"/>
              </a:solidFill>
              <a:uFillTx/>
              <a:latin typeface="Sitka Banner"/>
              <a:ea typeface="Sitka Banner"/>
              <a:cs typeface="Sitka Banner"/>
              <a:sym typeface="Sitka Banner"/>
            </a:rPr>
            <a:t>	- Exigences </a:t>
          </a:r>
          <a:r>
            <a:rPr b="0" baseline="0" cap="none" i="0" spc="0" strike="noStrike" sz="1200" u="none">
              <a:solidFill>
                <a:srgbClr val="00B050"/>
              </a:solidFill>
              <a:uFillTx/>
              <a:latin typeface="Sitka Banner"/>
              <a:ea typeface="Sitka Banner"/>
              <a:cs typeface="Sitka Banner"/>
              <a:sym typeface="Sitka Banner"/>
            </a:rPr>
            <a:t>respectées</a:t>
          </a:r>
          <a:endParaRPr b="0" baseline="0" cap="none" i="0" spc="0" strike="noStrike" sz="1200" u="none">
            <a:solidFill>
              <a:srgbClr val="FFFFFF"/>
            </a:solidFill>
            <a:uFillTx/>
            <a:latin typeface="Sitka Banner"/>
            <a:ea typeface="Sitka Banner"/>
            <a:cs typeface="Sitka Banner"/>
            <a:sym typeface="Sitka Banner"/>
          </a:endParaRPr>
        </a:p>
        <a:p>
          <a:pPr marL="0" marR="0" indent="0" algn="l" defTabSz="914400" latinLnBrk="0">
            <a:lnSpc>
              <a:spcPct val="100000"/>
            </a:lnSpc>
            <a:spcBef>
              <a:spcPts val="0"/>
            </a:spcBef>
            <a:spcAft>
              <a:spcPts val="0"/>
            </a:spcAft>
            <a:buClrTx/>
            <a:buSzTx/>
            <a:buFontTx/>
            <a:buNone/>
            <a:tabLst/>
            <a:defRPr b="0" baseline="0" cap="none" i="0" spc="0" strike="noStrike" sz="1200" u="none">
              <a:solidFill>
                <a:srgbClr val="1C3D79"/>
              </a:solidFill>
              <a:uFillTx/>
              <a:latin typeface="Sitka Banner"/>
              <a:ea typeface="Sitka Banner"/>
              <a:cs typeface="Sitka Banner"/>
              <a:sym typeface="Sitka Banner"/>
            </a:defRPr>
          </a:pPr>
          <a:r>
            <a:rPr b="0" baseline="0" cap="none" i="0" spc="0" strike="noStrike" sz="1200" u="none">
              <a:solidFill>
                <a:srgbClr val="1C3D79"/>
              </a:solidFill>
              <a:uFillTx/>
              <a:latin typeface="Sitka Banner"/>
              <a:ea typeface="Sitka Banner"/>
              <a:cs typeface="Sitka Banner"/>
              <a:sym typeface="Sitka Banner"/>
            </a:rPr>
            <a:t>	- </a:t>
          </a:r>
          <a:r>
            <a:rPr b="0" baseline="0" cap="none" i="0" spc="0" strike="noStrike" sz="1200" u="none">
              <a:solidFill>
                <a:srgbClr val="000000"/>
              </a:solidFill>
              <a:uFillTx/>
              <a:latin typeface="Sitka Banner"/>
              <a:ea typeface="Sitka Banner"/>
              <a:cs typeface="Sitka Banner"/>
              <a:sym typeface="Sitka Banner"/>
            </a:rPr>
            <a:t>Non évalué</a:t>
          </a:r>
          <a:endParaRPr b="0" baseline="0" cap="none" i="0" spc="0" strike="noStrike" sz="1200" u="none">
            <a:solidFill>
              <a:srgbClr val="FFFFFF"/>
            </a:solidFill>
            <a:uFillTx/>
            <a:latin typeface="Sitka Banner"/>
            <a:ea typeface="Sitka Banner"/>
            <a:cs typeface="Sitka Banner"/>
            <a:sym typeface="Sitka Banner"/>
          </a:endParaRPr>
        </a:p>
        <a:p>
          <a:pPr marL="0" marR="0" indent="0" algn="l" defTabSz="914400" latinLnBrk="0">
            <a:lnSpc>
              <a:spcPct val="100000"/>
            </a:lnSpc>
            <a:spcBef>
              <a:spcPts val="0"/>
            </a:spcBef>
            <a:spcAft>
              <a:spcPts val="0"/>
            </a:spcAft>
            <a:buClrTx/>
            <a:buSzTx/>
            <a:buFontTx/>
            <a:buNone/>
            <a:tabLst/>
            <a:defRPr b="0" baseline="0" cap="none" i="0" spc="0" strike="noStrike" sz="1200" u="none">
              <a:solidFill>
                <a:srgbClr val="1C3D79"/>
              </a:solidFill>
              <a:uFillTx/>
              <a:latin typeface="Sitka Banner"/>
              <a:ea typeface="Sitka Banner"/>
              <a:cs typeface="Sitka Banner"/>
              <a:sym typeface="Sitka Banner"/>
            </a:defRPr>
          </a:pPr>
          <a:endParaRPr b="0" baseline="0" cap="none" i="0" spc="0" strike="noStrike" sz="1200" u="none">
            <a:solidFill>
              <a:srgbClr val="1C3D79"/>
            </a:solidFill>
            <a:uFillTx/>
            <a:latin typeface="Sitka Banner"/>
            <a:ea typeface="Sitka Banner"/>
            <a:cs typeface="Sitka Banner"/>
            <a:sym typeface="Sitka Banner"/>
          </a:endParaRPr>
        </a:p>
        <a:p>
          <a:pPr marL="0" marR="0" indent="0" algn="l" defTabSz="914400" latinLnBrk="0">
            <a:lnSpc>
              <a:spcPct val="100000"/>
            </a:lnSpc>
            <a:spcBef>
              <a:spcPts val="0"/>
            </a:spcBef>
            <a:spcAft>
              <a:spcPts val="0"/>
            </a:spcAft>
            <a:buClrTx/>
            <a:buSzTx/>
            <a:buFontTx/>
            <a:buNone/>
            <a:tabLst/>
            <a:defRPr b="0" baseline="0" cap="none" i="0" spc="0" strike="noStrike" sz="1200" u="none">
              <a:solidFill>
                <a:srgbClr val="1C3D79"/>
              </a:solidFill>
              <a:uFillTx/>
              <a:latin typeface="Sitka Banner"/>
              <a:ea typeface="Sitka Banner"/>
              <a:cs typeface="Sitka Banner"/>
              <a:sym typeface="Sitka Banner"/>
            </a:defRPr>
          </a:pPr>
          <a:r>
            <a:rPr b="0" baseline="0" cap="none" i="0" spc="0" strike="noStrike" sz="1200" u="none">
              <a:solidFill>
                <a:srgbClr val="1C3D79"/>
              </a:solidFill>
              <a:uFillTx/>
              <a:latin typeface="Sitka Banner"/>
              <a:ea typeface="Sitka Banner"/>
              <a:cs typeface="Sitka Banner"/>
              <a:sym typeface="Sitka Banner"/>
            </a:rPr>
            <a:t>	</a:t>
          </a:r>
          <a:r>
            <a:rPr b="0" baseline="0" cap="none" i="0" spc="0" strike="noStrike" sz="1200" u="sng">
              <a:solidFill>
                <a:srgbClr val="1C3D79"/>
              </a:solidFill>
              <a:uFillTx/>
              <a:latin typeface="Sitka Banner"/>
              <a:ea typeface="Sitka Banner"/>
              <a:cs typeface="Sitka Banner"/>
              <a:sym typeface="Sitka Banner"/>
            </a:rPr>
            <a:t>Onglets </a:t>
          </a:r>
          <a:r>
            <a:rPr b="1" baseline="0" cap="none" i="0" spc="0" strike="noStrike" sz="1200" u="sng">
              <a:solidFill>
                <a:srgbClr val="0097CC"/>
              </a:solidFill>
              <a:uFillTx/>
              <a:latin typeface="Sitka Banner"/>
              <a:ea typeface="Sitka Banner"/>
              <a:cs typeface="Sitka Banner"/>
              <a:sym typeface="Sitka Banner"/>
            </a:rPr>
            <a:t>VN_NomDuVecteur </a:t>
          </a:r>
          <a:r>
            <a:rPr b="0" baseline="0" cap="none" i="0" spc="0" strike="noStrike" sz="1200" u="sng">
              <a:solidFill>
                <a:srgbClr val="1C3D79"/>
              </a:solidFill>
              <a:uFillTx/>
              <a:latin typeface="Sitka Banner"/>
              <a:ea typeface="Sitka Banner"/>
              <a:cs typeface="Sitka Banner"/>
              <a:sym typeface="Sitka Banner"/>
            </a:rPr>
            <a:t> </a:t>
          </a:r>
          <a:endParaRPr b="0" baseline="0" cap="none" i="0" spc="0" strike="noStrike" sz="1200" u="none">
            <a:solidFill>
              <a:srgbClr val="FFFFFF"/>
            </a:solidFill>
            <a:uFillTx/>
            <a:latin typeface="Sitka Banner"/>
            <a:ea typeface="Sitka Banner"/>
            <a:cs typeface="Sitka Banner"/>
            <a:sym typeface="Sitka Banner"/>
          </a:endParaRPr>
        </a:p>
        <a:p>
          <a:pPr marL="0" marR="0" indent="0" algn="l" defTabSz="914400" latinLnBrk="0">
            <a:lnSpc>
              <a:spcPct val="100000"/>
            </a:lnSpc>
            <a:spcBef>
              <a:spcPts val="0"/>
            </a:spcBef>
            <a:spcAft>
              <a:spcPts val="0"/>
            </a:spcAft>
            <a:buClrTx/>
            <a:buSzTx/>
            <a:buFontTx/>
            <a:buNone/>
            <a:tabLst/>
            <a:defRPr b="0" baseline="0" cap="none" i="0" spc="0" strike="noStrike" sz="1200" u="none">
              <a:solidFill>
                <a:srgbClr val="1C3D79"/>
              </a:solidFill>
              <a:uFillTx/>
              <a:latin typeface="Sitka Banner"/>
              <a:ea typeface="Sitka Banner"/>
              <a:cs typeface="Sitka Banner"/>
              <a:sym typeface="Sitka Banner"/>
            </a:defRPr>
          </a:pPr>
          <a:endParaRPr b="0" baseline="0" cap="none" i="0" spc="0" strike="noStrike" sz="1200" u="none">
            <a:solidFill>
              <a:srgbClr val="1C3D79"/>
            </a:solidFill>
            <a:uFillTx/>
            <a:latin typeface="Sitka Banner"/>
            <a:ea typeface="Sitka Banner"/>
            <a:cs typeface="Sitka Banner"/>
            <a:sym typeface="Sitka Banner"/>
          </a:endParaRPr>
        </a:p>
        <a:p>
          <a:pPr marL="0" marR="0" indent="0" algn="l" defTabSz="914400" latinLnBrk="0">
            <a:lnSpc>
              <a:spcPct val="100000"/>
            </a:lnSpc>
            <a:spcBef>
              <a:spcPts val="0"/>
            </a:spcBef>
            <a:spcAft>
              <a:spcPts val="0"/>
            </a:spcAft>
            <a:buClrTx/>
            <a:buSzTx/>
            <a:buFontTx/>
            <a:buNone/>
            <a:tabLst/>
            <a:defRPr b="0" baseline="0" cap="none" i="0" spc="0" strike="noStrike" sz="1200" u="none">
              <a:solidFill>
                <a:srgbClr val="1C3D79"/>
              </a:solidFill>
              <a:uFillTx/>
              <a:latin typeface="Sitka Banner"/>
              <a:ea typeface="Sitka Banner"/>
              <a:cs typeface="Sitka Banner"/>
              <a:sym typeface="Sitka Banner"/>
            </a:defRPr>
          </a:pPr>
          <a:r>
            <a:rPr b="0" baseline="0" cap="none" i="0" spc="0" strike="noStrike" sz="1200" u="none">
              <a:solidFill>
                <a:srgbClr val="1C3D79"/>
              </a:solidFill>
              <a:uFillTx/>
              <a:latin typeface="Sitka Banner"/>
              <a:ea typeface="Sitka Banner"/>
              <a:cs typeface="Sitka Banner"/>
              <a:sym typeface="Sitka Banner"/>
            </a:rPr>
            <a:t>Cette page affiche : </a:t>
          </a:r>
          <a:endParaRPr b="0" baseline="0" cap="none" i="0" spc="0" strike="noStrike" sz="1200" u="none">
            <a:solidFill>
              <a:srgbClr val="FFFFFF"/>
            </a:solidFill>
            <a:uFillTx/>
            <a:latin typeface="Sitka Banner"/>
            <a:ea typeface="Sitka Banner"/>
            <a:cs typeface="Sitka Banner"/>
            <a:sym typeface="Sitka Banner"/>
          </a:endParaRPr>
        </a:p>
        <a:p>
          <a:pPr marL="0" marR="0" indent="0" algn="l" defTabSz="914400" latinLnBrk="0">
            <a:lnSpc>
              <a:spcPct val="100000"/>
            </a:lnSpc>
            <a:spcBef>
              <a:spcPts val="0"/>
            </a:spcBef>
            <a:spcAft>
              <a:spcPts val="0"/>
            </a:spcAft>
            <a:buClrTx/>
            <a:buSzTx/>
            <a:buFontTx/>
            <a:buNone/>
            <a:tabLst/>
            <a:defRPr b="0" baseline="0" cap="none" i="0" spc="0" strike="noStrike" sz="1200" u="none">
              <a:solidFill>
                <a:srgbClr val="1C3D79"/>
              </a:solidFill>
              <a:uFillTx/>
              <a:latin typeface="Sitka Banner"/>
              <a:ea typeface="Sitka Banner"/>
              <a:cs typeface="Sitka Banner"/>
              <a:sym typeface="Sitka Banner"/>
            </a:defRPr>
          </a:pPr>
          <a:r>
            <a:rPr b="0" baseline="0" cap="none" i="0" spc="0" strike="noStrike" sz="1200" u="none">
              <a:solidFill>
                <a:srgbClr val="1C3D79"/>
              </a:solidFill>
              <a:uFillTx/>
              <a:latin typeface="Sitka Banner"/>
              <a:ea typeface="Sitka Banner"/>
              <a:cs typeface="Sitka Banner"/>
              <a:sym typeface="Sitka Banner"/>
            </a:rPr>
            <a:t>	- les résultats de tous les critères évalués dans les onglets VN_Quest avec leur niveau de maturité et de complétude*,</a:t>
          </a:r>
          <a:endParaRPr b="0" baseline="0" cap="none" i="0" spc="0" strike="noStrike" sz="1200" u="none">
            <a:solidFill>
              <a:srgbClr val="FFFFFF"/>
            </a:solidFill>
            <a:uFillTx/>
            <a:latin typeface="Sitka Banner"/>
            <a:ea typeface="Sitka Banner"/>
            <a:cs typeface="Sitka Banner"/>
            <a:sym typeface="Sitka Banner"/>
          </a:endParaRPr>
        </a:p>
        <a:p>
          <a:pPr marL="0" marR="0" indent="0" algn="l" defTabSz="914400" latinLnBrk="0">
            <a:lnSpc>
              <a:spcPct val="100000"/>
            </a:lnSpc>
            <a:spcBef>
              <a:spcPts val="0"/>
            </a:spcBef>
            <a:spcAft>
              <a:spcPts val="0"/>
            </a:spcAft>
            <a:buClrTx/>
            <a:buSzTx/>
            <a:buFontTx/>
            <a:buNone/>
            <a:tabLst/>
            <a:defRPr b="0" baseline="0" cap="none" i="0" spc="0" strike="noStrike" sz="1200" u="none">
              <a:solidFill>
                <a:srgbClr val="1C3D79"/>
              </a:solidFill>
              <a:uFillTx/>
              <a:latin typeface="Sitka Banner"/>
              <a:ea typeface="Sitka Banner"/>
              <a:cs typeface="Sitka Banner"/>
              <a:sym typeface="Sitka Banner"/>
            </a:defRPr>
          </a:pPr>
          <a:r>
            <a:rPr b="0" baseline="0" cap="none" i="0" spc="0" strike="noStrike" sz="1200" u="none">
              <a:solidFill>
                <a:srgbClr val="1C3D79"/>
              </a:solidFill>
              <a:uFillTx/>
              <a:latin typeface="Sitka Banner"/>
              <a:ea typeface="Sitka Banner"/>
              <a:cs typeface="Sitka Banner"/>
              <a:sym typeface="Sitka Banner"/>
            </a:rPr>
            <a:t>	- un encadré "</a:t>
          </a:r>
          <a:r>
            <a:rPr b="1" baseline="0" cap="none" i="0" spc="0" strike="noStrike" sz="1200" u="none">
              <a:solidFill>
                <a:srgbClr val="0097CC"/>
              </a:solidFill>
              <a:uFillTx/>
              <a:latin typeface="Sitka Banner"/>
              <a:ea typeface="Sitka Banner"/>
              <a:cs typeface="Sitka Banner"/>
              <a:sym typeface="Sitka Banner"/>
            </a:rPr>
            <a:t>Synthèse d'évaluation</a:t>
          </a:r>
          <a:r>
            <a:rPr b="0" baseline="0" cap="none" i="0" spc="0" strike="noStrike" sz="1200" u="none">
              <a:solidFill>
                <a:srgbClr val="1C3D79"/>
              </a:solidFill>
              <a:uFillTx/>
              <a:latin typeface="Sitka Banner"/>
              <a:ea typeface="Sitka Banner"/>
              <a:cs typeface="Sitka Banner"/>
              <a:sym typeface="Sitka Banner"/>
            </a:rPr>
            <a:t>" dans lequel des commentaires peuvent être ajoutés par l'éditeur,</a:t>
          </a:r>
          <a:endParaRPr b="0" baseline="0" cap="none" i="0" spc="0" strike="noStrike" sz="1200" u="none">
            <a:solidFill>
              <a:srgbClr val="FFFFFF"/>
            </a:solidFill>
            <a:uFillTx/>
            <a:latin typeface="Sitka Banner"/>
            <a:ea typeface="Sitka Banner"/>
            <a:cs typeface="Sitka Banner"/>
            <a:sym typeface="Sitka Banner"/>
          </a:endParaRPr>
        </a:p>
        <a:p>
          <a:pPr marL="0" marR="0" indent="0" algn="l" defTabSz="914400" latinLnBrk="0">
            <a:lnSpc>
              <a:spcPct val="100000"/>
            </a:lnSpc>
            <a:spcBef>
              <a:spcPts val="0"/>
            </a:spcBef>
            <a:spcAft>
              <a:spcPts val="0"/>
            </a:spcAft>
            <a:buClrTx/>
            <a:buSzTx/>
            <a:buFontTx/>
            <a:buNone/>
            <a:tabLst/>
            <a:defRPr b="0" baseline="0" cap="none" i="0" spc="0" strike="noStrike" sz="1200" u="none">
              <a:solidFill>
                <a:srgbClr val="1C3D79"/>
              </a:solidFill>
              <a:uFillTx/>
              <a:latin typeface="Sitka Banner"/>
              <a:ea typeface="Sitka Banner"/>
              <a:cs typeface="Sitka Banner"/>
              <a:sym typeface="Sitka Banner"/>
            </a:defRPr>
          </a:pPr>
          <a:r>
            <a:rPr b="0" baseline="0" cap="none" i="0" spc="0" strike="noStrike" sz="1200" u="none">
              <a:solidFill>
                <a:srgbClr val="1C3D79"/>
              </a:solidFill>
              <a:uFillTx/>
              <a:latin typeface="Sitka Banner"/>
              <a:ea typeface="Sitka Banner"/>
              <a:cs typeface="Sitka Banner"/>
              <a:sym typeface="Sitka Banner"/>
            </a:rPr>
            <a:t>	- le bouton de calcul de la maturité.</a:t>
          </a:r>
          <a:endParaRPr b="0" baseline="0" cap="none" i="0" spc="0" strike="noStrike" sz="1200" u="none">
            <a:solidFill>
              <a:srgbClr val="FFFFFF"/>
            </a:solidFill>
            <a:uFillTx/>
            <a:latin typeface="Sitka Banner"/>
            <a:ea typeface="Sitka Banner"/>
            <a:cs typeface="Sitka Banner"/>
            <a:sym typeface="Sitka Banner"/>
          </a:endParaRPr>
        </a:p>
        <a:p>
          <a:pPr marL="0" marR="0" indent="0" algn="l" defTabSz="914400" latinLnBrk="0">
            <a:lnSpc>
              <a:spcPct val="100000"/>
            </a:lnSpc>
            <a:spcBef>
              <a:spcPts val="0"/>
            </a:spcBef>
            <a:spcAft>
              <a:spcPts val="0"/>
            </a:spcAft>
            <a:buClrTx/>
            <a:buSzTx/>
            <a:buFontTx/>
            <a:buNone/>
            <a:tabLst/>
            <a:defRPr b="0" baseline="0" cap="none" i="0" spc="0" strike="noStrike" sz="1200" u="none">
              <a:solidFill>
                <a:srgbClr val="1C3D79"/>
              </a:solidFill>
              <a:uFillTx/>
              <a:latin typeface="Sitka Banner"/>
              <a:ea typeface="Sitka Banner"/>
              <a:cs typeface="Sitka Banner"/>
              <a:sym typeface="Sitka Banner"/>
            </a:defRPr>
          </a:pPr>
          <a:endParaRPr b="0" baseline="0" cap="none" i="0" spc="0" strike="noStrike" sz="1200" u="none">
            <a:solidFill>
              <a:srgbClr val="1C3D79"/>
            </a:solidFill>
            <a:uFillTx/>
            <a:latin typeface="Sitka Banner"/>
            <a:ea typeface="Sitka Banner"/>
            <a:cs typeface="Sitka Banner"/>
            <a:sym typeface="Sitka Banner"/>
          </a:endParaRPr>
        </a:p>
        <a:p>
          <a:pPr marL="0" marR="0" indent="0" algn="l" defTabSz="914400" latinLnBrk="0">
            <a:lnSpc>
              <a:spcPct val="100000"/>
            </a:lnSpc>
            <a:spcBef>
              <a:spcPts val="0"/>
            </a:spcBef>
            <a:spcAft>
              <a:spcPts val="0"/>
            </a:spcAft>
            <a:buClrTx/>
            <a:buSzTx/>
            <a:buFontTx/>
            <a:buNone/>
            <a:tabLst/>
            <a:defRPr b="0" baseline="0" cap="none" i="0" spc="0" strike="noStrike" sz="1200" u="none">
              <a:solidFill>
                <a:srgbClr val="1C3D79"/>
              </a:solidFill>
              <a:uFillTx/>
              <a:latin typeface="Sitka Banner"/>
              <a:ea typeface="Sitka Banner"/>
              <a:cs typeface="Sitka Banner"/>
              <a:sym typeface="Sitka Banner"/>
            </a:defRPr>
          </a:pPr>
          <a:r>
            <a:rPr b="0" baseline="0" cap="none" i="0" spc="0" strike="noStrike" sz="1200" u="none">
              <a:solidFill>
                <a:srgbClr val="1C3D79"/>
              </a:solidFill>
              <a:uFillTx/>
              <a:latin typeface="Sitka Banner"/>
              <a:ea typeface="Sitka Banner"/>
              <a:cs typeface="Sitka Banner"/>
              <a:sym typeface="Sitka Banner"/>
            </a:rPr>
            <a:t>* NB : le niveau de maturité est affiché accolé à un taux de complétude. Le </a:t>
          </a:r>
          <a:r>
            <a:rPr b="1" baseline="0" cap="none" i="0" spc="0" strike="noStrike" sz="1200" u="none">
              <a:solidFill>
                <a:srgbClr val="1C3D79"/>
              </a:solidFill>
              <a:uFillTx/>
              <a:latin typeface="Sitka Banner"/>
              <a:ea typeface="Sitka Banner"/>
              <a:cs typeface="Sitka Banner"/>
              <a:sym typeface="Sitka Banner"/>
            </a:rPr>
            <a:t>niveau de complétude </a:t>
          </a:r>
          <a:r>
            <a:rPr b="0" baseline="0" cap="none" i="0" spc="0" strike="noStrike" sz="1200" u="none">
              <a:solidFill>
                <a:srgbClr val="1C3D79"/>
              </a:solidFill>
              <a:uFillTx/>
              <a:latin typeface="Sitka Banner"/>
              <a:ea typeface="Sitka Banner"/>
              <a:cs typeface="Sitka Banner"/>
              <a:sym typeface="Sitka Banner"/>
            </a:rPr>
            <a:t>calcule le nombre de critères respectés, indépendamment du niveau qui leur est associé. </a:t>
          </a:r>
          <a:endParaRPr b="0" baseline="0" cap="none" i="0" spc="0" strike="noStrike" sz="1200" u="none">
            <a:solidFill>
              <a:srgbClr val="FFFFFF"/>
            </a:solidFill>
            <a:uFillTx/>
            <a:latin typeface="Sitka Banner"/>
            <a:ea typeface="Sitka Banner"/>
            <a:cs typeface="Sitka Banner"/>
            <a:sym typeface="Sitka Banner"/>
          </a:endParaRPr>
        </a:p>
        <a:p>
          <a:pPr marL="0" marR="0" indent="0" algn="l" defTabSz="914400" latinLnBrk="0">
            <a:lnSpc>
              <a:spcPct val="100000"/>
            </a:lnSpc>
            <a:spcBef>
              <a:spcPts val="0"/>
            </a:spcBef>
            <a:spcAft>
              <a:spcPts val="0"/>
            </a:spcAft>
            <a:buClrTx/>
            <a:buSzTx/>
            <a:buFontTx/>
            <a:buNone/>
            <a:tabLst/>
            <a:defRPr b="0" baseline="0" cap="none" i="1" spc="0" strike="noStrike" sz="1200" u="none">
              <a:solidFill>
                <a:srgbClr val="808080"/>
              </a:solidFill>
              <a:uFillTx/>
              <a:latin typeface="Sitka Banner"/>
              <a:ea typeface="Sitka Banner"/>
              <a:cs typeface="Sitka Banner"/>
              <a:sym typeface="Sitka Banner"/>
            </a:defRPr>
          </a:pPr>
          <a:r>
            <a:rPr b="0" baseline="0" cap="none" i="1" spc="0" strike="noStrike" sz="1200" u="none">
              <a:solidFill>
                <a:srgbClr val="808080"/>
              </a:solidFill>
              <a:uFillTx/>
              <a:latin typeface="Sitka Banner"/>
              <a:ea typeface="Sitka Banner"/>
              <a:cs typeface="Sitka Banner"/>
              <a:sym typeface="Sitka Banner"/>
            </a:rPr>
            <a:t>Exemple :  Critère 1 (N2 - respecté), Critère 2 (N5 - respecté), Critère 3 (N2 - non respecté), Critère 4 (N1 - non respecté). Le </a:t>
          </a:r>
          <a:r>
            <a:rPr b="1" baseline="0" cap="none" i="1" spc="0" strike="noStrike" sz="1200" u="none">
              <a:solidFill>
                <a:srgbClr val="808080"/>
              </a:solidFill>
              <a:uFillTx/>
              <a:latin typeface="Sitka Banner"/>
              <a:ea typeface="Sitka Banner"/>
              <a:cs typeface="Sitka Banner"/>
              <a:sym typeface="Sitka Banner"/>
            </a:rPr>
            <a:t>taux de complétude est de 25% + 25% = 50%.</a:t>
          </a:r>
          <a:br>
            <a:rPr b="1" baseline="0" cap="none" i="1" spc="0" strike="noStrike" sz="1200" u="none">
              <a:solidFill>
                <a:srgbClr val="808080"/>
              </a:solidFill>
              <a:uFillTx/>
              <a:latin typeface="Sitka Banner"/>
              <a:ea typeface="Sitka Banner"/>
              <a:cs typeface="Sitka Banner"/>
              <a:sym typeface="Sitka Banner"/>
            </a:rPr>
          </a:br>
          <a:r>
            <a:rPr b="0" baseline="0" cap="none" i="1" spc="0" strike="noStrike" sz="1200" u="none">
              <a:solidFill>
                <a:srgbClr val="808080"/>
              </a:solidFill>
              <a:uFillTx/>
              <a:latin typeface="Sitka Banner"/>
              <a:ea typeface="Sitka Banner"/>
              <a:cs typeface="Sitka Banner"/>
              <a:sym typeface="Sitka Banner"/>
            </a:rPr>
            <a:t>Exemple 2 :  Critère 1 (N2 - respecté), Critère 2 (N5 - partiellement respecté), Critère 3 (N2 - non respecté), Critère 4 (N1 - non évalué), Critère 5 (N1 - respecté). </a:t>
          </a:r>
          <a:r>
            <a:rPr b="1" baseline="0" cap="none" i="1" spc="0" strike="noStrike" sz="1200" u="none">
              <a:solidFill>
                <a:srgbClr val="808080"/>
              </a:solidFill>
              <a:uFillTx/>
              <a:latin typeface="Sitka Banner"/>
              <a:ea typeface="Sitka Banner"/>
              <a:cs typeface="Sitka Banner"/>
              <a:sym typeface="Sitka Banner"/>
            </a:rPr>
            <a:t>Le taux de complétude est de 20% + 10% + 0% + 0% + 20% </a:t>
          </a:r>
          <a:r>
            <a:rPr b="0" baseline="0" cap="none" i="1" spc="0" strike="noStrike" sz="1200" u="none">
              <a:solidFill>
                <a:srgbClr val="808080"/>
              </a:solidFill>
              <a:uFillTx/>
              <a:latin typeface="Sitka Banner"/>
              <a:ea typeface="Sitka Banner"/>
              <a:cs typeface="Sitka Banner"/>
              <a:sym typeface="Sitka Banner"/>
            </a:rPr>
            <a:t>= 50%.</a:t>
          </a:r>
        </a:p>
      </xdr:txBody>
    </xdr:sp>
    <xdr:clientData/>
  </xdr:twoCellAnchor>
  <xdr:twoCellAnchor>
    <xdr:from>
      <xdr:col>0</xdr:col>
      <xdr:colOff>175182</xdr:colOff>
      <xdr:row>1</xdr:row>
      <xdr:rowOff>18129</xdr:rowOff>
    </xdr:from>
    <xdr:to>
      <xdr:col>1</xdr:col>
      <xdr:colOff>234146</xdr:colOff>
      <xdr:row>1</xdr:row>
      <xdr:rowOff>432954</xdr:rowOff>
    </xdr:to>
    <xdr:pic>
      <xdr:nvPicPr>
        <xdr:cNvPr id="4" name="Image 14" descr="Image 14"/>
        <xdr:cNvPicPr>
          <a:picLocks noChangeAspect="1"/>
        </xdr:cNvPicPr>
      </xdr:nvPicPr>
      <xdr:blipFill>
        <a:blip r:embed="rId1">
          <a:extLst/>
        </a:blip>
        <a:stretch>
          <a:fillRect/>
        </a:stretch>
      </xdr:blipFill>
      <xdr:spPr>
        <a:xfrm>
          <a:off x="175182" y="201009"/>
          <a:ext cx="935265" cy="414826"/>
        </a:xfrm>
        <a:prstGeom prst="rect">
          <a:avLst/>
        </a:prstGeom>
        <a:ln w="12700" cap="flat">
          <a:noFill/>
          <a:miter lim="400000"/>
        </a:ln>
        <a:effectLst/>
      </xdr:spPr>
    </xdr:pic>
    <xdr:clientData/>
  </xdr:twoCellAnchor>
  <xdr:twoCellAnchor>
    <xdr:from>
      <xdr:col>3</xdr:col>
      <xdr:colOff>398334</xdr:colOff>
      <xdr:row>1</xdr:row>
      <xdr:rowOff>4177</xdr:rowOff>
    </xdr:from>
    <xdr:to>
      <xdr:col>4</xdr:col>
      <xdr:colOff>744687</xdr:colOff>
      <xdr:row>1</xdr:row>
      <xdr:rowOff>486161</xdr:rowOff>
    </xdr:to>
    <xdr:pic>
      <xdr:nvPicPr>
        <xdr:cNvPr id="5" name="Image 5" descr="Image 5"/>
        <xdr:cNvPicPr>
          <a:picLocks noChangeAspect="1"/>
        </xdr:cNvPicPr>
      </xdr:nvPicPr>
      <xdr:blipFill>
        <a:blip r:embed="rId2">
          <a:extLst/>
        </a:blip>
        <a:stretch>
          <a:fillRect/>
        </a:stretch>
      </xdr:blipFill>
      <xdr:spPr>
        <a:xfrm>
          <a:off x="3027234" y="187057"/>
          <a:ext cx="1222654" cy="481985"/>
        </a:xfrm>
        <a:prstGeom prst="rect">
          <a:avLst/>
        </a:prstGeom>
        <a:ln w="12700" cap="flat">
          <a:noFill/>
          <a:miter lim="400000"/>
        </a:ln>
        <a:effectLst/>
      </xdr:spPr>
    </xdr:pic>
    <xdr:clientData/>
  </xdr:twoCellAnchor>
  <xdr:twoCellAnchor>
    <xdr:from>
      <xdr:col>1</xdr:col>
      <xdr:colOff>424296</xdr:colOff>
      <xdr:row>0</xdr:row>
      <xdr:rowOff>49496</xdr:rowOff>
    </xdr:from>
    <xdr:to>
      <xdr:col>3</xdr:col>
      <xdr:colOff>429896</xdr:colOff>
      <xdr:row>1</xdr:row>
      <xdr:rowOff>502227</xdr:rowOff>
    </xdr:to>
    <xdr:pic>
      <xdr:nvPicPr>
        <xdr:cNvPr id="6" name="Image 9" descr="Image 9"/>
        <xdr:cNvPicPr>
          <a:picLocks noChangeAspect="1"/>
        </xdr:cNvPicPr>
      </xdr:nvPicPr>
      <xdr:blipFill>
        <a:blip r:embed="rId3">
          <a:extLst/>
        </a:blip>
        <a:stretch>
          <a:fillRect/>
        </a:stretch>
      </xdr:blipFill>
      <xdr:spPr>
        <a:xfrm>
          <a:off x="1300596" y="49496"/>
          <a:ext cx="1758201" cy="635612"/>
        </a:xfrm>
        <a:prstGeom prst="rect">
          <a:avLst/>
        </a:prstGeom>
        <a:ln w="12700" cap="flat">
          <a:noFill/>
          <a:miter lim="400000"/>
        </a:ln>
        <a:effectLst/>
      </xdr:spPr>
    </xdr:pic>
    <xdr:clientData/>
  </xdr:twoCellAnchor>
  <xdr:twoCellAnchor>
    <xdr:from>
      <xdr:col>10</xdr:col>
      <xdr:colOff>457200</xdr:colOff>
      <xdr:row>23</xdr:row>
      <xdr:rowOff>90583</xdr:rowOff>
    </xdr:from>
    <xdr:to>
      <xdr:col>22</xdr:col>
      <xdr:colOff>561062</xdr:colOff>
      <xdr:row>76</xdr:row>
      <xdr:rowOff>126587</xdr:rowOff>
    </xdr:to>
    <xdr:grpSp>
      <xdr:nvGrpSpPr>
        <xdr:cNvPr id="9" name="Groupe 7"/>
        <xdr:cNvGrpSpPr/>
      </xdr:nvGrpSpPr>
      <xdr:grpSpPr>
        <a:xfrm>
          <a:off x="9220200" y="5249323"/>
          <a:ext cx="10619463" cy="9827705"/>
          <a:chOff x="-19050" y="-640937"/>
          <a:chExt cx="10619461" cy="9827703"/>
        </a:xfrm>
      </xdr:grpSpPr>
      <xdr:sp>
        <xdr:nvSpPr>
          <xdr:cNvPr id="7" name="Rectangle 18"/>
          <xdr:cNvSpPr/>
        </xdr:nvSpPr>
        <xdr:spPr>
          <a:xfrm>
            <a:off x="-19051" y="-640938"/>
            <a:ext cx="10619463" cy="9827705"/>
          </a:xfrm>
          <a:prstGeom prst="rect">
            <a:avLst/>
          </a:prstGeom>
          <a:solidFill>
            <a:srgbClr val="FFFFFF"/>
          </a:solidFill>
          <a:ln w="12700" cap="flat">
            <a:solidFill>
              <a:srgbClr val="1C3D79"/>
            </a:solidFill>
            <a:prstDash val="solid"/>
            <a:miter lim="800000"/>
          </a:ln>
          <a:effectLst/>
          <a:extLst>
            <a:ext uri="{C572A759-6A51-4108-AA02-DFA0A04FC94B}">
              <ma14:wrappingTextBoxFlag xmlns:ma14="http://schemas.microsoft.com/office/mac/drawingml/2011/main" val="1"/>
            </a:ext>
          </a:extLst>
        </xdr:spPr>
        <xdr:txBody>
          <a:bodyPr wrap="square" lIns="45719" tIns="45719" rIns="45719" bIns="45719" numCol="1" anchor="t">
            <a:noAutofit/>
          </a:bodyPr>
          <a:lstStyle/>
          <a:p>
            <a:pPr marL="0" marR="0" indent="0" algn="ctr" defTabSz="914400" latinLnBrk="0">
              <a:lnSpc>
                <a:spcPct val="100000"/>
              </a:lnSpc>
              <a:spcBef>
                <a:spcPts val="0"/>
              </a:spcBef>
              <a:spcAft>
                <a:spcPts val="0"/>
              </a:spcAft>
              <a:buClrTx/>
              <a:buSzTx/>
              <a:buFontTx/>
              <a:buNone/>
              <a:tabLst/>
              <a:defRPr b="1" baseline="0" cap="none" i="0" spc="0" strike="noStrike" sz="1200" u="sng">
                <a:solidFill>
                  <a:srgbClr val="1C3D79"/>
                </a:solidFill>
                <a:uFillTx/>
                <a:latin typeface="Sitka Banner"/>
                <a:ea typeface="Sitka Banner"/>
                <a:cs typeface="Sitka Banner"/>
                <a:sym typeface="Sitka Banner"/>
              </a:defRPr>
            </a:pPr>
            <a:r>
              <a:rPr b="1" baseline="0" cap="none" i="0" spc="0" strike="noStrike" sz="1200" u="sng">
                <a:solidFill>
                  <a:srgbClr val="1C3D79"/>
                </a:solidFill>
                <a:uFillTx/>
                <a:latin typeface="Sitka Banner"/>
                <a:ea typeface="Sitka Banner"/>
                <a:cs typeface="Sitka Banner"/>
                <a:sym typeface="Sitka Banner"/>
              </a:rPr>
              <a:t>Méthodologie/Mode de calcul de la maturité</a:t>
            </a:r>
            <a:endParaRPr b="1" baseline="0" cap="none" i="0" spc="0" strike="noStrike" sz="1200" u="sng">
              <a:solidFill>
                <a:srgbClr val="1C3D79"/>
              </a:solidFill>
              <a:uFillTx/>
              <a:latin typeface="Sitka Banner"/>
              <a:ea typeface="Sitka Banner"/>
              <a:cs typeface="Sitka Banner"/>
              <a:sym typeface="Sitka Banner"/>
            </a:endParaRPr>
          </a:p>
          <a:p>
            <a:pPr marL="0" marR="0" indent="0" algn="ctr" defTabSz="914400" latinLnBrk="0">
              <a:lnSpc>
                <a:spcPct val="100000"/>
              </a:lnSpc>
              <a:spcBef>
                <a:spcPts val="0"/>
              </a:spcBef>
              <a:spcAft>
                <a:spcPts val="0"/>
              </a:spcAft>
              <a:buClrTx/>
              <a:buSzTx/>
              <a:buFontTx/>
              <a:buNone/>
              <a:tabLst/>
              <a:defRPr b="0" baseline="0" cap="none" i="0" spc="0" strike="noStrike" sz="1200" u="none">
                <a:solidFill>
                  <a:srgbClr val="1C3D79"/>
                </a:solidFill>
                <a:uFillTx/>
                <a:latin typeface="Sitka Banner"/>
                <a:ea typeface="Sitka Banner"/>
                <a:cs typeface="Sitka Banner"/>
                <a:sym typeface="Sitka Banner"/>
              </a:defRPr>
            </a:pPr>
            <a:endParaRPr b="0" baseline="0" cap="none" i="0" spc="0" strike="noStrike" sz="1200" u="none">
              <a:solidFill>
                <a:srgbClr val="1C3D79"/>
              </a:solidFill>
              <a:uFillTx/>
              <a:latin typeface="Sitka Banner"/>
              <a:ea typeface="Sitka Banner"/>
              <a:cs typeface="Sitka Banner"/>
              <a:sym typeface="Sitka Banner"/>
            </a:endParaRPr>
          </a:p>
          <a:p>
            <a:pPr marL="0" marR="0" indent="0" algn="l" defTabSz="914400" latinLnBrk="0">
              <a:lnSpc>
                <a:spcPct val="100000"/>
              </a:lnSpc>
              <a:spcBef>
                <a:spcPts val="0"/>
              </a:spcBef>
              <a:spcAft>
                <a:spcPts val="0"/>
              </a:spcAft>
              <a:buClrTx/>
              <a:buSzTx/>
              <a:buFontTx/>
              <a:buNone/>
              <a:tabLst/>
              <a:defRPr b="0" baseline="0" cap="none" i="0" spc="0" strike="noStrike" sz="1200" u="none">
                <a:solidFill>
                  <a:srgbClr val="1C3D79"/>
                </a:solidFill>
                <a:uFillTx/>
                <a:latin typeface="Sitka Banner"/>
                <a:ea typeface="Sitka Banner"/>
                <a:cs typeface="Sitka Banner"/>
                <a:sym typeface="Sitka Banner"/>
              </a:defRPr>
            </a:pPr>
            <a:endParaRPr b="0" baseline="0" cap="none" i="0" spc="0" strike="noStrike" sz="1200" u="none">
              <a:solidFill>
                <a:srgbClr val="1C3D79"/>
              </a:solidFill>
              <a:uFillTx/>
              <a:latin typeface="Sitka Banner"/>
              <a:ea typeface="Sitka Banner"/>
              <a:cs typeface="Sitka Banner"/>
              <a:sym typeface="Sitka Banner"/>
            </a:endParaRPr>
          </a:p>
          <a:p>
            <a:pPr marL="0" marR="0" indent="0" algn="l" defTabSz="914400" latinLnBrk="0">
              <a:lnSpc>
                <a:spcPct val="100000"/>
              </a:lnSpc>
              <a:spcBef>
                <a:spcPts val="0"/>
              </a:spcBef>
              <a:spcAft>
                <a:spcPts val="0"/>
              </a:spcAft>
              <a:buClrTx/>
              <a:buSzTx/>
              <a:buFontTx/>
              <a:buNone/>
              <a:tabLst/>
              <a:defRPr b="0" baseline="0" cap="none" i="0" spc="0" strike="noStrike" sz="1200" u="none">
                <a:solidFill>
                  <a:srgbClr val="1C3D79"/>
                </a:solidFill>
                <a:uFillTx/>
                <a:latin typeface="Sitka Banner"/>
                <a:ea typeface="Sitka Banner"/>
                <a:cs typeface="Sitka Banner"/>
                <a:sym typeface="Sitka Banner"/>
              </a:defRPr>
            </a:pPr>
            <a:r>
              <a:rPr b="0" baseline="0" cap="none" i="0" spc="0" strike="noStrike" sz="1200" u="none">
                <a:solidFill>
                  <a:srgbClr val="1C3D79"/>
                </a:solidFill>
                <a:uFillTx/>
                <a:latin typeface="Sitka Banner"/>
                <a:ea typeface="Sitka Banner"/>
                <a:cs typeface="Sitka Banner"/>
                <a:sym typeface="Sitka Banner"/>
              </a:rPr>
              <a:t>	</a:t>
            </a:r>
            <a:r>
              <a:rPr b="0" baseline="0" cap="none" i="0" spc="0" strike="noStrike" sz="1200" u="sng">
                <a:solidFill>
                  <a:srgbClr val="1C3D79"/>
                </a:solidFill>
                <a:uFillTx/>
                <a:latin typeface="Sitka Banner"/>
                <a:ea typeface="Sitka Banner"/>
                <a:cs typeface="Sitka Banner"/>
                <a:sym typeface="Sitka Banner"/>
              </a:rPr>
              <a:t>Règle de calcul du niveau de maturité d'un niveau</a:t>
            </a:r>
            <a:endParaRPr b="0" baseline="0" cap="none" i="0" spc="0" strike="noStrike" sz="1200" u="none">
              <a:solidFill>
                <a:srgbClr val="1C3D79"/>
              </a:solidFill>
              <a:uFillTx/>
              <a:latin typeface="Sitka Banner"/>
              <a:ea typeface="Sitka Banner"/>
              <a:cs typeface="Sitka Banner"/>
              <a:sym typeface="Sitka Banner"/>
            </a:endParaRPr>
          </a:p>
          <a:p>
            <a:pPr marL="0" marR="0" indent="0" algn="l" defTabSz="914400" latinLnBrk="0">
              <a:lnSpc>
                <a:spcPct val="100000"/>
              </a:lnSpc>
              <a:spcBef>
                <a:spcPts val="0"/>
              </a:spcBef>
              <a:spcAft>
                <a:spcPts val="0"/>
              </a:spcAft>
              <a:buClrTx/>
              <a:buSzTx/>
              <a:buFontTx/>
              <a:buNone/>
              <a:tabLst/>
              <a:defRPr b="0" baseline="0" cap="none" i="0" spc="0" strike="noStrike" sz="1200" u="none">
                <a:solidFill>
                  <a:srgbClr val="1C3D79"/>
                </a:solidFill>
                <a:uFillTx/>
                <a:latin typeface="Sitka Banner"/>
                <a:ea typeface="Sitka Banner"/>
                <a:cs typeface="Sitka Banner"/>
                <a:sym typeface="Sitka Banner"/>
              </a:defRPr>
            </a:pPr>
            <a:endParaRPr b="0" baseline="0" cap="none" i="0" spc="0" strike="noStrike" sz="1200" u="none">
              <a:solidFill>
                <a:srgbClr val="1C3D79"/>
              </a:solidFill>
              <a:uFillTx/>
              <a:latin typeface="Sitka Banner"/>
              <a:ea typeface="Sitka Banner"/>
              <a:cs typeface="Sitka Banner"/>
              <a:sym typeface="Sitka Banner"/>
            </a:endParaRPr>
          </a:p>
          <a:p>
            <a:pPr marL="0" marR="0" indent="0" algn="l" defTabSz="914400" latinLnBrk="0">
              <a:lnSpc>
                <a:spcPct val="100000"/>
              </a:lnSpc>
              <a:spcBef>
                <a:spcPts val="0"/>
              </a:spcBef>
              <a:spcAft>
                <a:spcPts val="0"/>
              </a:spcAft>
              <a:buClrTx/>
              <a:buSzTx/>
              <a:buFontTx/>
              <a:buNone/>
              <a:tabLst/>
              <a:defRPr b="0" baseline="0" cap="none" i="0" spc="0" strike="noStrike" sz="1200" u="none">
                <a:solidFill>
                  <a:srgbClr val="1C3D79"/>
                </a:solidFill>
                <a:uFillTx/>
                <a:latin typeface="Sitka Banner"/>
                <a:ea typeface="Sitka Banner"/>
                <a:cs typeface="Sitka Banner"/>
                <a:sym typeface="Sitka Banner"/>
              </a:defRPr>
            </a:pPr>
            <a:r>
              <a:rPr b="0" baseline="0" cap="none" i="0" spc="0" strike="noStrike" sz="1200" u="none">
                <a:solidFill>
                  <a:srgbClr val="1C3D79"/>
                </a:solidFill>
                <a:uFillTx/>
                <a:latin typeface="Sitka Banner"/>
                <a:ea typeface="Sitka Banner"/>
                <a:cs typeface="Sitka Banner"/>
                <a:sym typeface="Sitka Banner"/>
              </a:rPr>
              <a:t>Chaque Vecteur est composé de Bonnes pratiques, elles-mêmes décomposées en Critères qui sont associés à un niveau de maturité. </a:t>
            </a:r>
            <a:br>
              <a:rPr b="0" baseline="0" cap="none" i="0" spc="0" strike="noStrike" sz="1200" u="none">
                <a:solidFill>
                  <a:srgbClr val="1C3D79"/>
                </a:solidFill>
                <a:uFillTx/>
                <a:latin typeface="Sitka Banner"/>
                <a:ea typeface="Sitka Banner"/>
                <a:cs typeface="Sitka Banner"/>
                <a:sym typeface="Sitka Banner"/>
              </a:rPr>
            </a:br>
            <a:r>
              <a:rPr b="0" baseline="0" cap="none" i="0" spc="0" strike="noStrike" sz="1200" u="none">
                <a:solidFill>
                  <a:srgbClr val="1C3D79"/>
                </a:solidFill>
                <a:uFillTx/>
                <a:latin typeface="Sitka Banner"/>
                <a:ea typeface="Sitka Banner"/>
                <a:cs typeface="Sitka Banner"/>
                <a:sym typeface="Sitka Banner"/>
              </a:rPr>
              <a:t>L'évaluation des niveaux de maturité permet donc de déterminer le niveau de maturité des Bonnes pratiques et des Vecteurs.</a:t>
            </a:r>
            <a:endParaRPr b="0" baseline="0" cap="none" i="0" spc="0" strike="noStrike" sz="1200" u="none">
              <a:solidFill>
                <a:srgbClr val="FFFFFF"/>
              </a:solidFill>
              <a:uFillTx/>
              <a:latin typeface="Sitka Banner"/>
              <a:ea typeface="Sitka Banner"/>
              <a:cs typeface="Sitka Banner"/>
              <a:sym typeface="Sitka Banner"/>
            </a:endParaRPr>
          </a:p>
          <a:p>
            <a:pPr marL="0" marR="0" indent="0" algn="l" defTabSz="914400" latinLnBrk="0">
              <a:lnSpc>
                <a:spcPct val="100000"/>
              </a:lnSpc>
              <a:spcBef>
                <a:spcPts val="0"/>
              </a:spcBef>
              <a:spcAft>
                <a:spcPts val="0"/>
              </a:spcAft>
              <a:buClrTx/>
              <a:buSzTx/>
              <a:buFontTx/>
              <a:buNone/>
              <a:tabLst/>
              <a:defRPr b="0" baseline="0" cap="none" i="0" spc="0" strike="noStrike" sz="1200" u="none">
                <a:solidFill>
                  <a:srgbClr val="1C3D79"/>
                </a:solidFill>
                <a:uFillTx/>
                <a:latin typeface="Sitka Banner"/>
                <a:ea typeface="Sitka Banner"/>
                <a:cs typeface="Sitka Banner"/>
                <a:sym typeface="Sitka Banner"/>
              </a:defRPr>
            </a:pPr>
            <a:endParaRPr b="0" baseline="0" cap="none" i="0" spc="0" strike="noStrike" sz="1200" u="none">
              <a:solidFill>
                <a:srgbClr val="1C3D79"/>
              </a:solidFill>
              <a:uFillTx/>
              <a:latin typeface="Sitka Banner"/>
              <a:ea typeface="Sitka Banner"/>
              <a:cs typeface="Sitka Banner"/>
              <a:sym typeface="Sitka Banner"/>
            </a:endParaRPr>
          </a:p>
          <a:p>
            <a:pPr marL="0" marR="0" indent="0" algn="l" defTabSz="914400" latinLnBrk="0">
              <a:lnSpc>
                <a:spcPct val="100000"/>
              </a:lnSpc>
              <a:spcBef>
                <a:spcPts val="0"/>
              </a:spcBef>
              <a:spcAft>
                <a:spcPts val="0"/>
              </a:spcAft>
              <a:buClrTx/>
              <a:buSzTx/>
              <a:buFontTx/>
              <a:buNone/>
              <a:tabLst/>
              <a:defRPr b="0" baseline="0" cap="none" i="0" spc="0" strike="noStrike" sz="1200" u="none">
                <a:solidFill>
                  <a:srgbClr val="1C3D79"/>
                </a:solidFill>
                <a:uFillTx/>
                <a:latin typeface="Sitka Banner"/>
                <a:ea typeface="Sitka Banner"/>
                <a:cs typeface="Sitka Banner"/>
                <a:sym typeface="Sitka Banner"/>
              </a:defRPr>
            </a:pPr>
            <a:r>
              <a:rPr b="0" baseline="0" cap="none" i="0" spc="0" strike="noStrike" sz="1200" u="none">
                <a:solidFill>
                  <a:srgbClr val="1C3D79"/>
                </a:solidFill>
                <a:uFillTx/>
                <a:latin typeface="Sitka Banner"/>
                <a:ea typeface="Sitka Banner"/>
                <a:cs typeface="Sitka Banner"/>
                <a:sym typeface="Sitka Banner"/>
              </a:rPr>
              <a:t>Lors de l’évaluation d’un critère, quatre résultats sont possibles pour l’évaluation. Ils se traduisent par une note associée à une couleur :</a:t>
            </a:r>
            <a:endParaRPr b="0" baseline="0" cap="none" i="0" spc="0" strike="noStrike" sz="1200" u="none">
              <a:solidFill>
                <a:srgbClr val="FFFFFF"/>
              </a:solidFill>
              <a:uFillTx/>
              <a:latin typeface="Sitka Banner"/>
              <a:ea typeface="Sitka Banner"/>
              <a:cs typeface="Sitka Banner"/>
              <a:sym typeface="Sitka Banner"/>
            </a:endParaRPr>
          </a:p>
          <a:p>
            <a:pPr marL="0" marR="0" indent="0" algn="l" defTabSz="914400" latinLnBrk="0">
              <a:lnSpc>
                <a:spcPct val="100000"/>
              </a:lnSpc>
              <a:spcBef>
                <a:spcPts val="0"/>
              </a:spcBef>
              <a:spcAft>
                <a:spcPts val="0"/>
              </a:spcAft>
              <a:buClrTx/>
              <a:buSzTx/>
              <a:buFontTx/>
              <a:buNone/>
              <a:tabLst/>
              <a:defRPr b="0" baseline="0" cap="none" i="0" spc="0" strike="noStrike" sz="1200" u="none">
                <a:solidFill>
                  <a:srgbClr val="1C3D79"/>
                </a:solidFill>
                <a:uFillTx/>
                <a:latin typeface="Sitka Banner"/>
                <a:ea typeface="Sitka Banner"/>
                <a:cs typeface="Sitka Banner"/>
                <a:sym typeface="Sitka Banner"/>
              </a:defRPr>
            </a:pPr>
            <a:r>
              <a:rPr b="0" baseline="0" cap="none" i="0" spc="0" strike="noStrike" sz="1200" u="none">
                <a:solidFill>
                  <a:srgbClr val="1C3D79"/>
                </a:solidFill>
                <a:uFillTx/>
                <a:latin typeface="Sitka Banner"/>
                <a:ea typeface="Sitka Banner"/>
                <a:cs typeface="Sitka Banner"/>
                <a:sym typeface="Sitka Banner"/>
              </a:rPr>
              <a:t>	- exigences </a:t>
            </a:r>
            <a:r>
              <a:rPr b="0" baseline="0" cap="none" i="0" spc="0" strike="noStrike" sz="1200" u="none">
                <a:solidFill>
                  <a:srgbClr val="00B050"/>
                </a:solidFill>
                <a:uFillTx/>
                <a:latin typeface="Sitka Banner"/>
                <a:ea typeface="Sitka Banner"/>
                <a:cs typeface="Sitka Banner"/>
                <a:sym typeface="Sitka Banner"/>
              </a:rPr>
              <a:t>respectées</a:t>
            </a:r>
            <a:r>
              <a:rPr b="0" baseline="0" cap="none" i="0" spc="0" strike="noStrike" sz="1200" u="none">
                <a:solidFill>
                  <a:srgbClr val="1C3D79"/>
                </a:solidFill>
                <a:uFillTx/>
                <a:latin typeface="Sitka Banner"/>
                <a:ea typeface="Sitka Banner"/>
                <a:cs typeface="Sitka Banner"/>
                <a:sym typeface="Sitka Banner"/>
              </a:rPr>
              <a:t> -&gt; note 2 et couleur </a:t>
            </a:r>
            <a:r>
              <a:rPr b="0" baseline="0" cap="none" i="0" spc="0" strike="noStrike" sz="1200" u="none">
                <a:solidFill>
                  <a:srgbClr val="00B050"/>
                </a:solidFill>
                <a:uFillTx/>
                <a:latin typeface="Sitka Banner"/>
                <a:ea typeface="Sitka Banner"/>
                <a:cs typeface="Sitka Banner"/>
                <a:sym typeface="Sitka Banner"/>
              </a:rPr>
              <a:t>verte</a:t>
            </a:r>
            <a:endParaRPr b="0" baseline="0" cap="none" i="0" spc="0" strike="noStrike" sz="1200" u="none">
              <a:solidFill>
                <a:srgbClr val="FFFFFF"/>
              </a:solidFill>
              <a:uFillTx/>
              <a:latin typeface="Sitka Banner"/>
              <a:ea typeface="Sitka Banner"/>
              <a:cs typeface="Sitka Banner"/>
              <a:sym typeface="Sitka Banner"/>
            </a:endParaRPr>
          </a:p>
          <a:p>
            <a:pPr marL="0" marR="0" indent="0" algn="l" defTabSz="914400" latinLnBrk="0">
              <a:lnSpc>
                <a:spcPct val="100000"/>
              </a:lnSpc>
              <a:spcBef>
                <a:spcPts val="0"/>
              </a:spcBef>
              <a:spcAft>
                <a:spcPts val="0"/>
              </a:spcAft>
              <a:buClrTx/>
              <a:buSzTx/>
              <a:buFontTx/>
              <a:buNone/>
              <a:tabLst/>
              <a:defRPr b="0" baseline="0" cap="none" i="0" spc="0" strike="noStrike" sz="1200" u="none">
                <a:solidFill>
                  <a:srgbClr val="1C3D79"/>
                </a:solidFill>
                <a:uFillTx/>
                <a:latin typeface="Sitka Banner"/>
                <a:ea typeface="Sitka Banner"/>
                <a:cs typeface="Sitka Banner"/>
                <a:sym typeface="Sitka Banner"/>
              </a:defRPr>
            </a:pPr>
            <a:r>
              <a:rPr b="0" baseline="0" cap="none" i="0" spc="0" strike="noStrike" sz="1200" u="none">
                <a:solidFill>
                  <a:srgbClr val="1C3D79"/>
                </a:solidFill>
                <a:uFillTx/>
                <a:latin typeface="Sitka Banner"/>
                <a:ea typeface="Sitka Banner"/>
                <a:cs typeface="Sitka Banner"/>
                <a:sym typeface="Sitka Banner"/>
              </a:rPr>
              <a:t>	- exigences </a:t>
            </a:r>
            <a:r>
              <a:rPr b="0" baseline="0" cap="none" i="0" spc="0" strike="noStrike" sz="1200" u="none">
                <a:solidFill>
                  <a:srgbClr val="BF9000"/>
                </a:solidFill>
                <a:uFillTx/>
                <a:latin typeface="Sitka Banner"/>
                <a:ea typeface="Sitka Banner"/>
                <a:cs typeface="Sitka Banner"/>
                <a:sym typeface="Sitka Banner"/>
              </a:rPr>
              <a:t>partiellement respectées </a:t>
            </a:r>
            <a:r>
              <a:rPr b="0" baseline="0" cap="none" i="0" spc="0" strike="noStrike" sz="1200" u="none">
                <a:solidFill>
                  <a:srgbClr val="1C3D79"/>
                </a:solidFill>
                <a:uFillTx/>
                <a:latin typeface="Sitka Banner"/>
                <a:ea typeface="Sitka Banner"/>
                <a:cs typeface="Sitka Banner"/>
                <a:sym typeface="Sitka Banner"/>
              </a:rPr>
              <a:t>-&gt; note 1 et  couleur </a:t>
            </a:r>
            <a:r>
              <a:rPr b="0" baseline="0" cap="none" i="0" spc="0" strike="noStrike" sz="1200" u="none">
                <a:solidFill>
                  <a:srgbClr val="BF9000"/>
                </a:solidFill>
                <a:uFillTx/>
                <a:latin typeface="Sitka Banner"/>
                <a:ea typeface="Sitka Banner"/>
                <a:cs typeface="Sitka Banner"/>
                <a:sym typeface="Sitka Banner"/>
              </a:rPr>
              <a:t>jaune</a:t>
            </a:r>
            <a:endParaRPr b="0" baseline="0" cap="none" i="0" spc="0" strike="noStrike" sz="1200" u="none">
              <a:solidFill>
                <a:srgbClr val="FFFFFF"/>
              </a:solidFill>
              <a:uFillTx/>
              <a:latin typeface="Sitka Banner"/>
              <a:ea typeface="Sitka Banner"/>
              <a:cs typeface="Sitka Banner"/>
              <a:sym typeface="Sitka Banner"/>
            </a:endParaRPr>
          </a:p>
          <a:p>
            <a:pPr marL="0" marR="0" indent="0" algn="l" defTabSz="914400" latinLnBrk="0">
              <a:lnSpc>
                <a:spcPct val="100000"/>
              </a:lnSpc>
              <a:spcBef>
                <a:spcPts val="0"/>
              </a:spcBef>
              <a:spcAft>
                <a:spcPts val="0"/>
              </a:spcAft>
              <a:buClrTx/>
              <a:buSzTx/>
              <a:buFontTx/>
              <a:buNone/>
              <a:tabLst/>
              <a:defRPr b="0" baseline="0" cap="none" i="0" spc="0" strike="noStrike" sz="1200" u="none">
                <a:solidFill>
                  <a:srgbClr val="1C3D79"/>
                </a:solidFill>
                <a:uFillTx/>
                <a:latin typeface="Sitka Banner"/>
                <a:ea typeface="Sitka Banner"/>
                <a:cs typeface="Sitka Banner"/>
                <a:sym typeface="Sitka Banner"/>
              </a:defRPr>
            </a:pPr>
            <a:r>
              <a:rPr b="0" baseline="0" cap="none" i="0" spc="0" strike="noStrike" sz="1200" u="none">
                <a:solidFill>
                  <a:srgbClr val="1C3D79"/>
                </a:solidFill>
                <a:uFillTx/>
                <a:latin typeface="Sitka Banner"/>
                <a:ea typeface="Sitka Banner"/>
                <a:cs typeface="Sitka Banner"/>
                <a:sym typeface="Sitka Banner"/>
              </a:rPr>
              <a:t>	- exigences </a:t>
            </a:r>
            <a:r>
              <a:rPr b="0" baseline="0" cap="none" i="0" spc="0" strike="noStrike" sz="1200" u="none">
                <a:solidFill>
                  <a:srgbClr val="C00000"/>
                </a:solidFill>
                <a:uFillTx/>
                <a:latin typeface="Sitka Banner"/>
                <a:ea typeface="Sitka Banner"/>
                <a:cs typeface="Sitka Banner"/>
                <a:sym typeface="Sitka Banner"/>
              </a:rPr>
              <a:t>non respectées </a:t>
            </a:r>
            <a:r>
              <a:rPr b="0" baseline="0" cap="none" i="0" spc="0" strike="noStrike" sz="1200" u="none">
                <a:solidFill>
                  <a:srgbClr val="1C3D79"/>
                </a:solidFill>
                <a:uFillTx/>
                <a:latin typeface="Sitka Banner"/>
                <a:ea typeface="Sitka Banner"/>
                <a:cs typeface="Sitka Banner"/>
                <a:sym typeface="Sitka Banner"/>
              </a:rPr>
              <a:t>-&gt; note </a:t>
            </a:r>
            <a:r>
              <a:rPr b="0" baseline="0" cap="none" i="0" spc="0" strike="noStrike" sz="1200" u="none">
                <a:solidFill>
                  <a:srgbClr val="1C3D79"/>
                </a:solidFill>
                <a:uFillTx/>
                <a:latin typeface="Amasis MT Pro Light"/>
                <a:ea typeface="Amasis MT Pro Light"/>
                <a:cs typeface="Amasis MT Pro Light"/>
                <a:sym typeface="Amasis MT Pro Light"/>
              </a:rPr>
              <a:t>0</a:t>
            </a:r>
            <a:r>
              <a:rPr b="0" baseline="0" cap="none" i="0" spc="0" strike="noStrike" sz="1200" u="none">
                <a:solidFill>
                  <a:srgbClr val="1C3D79"/>
                </a:solidFill>
                <a:uFillTx/>
                <a:latin typeface="Sitka Banner"/>
                <a:ea typeface="Sitka Banner"/>
                <a:cs typeface="Sitka Banner"/>
                <a:sym typeface="Sitka Banner"/>
              </a:rPr>
              <a:t> et couleur </a:t>
            </a:r>
            <a:r>
              <a:rPr b="0" baseline="0" cap="none" i="0" spc="0" strike="noStrike" sz="1200" u="none">
                <a:solidFill>
                  <a:srgbClr val="C00000"/>
                </a:solidFill>
                <a:uFillTx/>
                <a:latin typeface="Sitka Banner"/>
                <a:ea typeface="Sitka Banner"/>
                <a:cs typeface="Sitka Banner"/>
                <a:sym typeface="Sitka Banner"/>
              </a:rPr>
              <a:t>rouge</a:t>
            </a:r>
            <a:endParaRPr b="0" baseline="0" cap="none" i="0" spc="0" strike="noStrike" sz="1200" u="none">
              <a:solidFill>
                <a:srgbClr val="FFFFFF"/>
              </a:solidFill>
              <a:uFillTx/>
              <a:latin typeface="Sitka Banner"/>
              <a:ea typeface="Sitka Banner"/>
              <a:cs typeface="Sitka Banner"/>
              <a:sym typeface="Sitka Banner"/>
            </a:endParaRPr>
          </a:p>
          <a:p>
            <a:pPr marL="0" marR="0" indent="0" algn="l" defTabSz="914400" latinLnBrk="0">
              <a:lnSpc>
                <a:spcPct val="100000"/>
              </a:lnSpc>
              <a:spcBef>
                <a:spcPts val="0"/>
              </a:spcBef>
              <a:spcAft>
                <a:spcPts val="0"/>
              </a:spcAft>
              <a:buClrTx/>
              <a:buSzTx/>
              <a:buFontTx/>
              <a:buNone/>
              <a:tabLst/>
              <a:defRPr b="0" baseline="0" cap="none" i="0" spc="0" strike="noStrike" sz="1200" u="none">
                <a:solidFill>
                  <a:srgbClr val="1C3D79"/>
                </a:solidFill>
                <a:uFillTx/>
                <a:latin typeface="Sitka Banner"/>
                <a:ea typeface="Sitka Banner"/>
                <a:cs typeface="Sitka Banner"/>
                <a:sym typeface="Sitka Banner"/>
              </a:defRPr>
            </a:pPr>
            <a:r>
              <a:rPr b="0" baseline="0" cap="none" i="0" spc="0" strike="noStrike" sz="1200" u="none">
                <a:solidFill>
                  <a:srgbClr val="1C3D79"/>
                </a:solidFill>
                <a:uFillTx/>
                <a:latin typeface="Sitka Banner"/>
                <a:ea typeface="Sitka Banner"/>
                <a:cs typeface="Sitka Banner"/>
                <a:sym typeface="Sitka Banner"/>
              </a:rPr>
              <a:t>	- critère </a:t>
            </a:r>
            <a:r>
              <a:rPr b="0" baseline="0" cap="none" i="0" spc="0" strike="noStrike" sz="1200" u="none">
                <a:solidFill>
                  <a:srgbClr val="808080"/>
                </a:solidFill>
                <a:uFillTx/>
                <a:latin typeface="Sitka Banner"/>
                <a:ea typeface="Sitka Banner"/>
                <a:cs typeface="Sitka Banner"/>
                <a:sym typeface="Sitka Banner"/>
              </a:rPr>
              <a:t>non évalué</a:t>
            </a:r>
            <a:r>
              <a:rPr b="0" baseline="0" cap="none" i="0" spc="0" strike="noStrike" sz="1200" u="none">
                <a:solidFill>
                  <a:srgbClr val="000000"/>
                </a:solidFill>
                <a:uFillTx/>
                <a:latin typeface="Sitka Banner"/>
                <a:ea typeface="Sitka Banner"/>
                <a:cs typeface="Sitka Banner"/>
                <a:sym typeface="Sitka Banner"/>
              </a:rPr>
              <a:t> </a:t>
            </a:r>
            <a:r>
              <a:rPr b="0" baseline="0" cap="none" i="0" spc="0" strike="noStrike" sz="1200" u="none">
                <a:solidFill>
                  <a:srgbClr val="1C3D79"/>
                </a:solidFill>
                <a:uFillTx/>
                <a:latin typeface="Sitka Banner"/>
                <a:ea typeface="Sitka Banner"/>
                <a:cs typeface="Sitka Banner"/>
                <a:sym typeface="Sitka Banner"/>
              </a:rPr>
              <a:t>-&gt; note </a:t>
            </a:r>
            <a:r>
              <a:rPr b="0" baseline="0" cap="none" i="0" spc="0" strike="noStrike" sz="1200" u="none">
                <a:solidFill>
                  <a:srgbClr val="1C3D79"/>
                </a:solidFill>
                <a:uFillTx/>
                <a:latin typeface="Amasis MT Pro Light"/>
                <a:ea typeface="Amasis MT Pro Light"/>
                <a:cs typeface="Amasis MT Pro Light"/>
                <a:sym typeface="Amasis MT Pro Light"/>
              </a:rPr>
              <a:t>0</a:t>
            </a:r>
            <a:r>
              <a:rPr b="0" baseline="0" cap="none" i="0" spc="0" strike="noStrike" sz="1200" u="none">
                <a:solidFill>
                  <a:srgbClr val="1C3D79"/>
                </a:solidFill>
                <a:uFillTx/>
                <a:latin typeface="Sitka Banner"/>
                <a:ea typeface="Sitka Banner"/>
                <a:cs typeface="Sitka Banner"/>
                <a:sym typeface="Sitka Banner"/>
              </a:rPr>
              <a:t> et couleur</a:t>
            </a:r>
            <a:r>
              <a:rPr b="0" baseline="0" cap="none" i="0" spc="0" strike="noStrike" sz="1200" u="none">
                <a:solidFill>
                  <a:srgbClr val="808080"/>
                </a:solidFill>
                <a:uFillTx/>
                <a:latin typeface="Sitka Banner"/>
                <a:ea typeface="Sitka Banner"/>
                <a:cs typeface="Sitka Banner"/>
                <a:sym typeface="Sitka Banner"/>
              </a:rPr>
              <a:t> grise</a:t>
            </a:r>
            <a:endParaRPr b="0" baseline="0" cap="none" i="0" spc="0" strike="noStrike" sz="1200" u="none">
              <a:solidFill>
                <a:srgbClr val="FFFFFF"/>
              </a:solidFill>
              <a:uFillTx/>
              <a:latin typeface="Sitka Banner"/>
              <a:ea typeface="Sitka Banner"/>
              <a:cs typeface="Sitka Banner"/>
              <a:sym typeface="Sitka Banner"/>
            </a:endParaRPr>
          </a:p>
          <a:p>
            <a:pPr marL="0" marR="0" indent="0" algn="l" defTabSz="914400" latinLnBrk="0">
              <a:lnSpc>
                <a:spcPct val="100000"/>
              </a:lnSpc>
              <a:spcBef>
                <a:spcPts val="0"/>
              </a:spcBef>
              <a:spcAft>
                <a:spcPts val="0"/>
              </a:spcAft>
              <a:buClrTx/>
              <a:buSzTx/>
              <a:buFontTx/>
              <a:buNone/>
              <a:tabLst/>
              <a:defRPr b="0" baseline="0" cap="none" i="0" spc="0" strike="noStrike" sz="1200" u="none">
                <a:solidFill>
                  <a:srgbClr val="1C3D79"/>
                </a:solidFill>
                <a:uFillTx/>
                <a:latin typeface="Sitka Banner"/>
                <a:ea typeface="Sitka Banner"/>
                <a:cs typeface="Sitka Banner"/>
                <a:sym typeface="Sitka Banner"/>
              </a:defRPr>
            </a:pPr>
            <a:endParaRPr b="0" baseline="0" cap="none" i="0" spc="0" strike="noStrike" sz="1200" u="none">
              <a:solidFill>
                <a:srgbClr val="1C3D79"/>
              </a:solidFill>
              <a:uFillTx/>
              <a:latin typeface="Sitka Banner"/>
              <a:ea typeface="Sitka Banner"/>
              <a:cs typeface="Sitka Banner"/>
              <a:sym typeface="Sitka Banner"/>
            </a:endParaRPr>
          </a:p>
          <a:p>
            <a:pPr marL="0" marR="0" indent="0" algn="l" defTabSz="914400" latinLnBrk="0">
              <a:lnSpc>
                <a:spcPct val="100000"/>
              </a:lnSpc>
              <a:spcBef>
                <a:spcPts val="0"/>
              </a:spcBef>
              <a:spcAft>
                <a:spcPts val="0"/>
              </a:spcAft>
              <a:buClrTx/>
              <a:buSzTx/>
              <a:buFontTx/>
              <a:buNone/>
              <a:tabLst/>
              <a:defRPr b="0" baseline="0" cap="none" i="0" spc="0" strike="noStrike" sz="1200" u="none">
                <a:solidFill>
                  <a:srgbClr val="1C3D79"/>
                </a:solidFill>
                <a:uFillTx/>
                <a:latin typeface="Sitka Banner"/>
                <a:ea typeface="Sitka Banner"/>
                <a:cs typeface="Sitka Banner"/>
                <a:sym typeface="Sitka Banner"/>
              </a:defRPr>
            </a:pPr>
            <a:r>
              <a:rPr b="0" baseline="0" cap="none" i="0" spc="0" strike="noStrike" sz="1200" u="none">
                <a:solidFill>
                  <a:srgbClr val="1C3D79"/>
                </a:solidFill>
                <a:uFillTx/>
                <a:latin typeface="Sitka Banner"/>
                <a:ea typeface="Sitka Banner"/>
                <a:cs typeface="Sitka Banner"/>
                <a:sym typeface="Sitka Banner"/>
              </a:rPr>
              <a:t>Pour chaque Bonne pratique on calcule ensuite niveau par niveau la maturité, c'est-à-dire, le degré d’atteinte du niveau selon la formule :</a:t>
            </a:r>
            <a:endParaRPr b="0" baseline="0" cap="none" i="0" spc="0" strike="noStrike" sz="1200" u="none">
              <a:solidFill>
                <a:srgbClr val="FFFFFF"/>
              </a:solidFill>
              <a:uFillTx/>
              <a:latin typeface="Sitka Banner"/>
              <a:ea typeface="Sitka Banner"/>
              <a:cs typeface="Sitka Banner"/>
              <a:sym typeface="Sitka Banner"/>
            </a:endParaRPr>
          </a:p>
          <a:p>
            <a:pPr marL="0" marR="0" indent="0" algn="l" defTabSz="914400" latinLnBrk="0">
              <a:lnSpc>
                <a:spcPct val="100000"/>
              </a:lnSpc>
              <a:spcBef>
                <a:spcPts val="0"/>
              </a:spcBef>
              <a:spcAft>
                <a:spcPts val="0"/>
              </a:spcAft>
              <a:buClrTx/>
              <a:buSzTx/>
              <a:buFontTx/>
              <a:buNone/>
              <a:tabLst/>
              <a:defRPr b="0" baseline="0" cap="none" i="0" spc="0" strike="noStrike" sz="1200" u="none">
                <a:solidFill>
                  <a:srgbClr val="1C3D79"/>
                </a:solidFill>
                <a:uFillTx/>
                <a:latin typeface="Sitka Banner"/>
                <a:ea typeface="Sitka Banner"/>
                <a:cs typeface="Sitka Banner"/>
                <a:sym typeface="Sitka Banner"/>
              </a:defRPr>
            </a:pPr>
            <a:endParaRPr b="0" baseline="0" cap="none" i="0" spc="0" strike="noStrike" sz="1200" u="none">
              <a:solidFill>
                <a:srgbClr val="1C3D79"/>
              </a:solidFill>
              <a:uFillTx/>
              <a:latin typeface="Sitka Banner"/>
              <a:ea typeface="Sitka Banner"/>
              <a:cs typeface="Sitka Banner"/>
              <a:sym typeface="Sitka Banner"/>
            </a:endParaRPr>
          </a:p>
          <a:p>
            <a:pPr marL="0" marR="0" indent="0" algn="l" defTabSz="914400" latinLnBrk="0">
              <a:lnSpc>
                <a:spcPct val="100000"/>
              </a:lnSpc>
              <a:spcBef>
                <a:spcPts val="0"/>
              </a:spcBef>
              <a:spcAft>
                <a:spcPts val="0"/>
              </a:spcAft>
              <a:buClrTx/>
              <a:buSzTx/>
              <a:buFontTx/>
              <a:buNone/>
              <a:tabLst/>
              <a:defRPr b="0" baseline="0" cap="none" i="0" spc="0" strike="noStrike" sz="1200" u="none">
                <a:solidFill>
                  <a:srgbClr val="1C3D79"/>
                </a:solidFill>
                <a:uFillTx/>
                <a:latin typeface="Sitka Banner"/>
                <a:ea typeface="Sitka Banner"/>
                <a:cs typeface="Sitka Banner"/>
                <a:sym typeface="Sitka Banner"/>
              </a:defRPr>
            </a:pPr>
            <a:r>
              <a:rPr b="0" baseline="0" cap="none" i="0" spc="0" strike="noStrike" sz="1200" u="none">
                <a:solidFill>
                  <a:srgbClr val="1C3D79"/>
                </a:solidFill>
                <a:uFillTx/>
                <a:latin typeface="Sitka Banner"/>
                <a:ea typeface="Sitka Banner"/>
                <a:cs typeface="Sitka Banner"/>
                <a:sym typeface="Sitka Banner"/>
              </a:rPr>
              <a:t>      Degré atteint pour le niveau = Sommes des notes obtenues / Note maximale possible (c’est-à-dire : Nombre de critères *2)</a:t>
            </a:r>
            <a:endParaRPr b="0" baseline="0" cap="none" i="0" spc="0" strike="noStrike" sz="1200" u="none">
              <a:solidFill>
                <a:srgbClr val="FFFFFF"/>
              </a:solidFill>
              <a:uFillTx/>
              <a:latin typeface="Sitka Banner"/>
              <a:ea typeface="Sitka Banner"/>
              <a:cs typeface="Sitka Banner"/>
              <a:sym typeface="Sitka Banner"/>
            </a:endParaRPr>
          </a:p>
          <a:p>
            <a:pPr marL="0" marR="0" indent="0" algn="l" defTabSz="914400" latinLnBrk="0">
              <a:lnSpc>
                <a:spcPct val="100000"/>
              </a:lnSpc>
              <a:spcBef>
                <a:spcPts val="0"/>
              </a:spcBef>
              <a:spcAft>
                <a:spcPts val="0"/>
              </a:spcAft>
              <a:buClrTx/>
              <a:buSzTx/>
              <a:buFontTx/>
              <a:buNone/>
              <a:tabLst/>
              <a:defRPr b="0" baseline="0" cap="none" i="0" spc="0" strike="noStrike" sz="1200" u="none">
                <a:solidFill>
                  <a:srgbClr val="1C3D79"/>
                </a:solidFill>
                <a:uFillTx/>
                <a:latin typeface="Sitka Banner"/>
                <a:ea typeface="Sitka Banner"/>
                <a:cs typeface="Sitka Banner"/>
                <a:sym typeface="Sitka Banner"/>
              </a:defRPr>
            </a:pPr>
            <a:endParaRPr b="0" baseline="0" cap="none" i="0" spc="0" strike="noStrike" sz="1200" u="none">
              <a:solidFill>
                <a:srgbClr val="1C3D79"/>
              </a:solidFill>
              <a:uFillTx/>
              <a:latin typeface="Sitka Banner"/>
              <a:ea typeface="Sitka Banner"/>
              <a:cs typeface="Sitka Banner"/>
              <a:sym typeface="Sitka Banner"/>
            </a:endParaRPr>
          </a:p>
          <a:p>
            <a:pPr marL="0" marR="0" indent="0" algn="l" defTabSz="914400" latinLnBrk="0">
              <a:lnSpc>
                <a:spcPct val="100000"/>
              </a:lnSpc>
              <a:spcBef>
                <a:spcPts val="0"/>
              </a:spcBef>
              <a:spcAft>
                <a:spcPts val="0"/>
              </a:spcAft>
              <a:buClrTx/>
              <a:buSzTx/>
              <a:buFontTx/>
              <a:buNone/>
              <a:tabLst/>
              <a:defRPr b="0" baseline="0" cap="none" i="0" spc="0" strike="noStrike" sz="1200" u="none">
                <a:solidFill>
                  <a:srgbClr val="1C3D79"/>
                </a:solidFill>
                <a:uFillTx/>
                <a:latin typeface="Sitka Banner"/>
                <a:ea typeface="Sitka Banner"/>
                <a:cs typeface="Sitka Banner"/>
                <a:sym typeface="Sitka Banner"/>
              </a:defRPr>
            </a:pPr>
            <a:br>
              <a:rPr b="0" baseline="0" cap="none" i="0" spc="0" strike="noStrike" sz="1200" u="none">
                <a:solidFill>
                  <a:srgbClr val="1C3D79"/>
                </a:solidFill>
                <a:uFillTx/>
                <a:latin typeface="Sitka Banner"/>
                <a:ea typeface="Sitka Banner"/>
                <a:cs typeface="Sitka Banner"/>
                <a:sym typeface="Sitka Banner"/>
              </a:rPr>
            </a:br>
            <a:br>
              <a:rPr b="0" baseline="0" cap="none" i="0" spc="0" strike="noStrike" sz="1200" u="none">
                <a:solidFill>
                  <a:srgbClr val="1C3D79"/>
                </a:solidFill>
                <a:uFillTx/>
                <a:latin typeface="Sitka Banner"/>
                <a:ea typeface="Sitka Banner"/>
                <a:cs typeface="Sitka Banner"/>
                <a:sym typeface="Sitka Banner"/>
              </a:rPr>
            </a:br>
            <a:r>
              <a:rPr b="0" baseline="0" cap="none" i="0" spc="0" strike="noStrike" sz="1200" u="none">
                <a:solidFill>
                  <a:srgbClr val="1C3D79"/>
                </a:solidFill>
                <a:uFillTx/>
                <a:latin typeface="Sitka Banner"/>
                <a:ea typeface="Sitka Banner"/>
                <a:cs typeface="Sitka Banner"/>
                <a:sym typeface="Sitka Banner"/>
              </a:rPr>
              <a:t>Règle générale : </a:t>
            </a:r>
            <a:endParaRPr b="0" baseline="0" cap="none" i="0" spc="0" strike="noStrike" sz="1200" u="none">
              <a:solidFill>
                <a:srgbClr val="FFFFFF"/>
              </a:solidFill>
              <a:uFillTx/>
              <a:latin typeface="Sitka Banner"/>
              <a:ea typeface="Sitka Banner"/>
              <a:cs typeface="Sitka Banner"/>
              <a:sym typeface="Sitka Banner"/>
            </a:endParaRPr>
          </a:p>
          <a:p>
            <a:pPr marL="0" marR="0" indent="0" algn="l" defTabSz="914400" latinLnBrk="0">
              <a:lnSpc>
                <a:spcPct val="100000"/>
              </a:lnSpc>
              <a:spcBef>
                <a:spcPts val="0"/>
              </a:spcBef>
              <a:spcAft>
                <a:spcPts val="0"/>
              </a:spcAft>
              <a:buClrTx/>
              <a:buSzTx/>
              <a:buFontTx/>
              <a:buNone/>
              <a:tabLst/>
              <a:defRPr b="0" baseline="0" cap="none" i="0" spc="0" strike="noStrike" sz="1200" u="none">
                <a:solidFill>
                  <a:srgbClr val="1C3D79"/>
                </a:solidFill>
                <a:uFillTx/>
                <a:latin typeface="Sitka Banner"/>
                <a:ea typeface="Sitka Banner"/>
                <a:cs typeface="Sitka Banner"/>
                <a:sym typeface="Sitka Banner"/>
              </a:defRPr>
            </a:pPr>
            <a:r>
              <a:rPr b="0" baseline="0" cap="none" i="0" spc="0" strike="noStrike" sz="1200" u="none">
                <a:solidFill>
                  <a:srgbClr val="1C3D79"/>
                </a:solidFill>
                <a:uFillTx/>
                <a:latin typeface="Sitka Banner"/>
                <a:ea typeface="Sitka Banner"/>
                <a:cs typeface="Sitka Banner"/>
                <a:sym typeface="Sitka Banner"/>
              </a:rPr>
              <a:t>	- un niveau est </a:t>
            </a:r>
            <a:r>
              <a:rPr b="1" baseline="0" cap="none" i="0" spc="0" strike="noStrike" sz="1200" u="none">
                <a:solidFill>
                  <a:srgbClr val="1C3D79"/>
                </a:solidFill>
                <a:uFillTx/>
                <a:latin typeface="Sitka Banner"/>
                <a:ea typeface="Sitka Banner"/>
                <a:cs typeface="Sitka Banner"/>
                <a:sym typeface="Sitka Banner"/>
              </a:rPr>
              <a:t>validé</a:t>
            </a:r>
            <a:r>
              <a:rPr b="0" baseline="0" cap="none" i="0" spc="0" strike="noStrike" sz="1200" u="none">
                <a:solidFill>
                  <a:srgbClr val="1C3D79"/>
                </a:solidFill>
                <a:uFillTx/>
                <a:latin typeface="Sitka Banner"/>
                <a:ea typeface="Sitka Banner"/>
                <a:cs typeface="Sitka Banner"/>
                <a:sym typeface="Sitka Banner"/>
              </a:rPr>
              <a:t> lorsque la somme des résultats des critères qui le composent est </a:t>
            </a:r>
            <a:r>
              <a:rPr b="1" baseline="0" cap="none" i="0" spc="0" strike="noStrike" sz="1200" u="none">
                <a:solidFill>
                  <a:srgbClr val="1C3D79"/>
                </a:solidFill>
                <a:uFillTx/>
                <a:latin typeface="Sitka Banner"/>
                <a:ea typeface="Sitka Banner"/>
                <a:cs typeface="Sitka Banner"/>
                <a:sym typeface="Sitka Banner"/>
              </a:rPr>
              <a:t>&gt; 0,6 points de maturité</a:t>
            </a:r>
            <a:r>
              <a:rPr b="0" baseline="0" cap="none" i="0" spc="0" strike="noStrike" sz="1200" u="none">
                <a:solidFill>
                  <a:srgbClr val="1C3D79"/>
                </a:solidFill>
                <a:uFillTx/>
                <a:latin typeface="Sitka Banner"/>
                <a:ea typeface="Sitka Banner"/>
                <a:cs typeface="Sitka Banner"/>
                <a:sym typeface="Sitka Banner"/>
              </a:rPr>
              <a:t>. </a:t>
            </a:r>
            <a:endParaRPr b="0" baseline="0" cap="none" i="0" spc="0" strike="noStrike" sz="1200" u="none">
              <a:solidFill>
                <a:srgbClr val="FFFFFF"/>
              </a:solidFill>
              <a:uFillTx/>
              <a:latin typeface="Sitka Banner"/>
              <a:ea typeface="Sitka Banner"/>
              <a:cs typeface="Sitka Banner"/>
              <a:sym typeface="Sitka Banner"/>
            </a:endParaRPr>
          </a:p>
          <a:p>
            <a:pPr marL="0" marR="0" indent="0" algn="l" defTabSz="914400" latinLnBrk="0">
              <a:lnSpc>
                <a:spcPct val="100000"/>
              </a:lnSpc>
              <a:spcBef>
                <a:spcPts val="0"/>
              </a:spcBef>
              <a:spcAft>
                <a:spcPts val="0"/>
              </a:spcAft>
              <a:buClrTx/>
              <a:buSzTx/>
              <a:buFontTx/>
              <a:buNone/>
              <a:tabLst/>
              <a:defRPr b="0" baseline="0" cap="none" i="0" spc="0" strike="noStrike" sz="1200" u="none">
                <a:solidFill>
                  <a:srgbClr val="1C3D79"/>
                </a:solidFill>
                <a:uFillTx/>
                <a:latin typeface="Sitka Banner"/>
                <a:ea typeface="Sitka Banner"/>
                <a:cs typeface="Sitka Banner"/>
                <a:sym typeface="Sitka Banner"/>
              </a:defRPr>
            </a:pPr>
            <a:r>
              <a:rPr b="0" baseline="0" cap="none" i="0" spc="0" strike="noStrike" sz="1200" u="none">
                <a:solidFill>
                  <a:srgbClr val="1C3D79"/>
                </a:solidFill>
                <a:uFillTx/>
                <a:latin typeface="Sitka Banner"/>
                <a:ea typeface="Sitka Banner"/>
                <a:cs typeface="Sitka Banner"/>
                <a:sym typeface="Sitka Banner"/>
              </a:rPr>
              <a:t>	- on additionne tous les degrés atteints des niveaux </a:t>
            </a:r>
            <a:r>
              <a:rPr b="1" baseline="0" cap="none" i="0" spc="0" strike="noStrike" sz="1200" u="none">
                <a:solidFill>
                  <a:srgbClr val="1C3D79"/>
                </a:solidFill>
                <a:uFillTx/>
                <a:latin typeface="Sitka Banner"/>
                <a:ea typeface="Sitka Banner"/>
                <a:cs typeface="Sitka Banner"/>
                <a:sym typeface="Sitka Banner"/>
              </a:rPr>
              <a:t>validés</a:t>
            </a:r>
            <a:r>
              <a:rPr b="0" baseline="0" cap="none" i="0" spc="0" strike="noStrike" sz="1200" u="none">
                <a:solidFill>
                  <a:srgbClr val="1C3D79"/>
                </a:solidFill>
                <a:uFillTx/>
                <a:latin typeface="Sitka Banner"/>
                <a:ea typeface="Sitka Banner"/>
                <a:cs typeface="Sitka Banner"/>
                <a:sym typeface="Sitka Banner"/>
              </a:rPr>
              <a:t> jusque, et </a:t>
            </a:r>
            <a:r>
              <a:rPr b="1" baseline="0" cap="none" i="0" spc="0" strike="noStrike" sz="1200" u="none">
                <a:solidFill>
                  <a:srgbClr val="1C3D79"/>
                </a:solidFill>
                <a:uFillTx/>
                <a:latin typeface="Sitka Banner"/>
                <a:ea typeface="Sitka Banner"/>
                <a:cs typeface="Sitka Banner"/>
                <a:sym typeface="Sitka Banner"/>
              </a:rPr>
              <a:t>y compris</a:t>
            </a:r>
            <a:r>
              <a:rPr b="0" baseline="0" cap="none" i="0" spc="0" strike="noStrike" sz="1200" u="none">
                <a:solidFill>
                  <a:srgbClr val="1C3D79"/>
                </a:solidFill>
                <a:uFillTx/>
                <a:latin typeface="Sitka Banner"/>
                <a:ea typeface="Sitka Banner"/>
                <a:cs typeface="Sitka Banner"/>
                <a:sym typeface="Sitka Banner"/>
              </a:rPr>
              <a:t>, le </a:t>
            </a:r>
            <a:r>
              <a:rPr b="1" baseline="0" cap="none" i="0" spc="0" strike="noStrike" sz="1200" u="none">
                <a:solidFill>
                  <a:srgbClr val="1C3D79"/>
                </a:solidFill>
                <a:uFillTx/>
                <a:latin typeface="Sitka Banner"/>
                <a:ea typeface="Sitka Banner"/>
                <a:cs typeface="Sitka Banner"/>
                <a:sym typeface="Sitka Banner"/>
              </a:rPr>
              <a:t>premier niveau non-validé</a:t>
            </a:r>
            <a:endParaRPr b="0" baseline="0" cap="none" i="0" spc="0" strike="noStrike" sz="1200" u="none">
              <a:solidFill>
                <a:srgbClr val="FFFFFF"/>
              </a:solidFill>
              <a:uFillTx/>
              <a:latin typeface="Sitka Banner"/>
              <a:ea typeface="Sitka Banner"/>
              <a:cs typeface="Sitka Banner"/>
              <a:sym typeface="Sitka Banner"/>
            </a:endParaRPr>
          </a:p>
          <a:p>
            <a:pPr marL="0" marR="0" indent="0" algn="l" defTabSz="914400" latinLnBrk="0">
              <a:lnSpc>
                <a:spcPct val="100000"/>
              </a:lnSpc>
              <a:spcBef>
                <a:spcPts val="0"/>
              </a:spcBef>
              <a:spcAft>
                <a:spcPts val="0"/>
              </a:spcAft>
              <a:buClrTx/>
              <a:buSzTx/>
              <a:buFontTx/>
              <a:buNone/>
              <a:tabLst/>
              <a:defRPr b="0" baseline="0" cap="none" i="0" spc="0" strike="noStrike" sz="1200" u="none">
                <a:solidFill>
                  <a:srgbClr val="1C3D79"/>
                </a:solidFill>
                <a:uFillTx/>
                <a:latin typeface="Sitka Banner"/>
                <a:ea typeface="Sitka Banner"/>
                <a:cs typeface="Sitka Banner"/>
                <a:sym typeface="Sitka Banner"/>
              </a:defRPr>
            </a:pPr>
            <a:r>
              <a:rPr b="0" baseline="0" cap="none" i="0" spc="0" strike="noStrike" sz="1200" u="none">
                <a:solidFill>
                  <a:srgbClr val="1C3D79"/>
                </a:solidFill>
                <a:uFillTx/>
                <a:latin typeface="Sitka Banner"/>
                <a:ea typeface="Sitka Banner"/>
                <a:cs typeface="Sitka Banner"/>
                <a:sym typeface="Sitka Banner"/>
              </a:rPr>
              <a:t>	- lorsqu'un niveau est </a:t>
            </a:r>
            <a:r>
              <a:rPr b="1" baseline="0" cap="none" i="0" spc="0" strike="noStrike" sz="1200" u="none">
                <a:solidFill>
                  <a:srgbClr val="1C3D79"/>
                </a:solidFill>
                <a:uFillTx/>
                <a:latin typeface="Sitka Banner"/>
                <a:ea typeface="Sitka Banner"/>
                <a:cs typeface="Sitka Banner"/>
                <a:sym typeface="Sitka Banner"/>
              </a:rPr>
              <a:t>non validé </a:t>
            </a:r>
            <a:r>
              <a:rPr b="0" baseline="0" cap="none" i="0" spc="0" strike="noStrike" sz="1200" u="none">
                <a:solidFill>
                  <a:srgbClr val="1C3D79"/>
                </a:solidFill>
                <a:uFillTx/>
                <a:latin typeface="Sitka Banner"/>
                <a:ea typeface="Sitka Banner"/>
                <a:cs typeface="Sitka Banner"/>
                <a:sym typeface="Sitka Banner"/>
              </a:rPr>
              <a:t>(ie. niveau &lt; 0,6) , il </a:t>
            </a:r>
            <a:r>
              <a:rPr b="1" baseline="0" cap="none" i="0" spc="0" strike="noStrike" sz="1200" u="none">
                <a:solidFill>
                  <a:srgbClr val="1C3D79"/>
                </a:solidFill>
                <a:uFillTx/>
                <a:latin typeface="Sitka Banner"/>
                <a:ea typeface="Sitka Banner"/>
                <a:cs typeface="Sitka Banner"/>
                <a:sym typeface="Sitka Banner"/>
              </a:rPr>
              <a:t>vaut </a:t>
            </a:r>
            <a:r>
              <a:rPr b="1" baseline="0" cap="none" i="0" spc="0" strike="noStrike" sz="1200" u="none">
                <a:solidFill>
                  <a:srgbClr val="1C3D79"/>
                </a:solidFill>
                <a:uFillTx/>
                <a:latin typeface="Amasis MT Pro Light"/>
                <a:ea typeface="Amasis MT Pro Light"/>
                <a:cs typeface="Amasis MT Pro Light"/>
                <a:sym typeface="Amasis MT Pro Light"/>
              </a:rPr>
              <a:t>0</a:t>
            </a:r>
            <a:r>
              <a:rPr b="0" baseline="0" cap="none" i="0" spc="0" strike="noStrike" sz="1200" u="none">
                <a:solidFill>
                  <a:srgbClr val="1C3D79"/>
                </a:solidFill>
                <a:uFillTx/>
                <a:latin typeface="Sitka Banner"/>
                <a:ea typeface="Sitka Banner"/>
                <a:cs typeface="Sitka Banner"/>
                <a:sym typeface="Sitka Banner"/>
              </a:rPr>
              <a:t> et tous les niveaux qui suivent aussi, quelle que soit leur évaluation</a:t>
            </a:r>
            <a:endParaRPr b="0" baseline="0" cap="none" i="0" spc="0" strike="noStrike" sz="1200" u="none">
              <a:solidFill>
                <a:srgbClr val="FFFFFF"/>
              </a:solidFill>
              <a:uFillTx/>
              <a:latin typeface="Sitka Banner"/>
              <a:ea typeface="Sitka Banner"/>
              <a:cs typeface="Sitka Banner"/>
              <a:sym typeface="Sitka Banner"/>
            </a:endParaRPr>
          </a:p>
          <a:p>
            <a:pPr marL="0" marR="0" indent="0" algn="l" defTabSz="914400" latinLnBrk="0">
              <a:lnSpc>
                <a:spcPct val="100000"/>
              </a:lnSpc>
              <a:spcBef>
                <a:spcPts val="0"/>
              </a:spcBef>
              <a:spcAft>
                <a:spcPts val="0"/>
              </a:spcAft>
              <a:buClrTx/>
              <a:buSzTx/>
              <a:buFontTx/>
              <a:buNone/>
              <a:tabLst/>
              <a:defRPr b="0" baseline="0" cap="none" i="0" spc="0" strike="noStrike" sz="1200" u="none">
                <a:solidFill>
                  <a:srgbClr val="1C3D79"/>
                </a:solidFill>
                <a:uFillTx/>
                <a:latin typeface="Sitka Banner"/>
                <a:ea typeface="Sitka Banner"/>
                <a:cs typeface="Sitka Banner"/>
                <a:sym typeface="Sitka Banner"/>
              </a:defRPr>
            </a:pPr>
            <a:r>
              <a:rPr b="0" baseline="0" cap="none" i="0" spc="0" strike="noStrike" sz="1200" u="none">
                <a:solidFill>
                  <a:srgbClr val="1C3D79"/>
                </a:solidFill>
                <a:uFillTx/>
                <a:latin typeface="Sitka Banner"/>
                <a:ea typeface="Sitka Banner"/>
                <a:cs typeface="Sitka Banner"/>
                <a:sym typeface="Sitka Banner"/>
              </a:rPr>
              <a:t>	- lorsqu'un niveau n'est évalué par aucun critère (</a:t>
            </a:r>
            <a:r>
              <a:rPr b="1" baseline="0" cap="none" i="0" spc="0" strike="noStrike" sz="1200" u="none">
                <a:solidFill>
                  <a:srgbClr val="1C3D79"/>
                </a:solidFill>
                <a:uFillTx/>
                <a:latin typeface="Sitka Banner"/>
                <a:ea typeface="Sitka Banner"/>
                <a:cs typeface="Sitka Banner"/>
                <a:sym typeface="Sitka Banner"/>
              </a:rPr>
              <a:t>niveau vide</a:t>
            </a:r>
            <a:r>
              <a:rPr b="0" baseline="0" cap="none" i="0" spc="0" strike="noStrike" sz="1200" u="none">
                <a:solidFill>
                  <a:srgbClr val="1C3D79"/>
                </a:solidFill>
                <a:uFillTx/>
                <a:latin typeface="Sitka Banner"/>
                <a:ea typeface="Sitka Banner"/>
                <a:cs typeface="Sitka Banner"/>
                <a:sym typeface="Sitka Banner"/>
              </a:rPr>
              <a:t>), alors il est :</a:t>
            </a:r>
            <a:endParaRPr b="0" baseline="0" cap="none" i="0" spc="0" strike="noStrike" sz="1200" u="none">
              <a:solidFill>
                <a:srgbClr val="FFFFFF"/>
              </a:solidFill>
              <a:uFillTx/>
              <a:latin typeface="Sitka Banner"/>
              <a:ea typeface="Sitka Banner"/>
              <a:cs typeface="Sitka Banner"/>
              <a:sym typeface="Sitka Banner"/>
            </a:endParaRPr>
          </a:p>
          <a:p>
            <a:pPr marL="0" marR="0" indent="0" algn="l" defTabSz="914400" latinLnBrk="0">
              <a:lnSpc>
                <a:spcPct val="100000"/>
              </a:lnSpc>
              <a:spcBef>
                <a:spcPts val="0"/>
              </a:spcBef>
              <a:spcAft>
                <a:spcPts val="0"/>
              </a:spcAft>
              <a:buClrTx/>
              <a:buSzTx/>
              <a:buFontTx/>
              <a:buNone/>
              <a:tabLst/>
              <a:defRPr b="0" baseline="0" cap="none" i="0" spc="0" strike="noStrike" sz="1600" u="none">
                <a:solidFill>
                  <a:srgbClr val="1C3D79"/>
                </a:solidFill>
                <a:uFillTx/>
                <a:latin typeface="Sitka Banner"/>
                <a:ea typeface="Sitka Banner"/>
                <a:cs typeface="Sitka Banner"/>
                <a:sym typeface="Sitka Banner"/>
              </a:defRPr>
            </a:pPr>
            <a:r>
              <a:rPr b="0" baseline="0" cap="none" i="0" spc="0" strike="noStrike" sz="1600" u="none">
                <a:solidFill>
                  <a:srgbClr val="1C3D79"/>
                </a:solidFill>
                <a:uFillTx/>
                <a:latin typeface="Sitka Banner"/>
                <a:ea typeface="Sitka Banner"/>
                <a:cs typeface="Sitka Banner"/>
                <a:sym typeface="Sitka Banner"/>
              </a:rPr>
              <a:t>		• </a:t>
            </a:r>
            <a:r>
              <a:rPr b="0" baseline="0" cap="none" i="0" spc="0" strike="noStrike" sz="1200" u="none">
                <a:solidFill>
                  <a:srgbClr val="1C3D79"/>
                </a:solidFill>
                <a:uFillTx/>
                <a:latin typeface="Sitka Banner"/>
                <a:ea typeface="Sitka Banner"/>
                <a:cs typeface="Sitka Banner"/>
                <a:sym typeface="Sitka Banner"/>
              </a:rPr>
              <a:t>égal à 1 si le prochain niveau non vide est validé à + de 0,6 points, </a:t>
            </a:r>
            <a:endParaRPr b="0" baseline="0" cap="none" i="0" spc="0" strike="noStrike" sz="1600" u="none">
              <a:solidFill>
                <a:srgbClr val="FFFFFF"/>
              </a:solidFill>
              <a:uFillTx/>
              <a:latin typeface="Sitka Banner"/>
              <a:ea typeface="Sitka Banner"/>
              <a:cs typeface="Sitka Banner"/>
              <a:sym typeface="Sitka Banner"/>
            </a:endParaRPr>
          </a:p>
          <a:p>
            <a:pPr marL="0" marR="0" indent="0" algn="l" defTabSz="914400" latinLnBrk="0">
              <a:lnSpc>
                <a:spcPct val="100000"/>
              </a:lnSpc>
              <a:spcBef>
                <a:spcPts val="0"/>
              </a:spcBef>
              <a:spcAft>
                <a:spcPts val="0"/>
              </a:spcAft>
              <a:buClrTx/>
              <a:buSzTx/>
              <a:buFontTx/>
              <a:buNone/>
              <a:tabLst/>
              <a:defRPr b="0" baseline="0" cap="none" i="0" spc="0" strike="noStrike" sz="1200" u="none">
                <a:solidFill>
                  <a:srgbClr val="1C3D79"/>
                </a:solidFill>
                <a:uFillTx/>
                <a:latin typeface="Calibri"/>
                <a:ea typeface="Calibri"/>
                <a:cs typeface="Calibri"/>
                <a:sym typeface="Calibri"/>
              </a:defRPr>
            </a:pPr>
            <a:r>
              <a:rPr b="0" baseline="0" cap="none" i="0" spc="0" strike="noStrike" sz="1200" u="none">
                <a:solidFill>
                  <a:srgbClr val="1C3D79"/>
                </a:solidFill>
                <a:uFillTx/>
                <a:latin typeface="Calibri"/>
                <a:ea typeface="Calibri"/>
                <a:cs typeface="Calibri"/>
                <a:sym typeface="Calibri"/>
              </a:rPr>
              <a:t>		•</a:t>
            </a:r>
            <a:r>
              <a:rPr b="0" baseline="0" cap="none" i="0" spc="0" strike="noStrike" sz="1200" u="none">
                <a:solidFill>
                  <a:srgbClr val="1C3D79"/>
                </a:solidFill>
                <a:uFillTx/>
                <a:latin typeface="Sitka Banner"/>
                <a:ea typeface="Sitka Banner"/>
                <a:cs typeface="Sitka Banner"/>
                <a:sym typeface="Sitka Banner"/>
              </a:rPr>
              <a:t> égal à 0 si le prochain niveau non vide est &lt; 0,6 points. </a:t>
            </a:r>
            <a:endParaRPr b="0" baseline="0" cap="none" i="0" spc="0" strike="noStrike" sz="1200" u="none">
              <a:solidFill>
                <a:srgbClr val="FFFFFF"/>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b="0" baseline="0" cap="none" i="0" spc="0" strike="noStrike" sz="1200" u="none">
                <a:solidFill>
                  <a:srgbClr val="1C3D79"/>
                </a:solidFill>
                <a:uFillTx/>
                <a:latin typeface="Sitka Banner"/>
                <a:ea typeface="Sitka Banner"/>
                <a:cs typeface="Sitka Banner"/>
                <a:sym typeface="Sitka Banner"/>
              </a:defRPr>
            </a:pPr>
            <a:endParaRPr b="0" baseline="0" cap="none" i="0" spc="0" strike="noStrike" sz="1200" u="none">
              <a:solidFill>
                <a:srgbClr val="1C3D79"/>
              </a:solidFill>
              <a:uFillTx/>
              <a:latin typeface="Sitka Banner"/>
              <a:ea typeface="Sitka Banner"/>
              <a:cs typeface="Sitka Banner"/>
              <a:sym typeface="Sitka Banner"/>
            </a:endParaRPr>
          </a:p>
          <a:p>
            <a:pPr marL="0" marR="0" indent="0" algn="l" defTabSz="914400" latinLnBrk="0">
              <a:lnSpc>
                <a:spcPct val="100000"/>
              </a:lnSpc>
              <a:spcBef>
                <a:spcPts val="0"/>
              </a:spcBef>
              <a:spcAft>
                <a:spcPts val="0"/>
              </a:spcAft>
              <a:buClrTx/>
              <a:buSzTx/>
              <a:buFontTx/>
              <a:buNone/>
              <a:tabLst/>
              <a:defRPr b="0" baseline="0" cap="none" i="0" spc="0" strike="noStrike" sz="1200" u="none">
                <a:solidFill>
                  <a:srgbClr val="1C3D79"/>
                </a:solidFill>
                <a:uFillTx/>
                <a:latin typeface="Sitka Banner"/>
                <a:ea typeface="Sitka Banner"/>
                <a:cs typeface="Sitka Banner"/>
                <a:sym typeface="Sitka Banner"/>
              </a:defRPr>
            </a:pPr>
            <a:endParaRPr b="0" baseline="0" cap="none" i="0" spc="0" strike="noStrike" sz="1200" u="none">
              <a:solidFill>
                <a:srgbClr val="1C3D79"/>
              </a:solidFill>
              <a:uFillTx/>
              <a:latin typeface="Sitka Banner"/>
              <a:ea typeface="Sitka Banner"/>
              <a:cs typeface="Sitka Banner"/>
              <a:sym typeface="Sitka Banner"/>
            </a:endParaRPr>
          </a:p>
          <a:p>
            <a:pPr marL="0" marR="0" indent="0" algn="l" defTabSz="914400" latinLnBrk="0">
              <a:lnSpc>
                <a:spcPct val="100000"/>
              </a:lnSpc>
              <a:spcBef>
                <a:spcPts val="0"/>
              </a:spcBef>
              <a:spcAft>
                <a:spcPts val="0"/>
              </a:spcAft>
              <a:buClrTx/>
              <a:buSzTx/>
              <a:buFontTx/>
              <a:buNone/>
              <a:tabLst/>
              <a:defRPr b="0" baseline="0" cap="none" i="0" spc="0" strike="noStrike" sz="1200" u="none">
                <a:solidFill>
                  <a:srgbClr val="1C3D79"/>
                </a:solidFill>
                <a:uFillTx/>
                <a:latin typeface="Sitka Banner"/>
                <a:ea typeface="Sitka Banner"/>
                <a:cs typeface="Sitka Banner"/>
                <a:sym typeface="Sitka Banner"/>
              </a:defRPr>
            </a:pPr>
            <a:r>
              <a:rPr b="0" baseline="0" cap="none" i="0" spc="0" strike="noStrike" sz="1200" u="none">
                <a:solidFill>
                  <a:srgbClr val="1C3D79"/>
                </a:solidFill>
                <a:uFillTx/>
                <a:latin typeface="Sitka Banner"/>
                <a:ea typeface="Sitka Banner"/>
                <a:cs typeface="Sitka Banner"/>
                <a:sym typeface="Sitka Banner"/>
              </a:rPr>
              <a:t>	</a:t>
            </a:r>
            <a:r>
              <a:rPr b="0" baseline="0" cap="none" i="0" spc="0" strike="noStrike" sz="1200" u="sng">
                <a:solidFill>
                  <a:srgbClr val="1C3D79"/>
                </a:solidFill>
                <a:uFillTx/>
                <a:latin typeface="Sitka Banner"/>
                <a:ea typeface="Sitka Banner"/>
                <a:cs typeface="Sitka Banner"/>
                <a:sym typeface="Sitka Banner"/>
              </a:rPr>
              <a:t>Exemples d'application : </a:t>
            </a:r>
            <a:endParaRPr b="0" baseline="0" cap="none" i="0" spc="0" strike="noStrike" sz="1200" u="none">
              <a:solidFill>
                <a:srgbClr val="FFFFFF"/>
              </a:solidFill>
              <a:uFillTx/>
              <a:latin typeface="Sitka Banner"/>
              <a:ea typeface="Sitka Banner"/>
              <a:cs typeface="Sitka Banner"/>
              <a:sym typeface="Sitka Banner"/>
            </a:endParaRPr>
          </a:p>
          <a:p>
            <a:pPr marL="0" marR="0" indent="0" algn="l" defTabSz="914400" latinLnBrk="0">
              <a:lnSpc>
                <a:spcPct val="100000"/>
              </a:lnSpc>
              <a:spcBef>
                <a:spcPts val="0"/>
              </a:spcBef>
              <a:spcAft>
                <a:spcPts val="0"/>
              </a:spcAft>
              <a:buClrTx/>
              <a:buSzTx/>
              <a:buFontTx/>
              <a:buNone/>
              <a:tabLst/>
              <a:defRPr b="0" baseline="0" cap="none" i="0" spc="0" strike="noStrike" sz="1200" u="none">
                <a:solidFill>
                  <a:srgbClr val="1C3D79"/>
                </a:solidFill>
                <a:uFillTx/>
                <a:latin typeface="Sitka Banner"/>
                <a:ea typeface="Sitka Banner"/>
                <a:cs typeface="Sitka Banner"/>
                <a:sym typeface="Sitka Banner"/>
              </a:defRPr>
            </a:pPr>
            <a:endParaRPr b="0" baseline="0" cap="none" i="0" spc="0" strike="noStrike" sz="1200" u="none">
              <a:solidFill>
                <a:srgbClr val="1C3D79"/>
              </a:solidFill>
              <a:uFillTx/>
              <a:latin typeface="Sitka Banner"/>
              <a:ea typeface="Sitka Banner"/>
              <a:cs typeface="Sitka Banner"/>
              <a:sym typeface="Sitka Banner"/>
            </a:endParaRPr>
          </a:p>
          <a:p>
            <a:pPr marL="0" marR="0" indent="0" algn="l" defTabSz="914400" latinLnBrk="0">
              <a:lnSpc>
                <a:spcPct val="100000"/>
              </a:lnSpc>
              <a:spcBef>
                <a:spcPts val="0"/>
              </a:spcBef>
              <a:spcAft>
                <a:spcPts val="0"/>
              </a:spcAft>
              <a:buClrTx/>
              <a:buSzTx/>
              <a:buFontTx/>
              <a:buNone/>
              <a:tabLst/>
              <a:defRPr b="0" baseline="0" cap="none" i="0" spc="0" strike="noStrike" sz="1200" u="none">
                <a:solidFill>
                  <a:srgbClr val="1C3D79"/>
                </a:solidFill>
                <a:uFillTx/>
                <a:latin typeface="Sitka Banner"/>
                <a:ea typeface="Sitka Banner"/>
                <a:cs typeface="Sitka Banner"/>
                <a:sym typeface="Sitka Banner"/>
              </a:defRPr>
            </a:pPr>
            <a:r>
              <a:rPr b="0" baseline="0" cap="none" i="0" spc="0" strike="noStrike" sz="1200" u="none">
                <a:solidFill>
                  <a:srgbClr val="1C3D79"/>
                </a:solidFill>
                <a:uFillTx/>
                <a:latin typeface="Sitka Banner"/>
                <a:ea typeface="Sitka Banner"/>
                <a:cs typeface="Sitka Banner"/>
                <a:sym typeface="Sitka Banner"/>
              </a:rPr>
              <a:t>1. Pour une bonne pratique donnée, chaque niveau dont tous les critères sont respectés rapporte un point de maturité. </a:t>
            </a:r>
            <a:br>
              <a:rPr b="0" baseline="0" cap="none" i="0" spc="0" strike="noStrike" sz="1200" u="none">
                <a:solidFill>
                  <a:srgbClr val="1C3D79"/>
                </a:solidFill>
                <a:uFillTx/>
                <a:latin typeface="Sitka Banner"/>
                <a:ea typeface="Sitka Banner"/>
                <a:cs typeface="Sitka Banner"/>
                <a:sym typeface="Sitka Banner"/>
              </a:rPr>
            </a:br>
            <a:r>
              <a:rPr b="0" baseline="0" cap="none" i="1" spc="0" strike="noStrike" sz="1200" u="none">
                <a:solidFill>
                  <a:srgbClr val="808080"/>
                </a:solidFill>
                <a:uFillTx/>
                <a:latin typeface="Sitka Banner"/>
                <a:ea typeface="Sitka Banner"/>
                <a:cs typeface="Sitka Banner"/>
                <a:sym typeface="Sitka Banner"/>
              </a:rPr>
              <a:t>Donc, par exemple, si tous les critères sont respectés de N1 à N2 puis tous sont non respectés de N3 à N5, on a 2 points. </a:t>
            </a:r>
            <a:endParaRPr b="0" baseline="0" cap="none" i="0" spc="0" strike="noStrike" sz="1200" u="none">
              <a:solidFill>
                <a:srgbClr val="FFFFFF"/>
              </a:solidFill>
              <a:uFillTx/>
              <a:latin typeface="Sitka Banner"/>
              <a:ea typeface="Sitka Banner"/>
              <a:cs typeface="Sitka Banner"/>
              <a:sym typeface="Sitka Banner"/>
            </a:endParaRPr>
          </a:p>
          <a:p>
            <a:pPr marL="0" marR="0" indent="0" algn="l" defTabSz="914400" latinLnBrk="0">
              <a:lnSpc>
                <a:spcPct val="100000"/>
              </a:lnSpc>
              <a:spcBef>
                <a:spcPts val="0"/>
              </a:spcBef>
              <a:spcAft>
                <a:spcPts val="0"/>
              </a:spcAft>
              <a:buClrTx/>
              <a:buSzTx/>
              <a:buFontTx/>
              <a:buNone/>
              <a:tabLst/>
              <a:defRPr b="0" baseline="0" cap="none" i="0" spc="0" strike="noStrike" sz="1200" u="none">
                <a:solidFill>
                  <a:srgbClr val="1C3D79"/>
                </a:solidFill>
                <a:uFillTx/>
                <a:latin typeface="Sitka Banner"/>
                <a:ea typeface="Sitka Banner"/>
                <a:cs typeface="Sitka Banner"/>
                <a:sym typeface="Sitka Banner"/>
              </a:defRPr>
            </a:pPr>
            <a:endParaRPr b="0" baseline="0" cap="none" i="0" spc="0" strike="noStrike" sz="1200" u="none">
              <a:solidFill>
                <a:srgbClr val="1C3D79"/>
              </a:solidFill>
              <a:uFillTx/>
              <a:latin typeface="Sitka Banner"/>
              <a:ea typeface="Sitka Banner"/>
              <a:cs typeface="Sitka Banner"/>
              <a:sym typeface="Sitka Banner"/>
            </a:endParaRPr>
          </a:p>
          <a:p>
            <a:pPr marL="0" marR="0" indent="0" algn="l" defTabSz="914400" latinLnBrk="0">
              <a:lnSpc>
                <a:spcPct val="100000"/>
              </a:lnSpc>
              <a:spcBef>
                <a:spcPts val="0"/>
              </a:spcBef>
              <a:spcAft>
                <a:spcPts val="0"/>
              </a:spcAft>
              <a:buClrTx/>
              <a:buSzTx/>
              <a:buFontTx/>
              <a:buNone/>
              <a:tabLst/>
              <a:defRPr b="0" baseline="0" cap="none" i="0" spc="0" strike="noStrike" sz="1200" u="none">
                <a:solidFill>
                  <a:srgbClr val="1C3D79"/>
                </a:solidFill>
                <a:uFillTx/>
                <a:latin typeface="Sitka Banner"/>
                <a:ea typeface="Sitka Banner"/>
                <a:cs typeface="Sitka Banner"/>
                <a:sym typeface="Sitka Banner"/>
              </a:defRPr>
            </a:pPr>
            <a:r>
              <a:rPr b="0" baseline="0" cap="none" i="0" spc="0" strike="noStrike" sz="1200" u="none">
                <a:solidFill>
                  <a:srgbClr val="1C3D79"/>
                </a:solidFill>
                <a:uFillTx/>
                <a:latin typeface="Sitka Banner"/>
                <a:ea typeface="Sitka Banner"/>
                <a:cs typeface="Sitka Banner"/>
                <a:sym typeface="Sitka Banner"/>
              </a:rPr>
              <a:t>2. Pour une bonne pratique donnée, si un niveau n'atteint pas les 0,6 points requis, les niveaux suivants sont = </a:t>
            </a:r>
            <a:r>
              <a:rPr b="0" baseline="0" cap="none" i="0" spc="0" strike="noStrike" sz="1200" u="none">
                <a:solidFill>
                  <a:srgbClr val="1C3D79"/>
                </a:solidFill>
                <a:uFillTx/>
                <a:latin typeface="Amasis MT Pro Light"/>
                <a:ea typeface="Amasis MT Pro Light"/>
                <a:cs typeface="Amasis MT Pro Light"/>
                <a:sym typeface="Amasis MT Pro Light"/>
              </a:rPr>
              <a:t>0.</a:t>
            </a:r>
            <a:br>
              <a:rPr b="0" baseline="0" cap="none" i="0" spc="0" strike="noStrike" sz="1200" u="none">
                <a:solidFill>
                  <a:srgbClr val="1C3D79"/>
                </a:solidFill>
                <a:uFillTx/>
                <a:latin typeface="Amasis MT Pro Light"/>
                <a:ea typeface="Amasis MT Pro Light"/>
                <a:cs typeface="Amasis MT Pro Light"/>
                <a:sym typeface="Amasis MT Pro Light"/>
              </a:rPr>
            </a:br>
            <a:r>
              <a:rPr b="0" baseline="0" cap="none" i="1" spc="0" strike="noStrike" sz="1200" u="none">
                <a:solidFill>
                  <a:srgbClr val="808080"/>
                </a:solidFill>
                <a:uFillTx/>
                <a:latin typeface="Sitka Banner"/>
                <a:ea typeface="Sitka Banner"/>
                <a:cs typeface="Sitka Banner"/>
                <a:sym typeface="Sitka Banner"/>
              </a:rPr>
              <a:t>Exemple : N1 respecté, N2 respecté, tous les critères du N3 sont partiellement respectés (50% d'évaluation du niveau, soit </a:t>
            </a:r>
            <a:r>
              <a:rPr b="1" baseline="0" cap="none" i="1" spc="0" strike="noStrike" sz="1200" u="none">
                <a:solidFill>
                  <a:srgbClr val="808080"/>
                </a:solidFill>
                <a:uFillTx/>
                <a:latin typeface="Sitka Banner"/>
                <a:ea typeface="Sitka Banner"/>
                <a:cs typeface="Sitka Banner"/>
                <a:sym typeface="Sitka Banner"/>
              </a:rPr>
              <a:t>moins de 60%</a:t>
            </a:r>
            <a:r>
              <a:rPr b="0" baseline="0" cap="none" i="1" spc="0" strike="noStrike" sz="1200" u="none">
                <a:solidFill>
                  <a:srgbClr val="808080"/>
                </a:solidFill>
                <a:uFillTx/>
                <a:latin typeface="Sitka Banner"/>
                <a:ea typeface="Sitka Banner"/>
                <a:cs typeface="Sitka Banner"/>
                <a:sym typeface="Sitka Banner"/>
              </a:rPr>
              <a:t>), N4 et N5 respectés. </a:t>
            </a:r>
            <a:endParaRPr b="0" baseline="0" cap="none" i="0" spc="0" strike="noStrike" sz="1200" u="none">
              <a:solidFill>
                <a:srgbClr val="FFFFFF"/>
              </a:solidFill>
              <a:uFillTx/>
              <a:latin typeface="Sitka Banner"/>
              <a:ea typeface="Sitka Banner"/>
              <a:cs typeface="Sitka Banner"/>
              <a:sym typeface="Sitka Banner"/>
            </a:endParaRPr>
          </a:p>
          <a:p>
            <a:pPr marL="0" marR="0" indent="0" algn="l" defTabSz="914400" latinLnBrk="0">
              <a:lnSpc>
                <a:spcPct val="100000"/>
              </a:lnSpc>
              <a:spcBef>
                <a:spcPts val="0"/>
              </a:spcBef>
              <a:spcAft>
                <a:spcPts val="0"/>
              </a:spcAft>
              <a:buClrTx/>
              <a:buSzTx/>
              <a:buFontTx/>
              <a:buNone/>
              <a:tabLst/>
              <a:defRPr b="0" baseline="0" cap="none" i="1" spc="0" strike="noStrike" sz="1200" u="none">
                <a:solidFill>
                  <a:srgbClr val="808080"/>
                </a:solidFill>
                <a:uFillTx/>
                <a:latin typeface="Sitka Banner"/>
                <a:ea typeface="Sitka Banner"/>
                <a:cs typeface="Sitka Banner"/>
                <a:sym typeface="Sitka Banner"/>
              </a:defRPr>
            </a:pPr>
            <a:r>
              <a:rPr b="0" baseline="0" cap="none" i="1" spc="0" strike="noStrike" sz="1200" u="none">
                <a:solidFill>
                  <a:srgbClr val="808080"/>
                </a:solidFill>
                <a:uFillTx/>
                <a:latin typeface="Sitka Banner"/>
                <a:ea typeface="Sitka Banner"/>
                <a:cs typeface="Sitka Banner"/>
                <a:sym typeface="Sitka Banner"/>
              </a:rPr>
              <a:t>L'on obtient : </a:t>
            </a:r>
            <a:r>
              <a:rPr b="1" baseline="0" cap="none" i="1" spc="0" strike="noStrike" sz="1200" u="none">
                <a:solidFill>
                  <a:srgbClr val="808080"/>
                </a:solidFill>
                <a:uFillTx/>
                <a:latin typeface="Sitka Banner"/>
                <a:ea typeface="Sitka Banner"/>
                <a:cs typeface="Sitka Banner"/>
                <a:sym typeface="Sitka Banner"/>
              </a:rPr>
              <a:t>2,5 points </a:t>
            </a:r>
            <a:r>
              <a:rPr b="0" baseline="0" cap="none" i="1" spc="0" strike="noStrike" sz="1200" u="none">
                <a:solidFill>
                  <a:srgbClr val="808080"/>
                </a:solidFill>
                <a:uFillTx/>
                <a:latin typeface="Sitka Banner"/>
                <a:ea typeface="Sitka Banner"/>
                <a:cs typeface="Sitka Banner"/>
                <a:sym typeface="Sitka Banner"/>
              </a:rPr>
              <a:t>(N1 = 1, N2 = 1, N3 = 0,5 &lt; 0,6 donc N4 = N5 = 0). Ce n'est effectivement pas un passage au niveau supérieur après le N3 mais il y a quand même un gain de points de 0,5. </a:t>
            </a:r>
          </a:p>
        </xdr:txBody>
      </xdr:sp>
      <xdr:sp>
        <xdr:nvSpPr>
          <xdr:cNvPr id="8" name="Rectangle 4"/>
          <xdr:cNvSpPr/>
        </xdr:nvSpPr>
        <xdr:spPr>
          <a:xfrm>
            <a:off x="368311" y="2972541"/>
            <a:ext cx="8336080" cy="365852"/>
          </a:xfrm>
          <a:prstGeom prst="rect">
            <a:avLst/>
          </a:prstGeom>
          <a:noFill/>
          <a:ln w="9525" cap="flat">
            <a:solidFill>
              <a:srgbClr val="26415A"/>
            </a:solidFill>
            <a:prstDash val="solid"/>
            <a:miter lim="800000"/>
          </a:ln>
          <a:effectLst/>
        </xdr:spPr>
        <xdr:txBody>
          <a:bodyPr/>
          <a:lstStyle/>
          <a:p>
            <a:pPr/>
          </a:p>
        </xdr:txBody>
      </xdr:sp>
    </xdr:grpSp>
    <xdr:clientData/>
  </xdr:twoCellAnchor>
  <xdr:twoCellAnchor>
    <xdr:from>
      <xdr:col>10</xdr:col>
      <xdr:colOff>457200</xdr:colOff>
      <xdr:row>2</xdr:row>
      <xdr:rowOff>487408</xdr:rowOff>
    </xdr:from>
    <xdr:to>
      <xdr:col>22</xdr:col>
      <xdr:colOff>561061</xdr:colOff>
      <xdr:row>26</xdr:row>
      <xdr:rowOff>42494</xdr:rowOff>
    </xdr:to>
    <xdr:grpSp>
      <xdr:nvGrpSpPr>
        <xdr:cNvPr id="14" name="Groupe 13"/>
        <xdr:cNvGrpSpPr/>
      </xdr:nvGrpSpPr>
      <xdr:grpSpPr>
        <a:xfrm>
          <a:off x="9220200" y="1287508"/>
          <a:ext cx="10619462" cy="4462367"/>
          <a:chOff x="-19049" y="-291023"/>
          <a:chExt cx="10619461" cy="4462366"/>
        </a:xfrm>
      </xdr:grpSpPr>
      <xdr:grpSp>
        <xdr:nvGrpSpPr>
          <xdr:cNvPr id="12" name="Groupe 6"/>
          <xdr:cNvGrpSpPr/>
        </xdr:nvGrpSpPr>
        <xdr:grpSpPr>
          <a:xfrm>
            <a:off x="-19050" y="-291024"/>
            <a:ext cx="10619462" cy="4462367"/>
            <a:chOff x="-19049" y="-291023"/>
            <a:chExt cx="10619461" cy="4462366"/>
          </a:xfrm>
        </xdr:grpSpPr>
        <xdr:sp>
          <xdr:nvSpPr>
            <xdr:cNvPr id="10" name="Rectangle 3"/>
            <xdr:cNvSpPr/>
          </xdr:nvSpPr>
          <xdr:spPr>
            <a:xfrm>
              <a:off x="-19050" y="-291024"/>
              <a:ext cx="10619462" cy="4462367"/>
            </a:xfrm>
            <a:prstGeom prst="rect">
              <a:avLst/>
            </a:prstGeom>
            <a:solidFill>
              <a:srgbClr val="FFFFFF"/>
            </a:solidFill>
            <a:ln w="12700" cap="flat">
              <a:solidFill>
                <a:srgbClr val="1C3D79"/>
              </a:solidFill>
              <a:prstDash val="solid"/>
              <a:miter lim="800000"/>
            </a:ln>
            <a:effectLst/>
            <a:extLst>
              <a:ext uri="{C572A759-6A51-4108-AA02-DFA0A04FC94B}">
                <ma14:wrappingTextBoxFlag xmlns:ma14="http://schemas.microsoft.com/office/mac/drawingml/2011/main" val="1"/>
              </a:ext>
            </a:extLst>
          </xdr:spPr>
          <xdr:txBody>
            <a:bodyPr wrap="square" lIns="45719" tIns="45719" rIns="45719" bIns="45719" numCol="1" anchor="t">
              <a:noAutofit/>
            </a:bodyPr>
            <a:lstStyle/>
            <a:p>
              <a:pPr marL="0" marR="0" indent="0" algn="ctr" defTabSz="914400" latinLnBrk="0">
                <a:lnSpc>
                  <a:spcPct val="100000"/>
                </a:lnSpc>
                <a:spcBef>
                  <a:spcPts val="0"/>
                </a:spcBef>
                <a:spcAft>
                  <a:spcPts val="0"/>
                </a:spcAft>
                <a:buClrTx/>
                <a:buSzTx/>
                <a:buFontTx/>
                <a:buNone/>
                <a:tabLst/>
                <a:defRPr b="1" baseline="0" cap="none" i="0" spc="0" strike="noStrike" sz="1200" u="sng">
                  <a:solidFill>
                    <a:srgbClr val="1C3D79"/>
                  </a:solidFill>
                  <a:uFillTx/>
                  <a:latin typeface="Sitka Banner"/>
                  <a:ea typeface="Sitka Banner"/>
                  <a:cs typeface="Sitka Banner"/>
                  <a:sym typeface="Sitka Banner"/>
                </a:defRPr>
              </a:pPr>
              <a:r>
                <a:rPr b="1" baseline="0" cap="none" i="0" spc="0" strike="noStrike" sz="1200" u="sng">
                  <a:solidFill>
                    <a:srgbClr val="1C3D79"/>
                  </a:solidFill>
                  <a:uFillTx/>
                  <a:latin typeface="Sitka Banner"/>
                  <a:ea typeface="Sitka Banner"/>
                  <a:cs typeface="Sitka Banner"/>
                  <a:sym typeface="Sitka Banner"/>
                </a:rPr>
                <a:t>Procédure / Mode opératoire</a:t>
              </a:r>
              <a:endParaRPr b="1" baseline="0" cap="none" i="0" spc="0" strike="noStrike" sz="1200" u="sng">
                <a:solidFill>
                  <a:srgbClr val="1C3D79"/>
                </a:solidFill>
                <a:uFillTx/>
                <a:latin typeface="Sitka Banner"/>
                <a:ea typeface="Sitka Banner"/>
                <a:cs typeface="Sitka Banner"/>
                <a:sym typeface="Sitka Banner"/>
              </a:endParaRPr>
            </a:p>
            <a:p>
              <a:pPr marL="0" marR="0" indent="0" algn="l" defTabSz="914400" latinLnBrk="0">
                <a:lnSpc>
                  <a:spcPct val="100000"/>
                </a:lnSpc>
                <a:spcBef>
                  <a:spcPts val="0"/>
                </a:spcBef>
                <a:spcAft>
                  <a:spcPts val="0"/>
                </a:spcAft>
                <a:buClrTx/>
                <a:buSzTx/>
                <a:buFontTx/>
                <a:buNone/>
                <a:tabLst/>
                <a:defRPr b="0" baseline="0" cap="none" i="0" spc="0" strike="noStrike" sz="1200" u="none">
                  <a:solidFill>
                    <a:srgbClr val="1C3D79"/>
                  </a:solidFill>
                  <a:uFillTx/>
                  <a:latin typeface="Sitka Banner"/>
                  <a:ea typeface="Sitka Banner"/>
                  <a:cs typeface="Sitka Banner"/>
                  <a:sym typeface="Sitka Banner"/>
                </a:defRPr>
              </a:pPr>
              <a:endParaRPr b="0" baseline="0" cap="none" i="0" spc="0" strike="noStrike" sz="1200" u="none">
                <a:solidFill>
                  <a:srgbClr val="1C3D79"/>
                </a:solidFill>
                <a:uFillTx/>
                <a:latin typeface="Sitka Banner"/>
                <a:ea typeface="Sitka Banner"/>
                <a:cs typeface="Sitka Banner"/>
                <a:sym typeface="Sitka Banner"/>
              </a:endParaRPr>
            </a:p>
            <a:p>
              <a:pPr marL="0" marR="0" indent="0" algn="l" defTabSz="914400" latinLnBrk="0">
                <a:lnSpc>
                  <a:spcPct val="100000"/>
                </a:lnSpc>
                <a:spcBef>
                  <a:spcPts val="0"/>
                </a:spcBef>
                <a:spcAft>
                  <a:spcPts val="0"/>
                </a:spcAft>
                <a:buClrTx/>
                <a:buSzTx/>
                <a:buFontTx/>
                <a:buNone/>
                <a:tabLst/>
                <a:defRPr b="0" baseline="0" cap="none" i="0" spc="0" strike="noStrike" sz="1200" u="none">
                  <a:solidFill>
                    <a:srgbClr val="1C3D79"/>
                  </a:solidFill>
                  <a:uFillTx/>
                  <a:latin typeface="Sitka Banner"/>
                  <a:ea typeface="Sitka Banner"/>
                  <a:cs typeface="Sitka Banner"/>
                  <a:sym typeface="Sitka Banner"/>
                </a:defRPr>
              </a:pPr>
              <a:endParaRPr b="0" baseline="0" cap="none" i="0" spc="0" strike="noStrike" sz="1200" u="none">
                <a:solidFill>
                  <a:srgbClr val="1C3D79"/>
                </a:solidFill>
                <a:uFillTx/>
                <a:latin typeface="Sitka Banner"/>
                <a:ea typeface="Sitka Banner"/>
                <a:cs typeface="Sitka Banner"/>
                <a:sym typeface="Sitka Banner"/>
              </a:endParaRPr>
            </a:p>
            <a:p>
              <a:pPr marL="0" marR="0" indent="0" algn="l" defTabSz="914400" latinLnBrk="0">
                <a:lnSpc>
                  <a:spcPct val="100000"/>
                </a:lnSpc>
                <a:spcBef>
                  <a:spcPts val="0"/>
                </a:spcBef>
                <a:spcAft>
                  <a:spcPts val="0"/>
                </a:spcAft>
                <a:buClrTx/>
                <a:buSzTx/>
                <a:buFontTx/>
                <a:buNone/>
                <a:tabLst/>
                <a:defRPr b="0" baseline="0" cap="none" i="0" spc="0" strike="noStrike" sz="1200" u="none">
                  <a:solidFill>
                    <a:srgbClr val="1C3D79"/>
                  </a:solidFill>
                  <a:uFillTx/>
                  <a:latin typeface="Sitka Banner"/>
                  <a:ea typeface="Sitka Banner"/>
                  <a:cs typeface="Sitka Banner"/>
                  <a:sym typeface="Sitka Banner"/>
                </a:defRPr>
              </a:pPr>
              <a:r>
                <a:rPr b="0" baseline="0" cap="none" i="0" spc="0" strike="noStrike" sz="1200" u="none">
                  <a:solidFill>
                    <a:srgbClr val="1C3D79"/>
                  </a:solidFill>
                  <a:uFillTx/>
                  <a:latin typeface="Sitka Banner"/>
                  <a:ea typeface="Sitka Banner"/>
                  <a:cs typeface="Sitka Banner"/>
                  <a:sym typeface="Sitka Banner"/>
                </a:rPr>
                <a:t>1. Renseigner la </a:t>
              </a:r>
              <a:r>
                <a:rPr b="1" baseline="0" cap="none" i="0" spc="0" strike="noStrike" sz="1200" u="none">
                  <a:solidFill>
                    <a:srgbClr val="8FAADC"/>
                  </a:solidFill>
                  <a:uFillTx/>
                  <a:latin typeface="Sitka Banner"/>
                  <a:ea typeface="Sitka Banner"/>
                  <a:cs typeface="Sitka Banner"/>
                  <a:sym typeface="Sitka Banner"/>
                </a:rPr>
                <a:t>Fiche identité</a:t>
              </a:r>
              <a:r>
                <a:rPr b="1" baseline="0" cap="none" i="0" spc="0" strike="noStrike" sz="1200" u="none">
                  <a:solidFill>
                    <a:srgbClr val="B4C7E7"/>
                  </a:solidFill>
                  <a:uFillTx/>
                  <a:latin typeface="Sitka Banner"/>
                  <a:ea typeface="Sitka Banner"/>
                  <a:cs typeface="Sitka Banner"/>
                  <a:sym typeface="Sitka Banner"/>
                </a:rPr>
                <a:t> </a:t>
              </a:r>
              <a:r>
                <a:rPr b="0" baseline="0" cap="none" i="0" spc="0" strike="noStrike" sz="1200" u="none">
                  <a:solidFill>
                    <a:srgbClr val="1C3D79"/>
                  </a:solidFill>
                  <a:uFillTx/>
                  <a:latin typeface="Sitka Banner"/>
                  <a:ea typeface="Sitka Banner"/>
                  <a:cs typeface="Sitka Banner"/>
                  <a:sym typeface="Sitka Banner"/>
                </a:rPr>
                <a:t>de l'entreprise dans l'onglet du même nom. </a:t>
              </a:r>
              <a:endParaRPr b="0" baseline="0" cap="none" i="0" spc="0" strike="noStrike" sz="1200" u="none">
                <a:solidFill>
                  <a:srgbClr val="FFFFFF"/>
                </a:solidFill>
                <a:uFillTx/>
                <a:latin typeface="Sitka Banner"/>
                <a:ea typeface="Sitka Banner"/>
                <a:cs typeface="Sitka Banner"/>
                <a:sym typeface="Sitka Banner"/>
              </a:endParaRPr>
            </a:p>
            <a:p>
              <a:pPr marL="0" marR="0" indent="0" algn="l" defTabSz="914400" latinLnBrk="0">
                <a:lnSpc>
                  <a:spcPct val="100000"/>
                </a:lnSpc>
                <a:spcBef>
                  <a:spcPts val="0"/>
                </a:spcBef>
                <a:spcAft>
                  <a:spcPts val="0"/>
                </a:spcAft>
                <a:buClrTx/>
                <a:buSzTx/>
                <a:buFontTx/>
                <a:buNone/>
                <a:tabLst/>
                <a:defRPr b="0" baseline="0" cap="none" i="0" spc="0" strike="noStrike" sz="1200" u="none">
                  <a:solidFill>
                    <a:srgbClr val="1C3D79"/>
                  </a:solidFill>
                  <a:uFillTx/>
                  <a:latin typeface="Sitka Banner"/>
                  <a:ea typeface="Sitka Banner"/>
                  <a:cs typeface="Sitka Banner"/>
                  <a:sym typeface="Sitka Banner"/>
                </a:defRPr>
              </a:pPr>
              <a:endParaRPr b="0" baseline="0" cap="none" i="0" spc="0" strike="noStrike" sz="1200" u="none">
                <a:solidFill>
                  <a:srgbClr val="1C3D79"/>
                </a:solidFill>
                <a:uFillTx/>
                <a:latin typeface="Sitka Banner"/>
                <a:ea typeface="Sitka Banner"/>
                <a:cs typeface="Sitka Banner"/>
                <a:sym typeface="Sitka Banner"/>
              </a:endParaRPr>
            </a:p>
            <a:p>
              <a:pPr marL="0" marR="0" indent="0" algn="l" defTabSz="914400" latinLnBrk="0">
                <a:lnSpc>
                  <a:spcPct val="100000"/>
                </a:lnSpc>
                <a:spcBef>
                  <a:spcPts val="0"/>
                </a:spcBef>
                <a:spcAft>
                  <a:spcPts val="0"/>
                </a:spcAft>
                <a:buClrTx/>
                <a:buSzTx/>
                <a:buFontTx/>
                <a:buNone/>
                <a:tabLst/>
                <a:defRPr b="0" baseline="0" cap="none" i="0" spc="0" strike="noStrike" sz="1200" u="none">
                  <a:solidFill>
                    <a:srgbClr val="1C3D79"/>
                  </a:solidFill>
                  <a:uFillTx/>
                  <a:latin typeface="Sitka Banner"/>
                  <a:ea typeface="Sitka Banner"/>
                  <a:cs typeface="Sitka Banner"/>
                  <a:sym typeface="Sitka Banner"/>
                </a:defRPr>
              </a:pPr>
              <a:r>
                <a:rPr b="0" baseline="0" cap="none" i="0" spc="0" strike="noStrike" sz="1200" u="none">
                  <a:solidFill>
                    <a:srgbClr val="1C3D79"/>
                  </a:solidFill>
                  <a:uFillTx/>
                  <a:latin typeface="Sitka Banner"/>
                  <a:ea typeface="Sitka Banner"/>
                  <a:cs typeface="Sitka Banner"/>
                  <a:sym typeface="Sitka Banner"/>
                </a:rPr>
                <a:t>2. Se rendre dans chacun des 13 questionnaires </a:t>
              </a:r>
              <a:r>
                <a:rPr b="1" baseline="0" cap="none" i="0" spc="0" strike="noStrike" sz="1200" u="none">
                  <a:solidFill>
                    <a:srgbClr val="0079A4"/>
                  </a:solidFill>
                  <a:uFillTx/>
                  <a:latin typeface="Sitka Banner"/>
                  <a:ea typeface="Sitka Banner"/>
                  <a:cs typeface="Sitka Banner"/>
                  <a:sym typeface="Sitka Banner"/>
                </a:rPr>
                <a:t>VN_Quest </a:t>
              </a:r>
              <a:r>
                <a:rPr b="0" baseline="0" cap="none" i="0" spc="0" strike="noStrike" sz="1200" u="none">
                  <a:solidFill>
                    <a:srgbClr val="1C3D79"/>
                  </a:solidFill>
                  <a:uFillTx/>
                  <a:latin typeface="Sitka Banner"/>
                  <a:ea typeface="Sitka Banner"/>
                  <a:cs typeface="Sitka Banner"/>
                  <a:sym typeface="Sitka Banner"/>
                </a:rPr>
                <a:t>pour :</a:t>
              </a:r>
              <a:endParaRPr b="0" baseline="0" cap="none" i="0" spc="0" strike="noStrike" sz="1200" u="none">
                <a:solidFill>
                  <a:srgbClr val="FFFFFF"/>
                </a:solidFill>
                <a:uFillTx/>
                <a:latin typeface="Sitka Banner"/>
                <a:ea typeface="Sitka Banner"/>
                <a:cs typeface="Sitka Banner"/>
                <a:sym typeface="Sitka Banner"/>
              </a:endParaRPr>
            </a:p>
            <a:p>
              <a:pPr marL="0" marR="0" indent="0" algn="l" defTabSz="914400" latinLnBrk="0">
                <a:lnSpc>
                  <a:spcPct val="100000"/>
                </a:lnSpc>
                <a:spcBef>
                  <a:spcPts val="0"/>
                </a:spcBef>
                <a:spcAft>
                  <a:spcPts val="0"/>
                </a:spcAft>
                <a:buClrTx/>
                <a:buSzTx/>
                <a:buFontTx/>
                <a:buNone/>
                <a:tabLst/>
                <a:defRPr b="0" baseline="0" cap="none" i="0" spc="0" strike="noStrike" sz="1200" u="none">
                  <a:solidFill>
                    <a:srgbClr val="1C3D79"/>
                  </a:solidFill>
                  <a:uFillTx/>
                  <a:latin typeface="Sitka Banner"/>
                  <a:ea typeface="Sitka Banner"/>
                  <a:cs typeface="Sitka Banner"/>
                  <a:sym typeface="Sitka Banner"/>
                </a:defRPr>
              </a:pPr>
              <a:endParaRPr b="0" baseline="0" cap="none" i="0" spc="0" strike="noStrike" sz="1200" u="none">
                <a:solidFill>
                  <a:srgbClr val="1C3D79"/>
                </a:solidFill>
                <a:uFillTx/>
                <a:latin typeface="Sitka Banner"/>
                <a:ea typeface="Sitka Banner"/>
                <a:cs typeface="Sitka Banner"/>
                <a:sym typeface="Sitka Banner"/>
              </a:endParaRPr>
            </a:p>
            <a:p>
              <a:pPr marL="0" marR="0" indent="0" algn="l" defTabSz="914400" latinLnBrk="0">
                <a:lnSpc>
                  <a:spcPct val="100000"/>
                </a:lnSpc>
                <a:spcBef>
                  <a:spcPts val="0"/>
                </a:spcBef>
                <a:spcAft>
                  <a:spcPts val="0"/>
                </a:spcAft>
                <a:buClrTx/>
                <a:buSzTx/>
                <a:buFontTx/>
                <a:buNone/>
                <a:tabLst/>
                <a:defRPr b="0" baseline="0" cap="none" i="0" spc="0" strike="noStrike" sz="1200" u="none">
                  <a:solidFill>
                    <a:srgbClr val="1C3D79"/>
                  </a:solidFill>
                  <a:uFillTx/>
                  <a:latin typeface="Sitka Banner"/>
                  <a:ea typeface="Sitka Banner"/>
                  <a:cs typeface="Sitka Banner"/>
                  <a:sym typeface="Sitka Banner"/>
                </a:defRPr>
              </a:pPr>
              <a:r>
                <a:rPr b="0" baseline="0" cap="none" i="0" spc="0" strike="noStrike" sz="1200" u="none">
                  <a:solidFill>
                    <a:srgbClr val="1C3D79"/>
                  </a:solidFill>
                  <a:uFillTx/>
                  <a:latin typeface="Sitka Banner"/>
                  <a:ea typeface="Sitka Banner"/>
                  <a:cs typeface="Sitka Banner"/>
                  <a:sym typeface="Sitka Banner"/>
                </a:rPr>
                <a:t>	- renseigner le niveau de réalisation de chaque critère de la colonne "Evaluation",</a:t>
              </a:r>
              <a:endParaRPr b="0" baseline="0" cap="none" i="0" spc="0" strike="noStrike" sz="1200" u="none">
                <a:solidFill>
                  <a:srgbClr val="FFFFFF"/>
                </a:solidFill>
                <a:uFillTx/>
                <a:latin typeface="Sitka Banner"/>
                <a:ea typeface="Sitka Banner"/>
                <a:cs typeface="Sitka Banner"/>
                <a:sym typeface="Sitka Banner"/>
              </a:endParaRPr>
            </a:p>
            <a:p>
              <a:pPr marL="0" marR="0" indent="0" algn="l" defTabSz="914400" latinLnBrk="0">
                <a:lnSpc>
                  <a:spcPct val="100000"/>
                </a:lnSpc>
                <a:spcBef>
                  <a:spcPts val="0"/>
                </a:spcBef>
                <a:spcAft>
                  <a:spcPts val="0"/>
                </a:spcAft>
                <a:buClrTx/>
                <a:buSzTx/>
                <a:buFontTx/>
                <a:buNone/>
                <a:tabLst/>
                <a:defRPr b="0" baseline="0" cap="none" i="0" spc="0" strike="noStrike" sz="1200" u="none">
                  <a:solidFill>
                    <a:srgbClr val="1C3D79"/>
                  </a:solidFill>
                  <a:uFillTx/>
                  <a:latin typeface="Sitka Banner"/>
                  <a:ea typeface="Sitka Banner"/>
                  <a:cs typeface="Sitka Banner"/>
                  <a:sym typeface="Sitka Banner"/>
                </a:defRPr>
              </a:pPr>
              <a:r>
                <a:rPr b="0" baseline="0" cap="none" i="0" spc="0" strike="noStrike" sz="1200" u="none">
                  <a:solidFill>
                    <a:srgbClr val="1C3D79"/>
                  </a:solidFill>
                  <a:uFillTx/>
                  <a:latin typeface="Sitka Banner"/>
                  <a:ea typeface="Sitka Banner"/>
                  <a:cs typeface="Sitka Banner"/>
                  <a:sym typeface="Sitka Banner"/>
                </a:rPr>
                <a:t>	- éventuellement, commenter son choix dans la colonne "Commentaire(s) de l'auditeur",	</a:t>
              </a:r>
              <a:endParaRPr b="0" baseline="0" cap="none" i="0" spc="0" strike="noStrike" sz="1200" u="none">
                <a:solidFill>
                  <a:srgbClr val="FFFFFF"/>
                </a:solidFill>
                <a:uFillTx/>
                <a:latin typeface="Sitka Banner"/>
                <a:ea typeface="Sitka Banner"/>
                <a:cs typeface="Sitka Banner"/>
                <a:sym typeface="Sitka Banner"/>
              </a:endParaRPr>
            </a:p>
            <a:p>
              <a:pPr marL="0" marR="0" indent="0" algn="l" defTabSz="914400" latinLnBrk="0">
                <a:lnSpc>
                  <a:spcPct val="100000"/>
                </a:lnSpc>
                <a:spcBef>
                  <a:spcPts val="0"/>
                </a:spcBef>
                <a:spcAft>
                  <a:spcPts val="0"/>
                </a:spcAft>
                <a:buClrTx/>
                <a:buSzTx/>
                <a:buFontTx/>
                <a:buNone/>
                <a:tabLst/>
                <a:defRPr b="0" baseline="0" cap="none" i="0" spc="0" strike="noStrike" sz="1200" u="none">
                  <a:solidFill>
                    <a:srgbClr val="1C3D79"/>
                  </a:solidFill>
                  <a:uFillTx/>
                  <a:latin typeface="Sitka Banner"/>
                  <a:ea typeface="Sitka Banner"/>
                  <a:cs typeface="Sitka Banner"/>
                  <a:sym typeface="Sitka Banner"/>
                </a:defRPr>
              </a:pPr>
              <a:r>
                <a:rPr b="0" baseline="0" cap="none" i="0" spc="0" strike="noStrike" sz="1200" u="none">
                  <a:solidFill>
                    <a:srgbClr val="1C3D79"/>
                  </a:solidFill>
                  <a:uFillTx/>
                  <a:latin typeface="Sitka Banner"/>
                  <a:ea typeface="Sitka Banner"/>
                  <a:cs typeface="Sitka Banner"/>
                  <a:sym typeface="Sitka Banner"/>
                </a:rPr>
                <a:t>	- éventuellement, joindre des références ou des fichiers (colonnes "Preuve(s)").</a:t>
              </a:r>
              <a:endParaRPr b="0" baseline="0" cap="none" i="0" spc="0" strike="noStrike" sz="1200" u="none">
                <a:solidFill>
                  <a:srgbClr val="FFFFFF"/>
                </a:solidFill>
                <a:uFillTx/>
                <a:latin typeface="Sitka Banner"/>
                <a:ea typeface="Sitka Banner"/>
                <a:cs typeface="Sitka Banner"/>
                <a:sym typeface="Sitka Banner"/>
              </a:endParaRPr>
            </a:p>
            <a:p>
              <a:pPr marL="0" marR="0" indent="0" algn="l" defTabSz="914400" latinLnBrk="0">
                <a:lnSpc>
                  <a:spcPct val="100000"/>
                </a:lnSpc>
                <a:spcBef>
                  <a:spcPts val="0"/>
                </a:spcBef>
                <a:spcAft>
                  <a:spcPts val="0"/>
                </a:spcAft>
                <a:buClrTx/>
                <a:buSzTx/>
                <a:buFontTx/>
                <a:buNone/>
                <a:tabLst/>
                <a:defRPr b="0" baseline="0" cap="none" i="0" spc="0" strike="noStrike" sz="1200" u="none">
                  <a:solidFill>
                    <a:srgbClr val="1C3D79"/>
                  </a:solidFill>
                  <a:uFillTx/>
                  <a:latin typeface="Sitka Banner"/>
                  <a:ea typeface="Sitka Banner"/>
                  <a:cs typeface="Sitka Banner"/>
                  <a:sym typeface="Sitka Banner"/>
                </a:defRPr>
              </a:pPr>
              <a:endParaRPr b="0" baseline="0" cap="none" i="0" spc="0" strike="noStrike" sz="1200" u="none">
                <a:solidFill>
                  <a:srgbClr val="1C3D79"/>
                </a:solidFill>
                <a:uFillTx/>
                <a:latin typeface="Sitka Banner"/>
                <a:ea typeface="Sitka Banner"/>
                <a:cs typeface="Sitka Banner"/>
                <a:sym typeface="Sitka Banner"/>
              </a:endParaRPr>
            </a:p>
            <a:p>
              <a:pPr marL="0" marR="0" indent="0" algn="l" defTabSz="914400" latinLnBrk="0">
                <a:lnSpc>
                  <a:spcPct val="100000"/>
                </a:lnSpc>
                <a:spcBef>
                  <a:spcPts val="0"/>
                </a:spcBef>
                <a:spcAft>
                  <a:spcPts val="0"/>
                </a:spcAft>
                <a:buClrTx/>
                <a:buSzTx/>
                <a:buFontTx/>
                <a:buNone/>
                <a:tabLst/>
                <a:defRPr b="0" baseline="0" cap="none" i="0" spc="0" strike="noStrike" sz="1200" u="none">
                  <a:solidFill>
                    <a:srgbClr val="1C3D79"/>
                  </a:solidFill>
                  <a:uFillTx/>
                  <a:latin typeface="Sitka Banner"/>
                  <a:ea typeface="Sitka Banner"/>
                  <a:cs typeface="Sitka Banner"/>
                  <a:sym typeface="Sitka Banner"/>
                </a:defRPr>
              </a:pPr>
              <a:r>
                <a:rPr b="0" baseline="0" cap="none" i="0" spc="0" strike="noStrike" sz="1200" u="none">
                  <a:solidFill>
                    <a:srgbClr val="1C3D79"/>
                  </a:solidFill>
                  <a:uFillTx/>
                  <a:latin typeface="Sitka Banner"/>
                  <a:ea typeface="Sitka Banner"/>
                  <a:cs typeface="Sitka Banner"/>
                  <a:sym typeface="Sitka Banner"/>
                </a:rPr>
                <a:t>3. Se rendre dans chacun des 13 onglets de synthèse </a:t>
              </a:r>
              <a:r>
                <a:rPr b="1" baseline="0" cap="none" i="0" spc="0" strike="noStrike" sz="1200" u="none">
                  <a:solidFill>
                    <a:srgbClr val="0097CC"/>
                  </a:solidFill>
                  <a:uFillTx/>
                  <a:latin typeface="Sitka Banner"/>
                  <a:ea typeface="Sitka Banner"/>
                  <a:cs typeface="Sitka Banner"/>
                  <a:sym typeface="Sitka Banner"/>
                </a:rPr>
                <a:t>VN_NomDuVecteur</a:t>
              </a:r>
              <a:r>
                <a:rPr b="0" baseline="0" cap="none" i="0" spc="0" strike="noStrike" sz="1200" u="none">
                  <a:solidFill>
                    <a:srgbClr val="1C3D79"/>
                  </a:solidFill>
                  <a:uFillTx/>
                  <a:latin typeface="Sitka Banner"/>
                  <a:ea typeface="Sitka Banner"/>
                  <a:cs typeface="Sitka Banner"/>
                  <a:sym typeface="Sitka Banner"/>
                </a:rPr>
                <a:t> pour :</a:t>
              </a:r>
              <a:endParaRPr b="0" baseline="0" cap="none" i="0" spc="0" strike="noStrike" sz="1200" u="none">
                <a:solidFill>
                  <a:srgbClr val="FFFFFF"/>
                </a:solidFill>
                <a:uFillTx/>
                <a:latin typeface="Sitka Banner"/>
                <a:ea typeface="Sitka Banner"/>
                <a:cs typeface="Sitka Banner"/>
                <a:sym typeface="Sitka Banner"/>
              </a:endParaRPr>
            </a:p>
            <a:p>
              <a:pPr marL="0" marR="0" indent="0" algn="l" defTabSz="914400" latinLnBrk="0">
                <a:lnSpc>
                  <a:spcPct val="100000"/>
                </a:lnSpc>
                <a:spcBef>
                  <a:spcPts val="0"/>
                </a:spcBef>
                <a:spcAft>
                  <a:spcPts val="0"/>
                </a:spcAft>
                <a:buClrTx/>
                <a:buSzTx/>
                <a:buFontTx/>
                <a:buNone/>
                <a:tabLst/>
                <a:defRPr b="0" baseline="0" cap="none" i="0" spc="0" strike="noStrike" sz="1200" u="none">
                  <a:solidFill>
                    <a:srgbClr val="1C3D79"/>
                  </a:solidFill>
                  <a:uFillTx/>
                  <a:latin typeface="Sitka Banner"/>
                  <a:ea typeface="Sitka Banner"/>
                  <a:cs typeface="Sitka Banner"/>
                  <a:sym typeface="Sitka Banner"/>
                </a:defRPr>
              </a:pPr>
              <a:endParaRPr b="0" baseline="0" cap="none" i="0" spc="0" strike="noStrike" sz="1200" u="none">
                <a:solidFill>
                  <a:srgbClr val="1C3D79"/>
                </a:solidFill>
                <a:uFillTx/>
                <a:latin typeface="Sitka Banner"/>
                <a:ea typeface="Sitka Banner"/>
                <a:cs typeface="Sitka Banner"/>
                <a:sym typeface="Sitka Banner"/>
              </a:endParaRPr>
            </a:p>
            <a:p>
              <a:pPr marL="0" marR="0" indent="0" algn="l" defTabSz="914400" latinLnBrk="0">
                <a:lnSpc>
                  <a:spcPct val="100000"/>
                </a:lnSpc>
                <a:spcBef>
                  <a:spcPts val="0"/>
                </a:spcBef>
                <a:spcAft>
                  <a:spcPts val="0"/>
                </a:spcAft>
                <a:buClrTx/>
                <a:buSzTx/>
                <a:buFontTx/>
                <a:buNone/>
                <a:tabLst/>
                <a:defRPr b="0" baseline="0" cap="none" i="0" spc="0" strike="noStrike" sz="1200" u="none">
                  <a:solidFill>
                    <a:srgbClr val="1C3D79"/>
                  </a:solidFill>
                  <a:uFillTx/>
                  <a:latin typeface="Sitka Banner"/>
                  <a:ea typeface="Sitka Banner"/>
                  <a:cs typeface="Sitka Banner"/>
                  <a:sym typeface="Sitka Banner"/>
                </a:defRPr>
              </a:pPr>
              <a:r>
                <a:rPr b="0" baseline="0" cap="none" i="0" spc="0" strike="noStrike" sz="1200" u="none">
                  <a:solidFill>
                    <a:srgbClr val="1C3D79"/>
                  </a:solidFill>
                  <a:uFillTx/>
                  <a:latin typeface="Sitka Banner"/>
                  <a:ea typeface="Sitka Banner"/>
                  <a:cs typeface="Sitka Banner"/>
                  <a:sym typeface="Sitka Banner"/>
                </a:rPr>
                <a:t>	- activer la macro 		 qui permet de calculer le niveau de maturité de chacune des bonnes pratiques évaluées et 	</a:t>
              </a:r>
              <a:r>
                <a:rPr b="1" baseline="0" cap="none" i="0" spc="0" strike="noStrike" sz="1200" u="none">
                  <a:solidFill>
                    <a:srgbClr val="1C3D79"/>
                  </a:solidFill>
                  <a:uFillTx/>
                  <a:latin typeface="Sitka Banner"/>
                  <a:ea typeface="Sitka Banner"/>
                  <a:cs typeface="Sitka Banner"/>
                  <a:sym typeface="Sitka Banner"/>
                </a:rPr>
                <a:t>recommencer</a:t>
              </a:r>
              <a:r>
                <a:rPr b="0" baseline="0" cap="none" i="0" spc="0" strike="noStrike" sz="1200" u="none">
                  <a:solidFill>
                    <a:srgbClr val="1C3D79"/>
                  </a:solidFill>
                  <a:uFillTx/>
                  <a:latin typeface="Sitka Banner"/>
                  <a:ea typeface="Sitka Banner"/>
                  <a:cs typeface="Sitka Banner"/>
                  <a:sym typeface="Sitka Banner"/>
                </a:rPr>
                <a:t>	</a:t>
              </a:r>
              <a:r>
                <a:rPr b="1" baseline="0" cap="none" i="0" spc="0" strike="noStrike" sz="1200" u="none">
                  <a:solidFill>
                    <a:srgbClr val="1C3D79"/>
                  </a:solidFill>
                  <a:uFillTx/>
                  <a:latin typeface="Sitka Banner"/>
                  <a:ea typeface="Sitka Banner"/>
                  <a:cs typeface="Sitka Banner"/>
                  <a:sym typeface="Sitka Banner"/>
                </a:rPr>
                <a:t>après chaque modification dans les onglets </a:t>
              </a:r>
              <a:r>
                <a:rPr b="1" baseline="0" cap="none" i="0" spc="0" strike="noStrike" sz="1200" u="none">
                  <a:solidFill>
                    <a:srgbClr val="0079A4"/>
                  </a:solidFill>
                  <a:uFillTx/>
                  <a:latin typeface="Sitka Banner"/>
                  <a:ea typeface="Sitka Banner"/>
                  <a:cs typeface="Sitka Banner"/>
                  <a:sym typeface="Sitka Banner"/>
                </a:rPr>
                <a:t>VN_Quest,</a:t>
              </a:r>
              <a:endParaRPr b="0" baseline="0" cap="none" i="0" spc="0" strike="noStrike" sz="1200" u="none">
                <a:solidFill>
                  <a:srgbClr val="FFFFFF"/>
                </a:solidFill>
                <a:uFillTx/>
                <a:latin typeface="Sitka Banner"/>
                <a:ea typeface="Sitka Banner"/>
                <a:cs typeface="Sitka Banner"/>
                <a:sym typeface="Sitka Banner"/>
              </a:endParaRPr>
            </a:p>
            <a:p>
              <a:pPr marL="0" marR="0" indent="0" algn="l" defTabSz="914400" latinLnBrk="0">
                <a:lnSpc>
                  <a:spcPct val="100000"/>
                </a:lnSpc>
                <a:spcBef>
                  <a:spcPts val="0"/>
                </a:spcBef>
                <a:spcAft>
                  <a:spcPts val="0"/>
                </a:spcAft>
                <a:buClrTx/>
                <a:buSzTx/>
                <a:buFontTx/>
                <a:buNone/>
                <a:tabLst/>
                <a:defRPr b="0" baseline="0" cap="none" i="0" spc="0" strike="noStrike" sz="1200" u="none">
                  <a:solidFill>
                    <a:srgbClr val="1C3D79"/>
                  </a:solidFill>
                  <a:uFillTx/>
                  <a:latin typeface="Sitka Banner"/>
                  <a:ea typeface="Sitka Banner"/>
                  <a:cs typeface="Sitka Banner"/>
                  <a:sym typeface="Sitka Banner"/>
                </a:defRPr>
              </a:pPr>
              <a:r>
                <a:rPr b="0" baseline="0" cap="none" i="0" spc="0" strike="noStrike" sz="1200" u="none">
                  <a:solidFill>
                    <a:srgbClr val="1C3D79"/>
                  </a:solidFill>
                  <a:uFillTx/>
                  <a:latin typeface="Sitka Banner"/>
                  <a:ea typeface="Sitka Banner"/>
                  <a:cs typeface="Sitka Banner"/>
                  <a:sym typeface="Sitka Banner"/>
                </a:rPr>
                <a:t>	- éventuellement, dans l'encadré "</a:t>
              </a:r>
              <a:r>
                <a:rPr b="1" baseline="0" cap="none" i="0" spc="0" strike="noStrike" sz="1200" u="none">
                  <a:solidFill>
                    <a:srgbClr val="0097CC"/>
                  </a:solidFill>
                  <a:uFillTx/>
                  <a:latin typeface="Sitka Banner"/>
                  <a:ea typeface="Sitka Banner"/>
                  <a:cs typeface="Sitka Banner"/>
                  <a:sym typeface="Sitka Banner"/>
                </a:rPr>
                <a:t>Synthèse d'évaluation</a:t>
              </a:r>
              <a:r>
                <a:rPr b="0" baseline="0" cap="none" i="0" spc="0" strike="noStrike" sz="1200" u="none">
                  <a:solidFill>
                    <a:srgbClr val="1C3D79"/>
                  </a:solidFill>
                  <a:uFillTx/>
                  <a:latin typeface="Sitka Banner"/>
                  <a:ea typeface="Sitka Banner"/>
                  <a:cs typeface="Sitka Banner"/>
                  <a:sym typeface="Sitka Banner"/>
                </a:rPr>
                <a:t>", donner sa propre évaluation de la bonne pratique en colonne W via les listes 	déroulantes, commenter son choix en colonne X et commenter l'évaluation générale en colonne N.</a:t>
              </a:r>
              <a:endParaRPr b="0" baseline="0" cap="none" i="0" spc="0" strike="noStrike" sz="1200" u="none">
                <a:solidFill>
                  <a:srgbClr val="FFFFFF"/>
                </a:solidFill>
                <a:uFillTx/>
                <a:latin typeface="Sitka Banner"/>
                <a:ea typeface="Sitka Banner"/>
                <a:cs typeface="Sitka Banner"/>
                <a:sym typeface="Sitka Banner"/>
              </a:endParaRPr>
            </a:p>
            <a:p>
              <a:pPr marL="0" marR="0" indent="0" algn="l" defTabSz="914400" latinLnBrk="0">
                <a:lnSpc>
                  <a:spcPct val="100000"/>
                </a:lnSpc>
                <a:spcBef>
                  <a:spcPts val="0"/>
                </a:spcBef>
                <a:spcAft>
                  <a:spcPts val="0"/>
                </a:spcAft>
                <a:buClrTx/>
                <a:buSzTx/>
                <a:buFontTx/>
                <a:buNone/>
                <a:tabLst/>
                <a:defRPr b="0" baseline="0" cap="none" i="0" spc="0" strike="noStrike" sz="1200" u="none">
                  <a:solidFill>
                    <a:srgbClr val="1C3D79"/>
                  </a:solidFill>
                  <a:uFillTx/>
                  <a:latin typeface="Sitka Banner"/>
                  <a:ea typeface="Sitka Banner"/>
                  <a:cs typeface="Sitka Banner"/>
                  <a:sym typeface="Sitka Banner"/>
                </a:defRPr>
              </a:pPr>
              <a:endParaRPr b="0" baseline="0" cap="none" i="0" spc="0" strike="noStrike" sz="1200" u="none">
                <a:solidFill>
                  <a:srgbClr val="1C3D79"/>
                </a:solidFill>
                <a:uFillTx/>
                <a:latin typeface="Sitka Banner"/>
                <a:ea typeface="Sitka Banner"/>
                <a:cs typeface="Sitka Banner"/>
                <a:sym typeface="Sitka Banner"/>
              </a:endParaRPr>
            </a:p>
            <a:p>
              <a:pPr marL="0" marR="0" indent="0" algn="l" defTabSz="914400" latinLnBrk="0">
                <a:lnSpc>
                  <a:spcPct val="100000"/>
                </a:lnSpc>
                <a:spcBef>
                  <a:spcPts val="0"/>
                </a:spcBef>
                <a:spcAft>
                  <a:spcPts val="0"/>
                </a:spcAft>
                <a:buClrTx/>
                <a:buSzTx/>
                <a:buFontTx/>
                <a:buNone/>
                <a:tabLst/>
                <a:defRPr b="0" baseline="0" cap="none" i="0" spc="0" strike="noStrike" sz="1200" u="none">
                  <a:solidFill>
                    <a:srgbClr val="1C3D79"/>
                  </a:solidFill>
                  <a:uFillTx/>
                  <a:latin typeface="Sitka Banner"/>
                  <a:ea typeface="Sitka Banner"/>
                  <a:cs typeface="Sitka Banner"/>
                  <a:sym typeface="Sitka Banner"/>
                </a:defRPr>
              </a:pPr>
              <a:r>
                <a:rPr b="0" baseline="0" cap="none" i="0" spc="0" strike="noStrike" sz="1200" u="none">
                  <a:solidFill>
                    <a:srgbClr val="1C3D79"/>
                  </a:solidFill>
                  <a:uFillTx/>
                  <a:latin typeface="Sitka Banner"/>
                  <a:ea typeface="Sitka Banner"/>
                  <a:cs typeface="Sitka Banner"/>
                  <a:sym typeface="Sitka Banner"/>
                </a:rPr>
                <a:t>4. Se rendre dans les onglets </a:t>
              </a:r>
              <a:r>
                <a:rPr b="1" baseline="0" cap="none" i="0" spc="0" strike="noStrike" sz="1200" u="none">
                  <a:solidFill>
                    <a:srgbClr val="C00000"/>
                  </a:solidFill>
                  <a:uFillTx/>
                  <a:latin typeface="Sitka Banner"/>
                  <a:ea typeface="Sitka Banner"/>
                  <a:cs typeface="Sitka Banner"/>
                  <a:sym typeface="Sitka Banner"/>
                </a:rPr>
                <a:t>Synthèse détaillée </a:t>
              </a:r>
              <a:r>
                <a:rPr b="0" baseline="0" cap="none" i="0" spc="0" strike="noStrike" sz="1200" u="none">
                  <a:solidFill>
                    <a:srgbClr val="1C3D79"/>
                  </a:solidFill>
                  <a:uFillTx/>
                  <a:latin typeface="Sitka Banner"/>
                  <a:ea typeface="Sitka Banner"/>
                  <a:cs typeface="Sitka Banner"/>
                  <a:sym typeface="Sitka Banner"/>
                </a:rPr>
                <a:t>et </a:t>
              </a:r>
              <a:r>
                <a:rPr b="1" baseline="0" cap="none" i="0" spc="0" strike="noStrike" sz="1200" u="none">
                  <a:solidFill>
                    <a:srgbClr val="C00000"/>
                  </a:solidFill>
                  <a:uFillTx/>
                  <a:latin typeface="Sitka Banner"/>
                  <a:ea typeface="Sitka Banner"/>
                  <a:cs typeface="Sitka Banner"/>
                  <a:sym typeface="Sitka Banner"/>
                </a:rPr>
                <a:t>Synthèse globale </a:t>
              </a:r>
              <a:r>
                <a:rPr b="0" baseline="0" cap="none" i="0" spc="0" strike="noStrike" sz="1200" u="none">
                  <a:solidFill>
                    <a:srgbClr val="1C3D79"/>
                  </a:solidFill>
                  <a:uFillTx/>
                  <a:latin typeface="Sitka Banner"/>
                  <a:ea typeface="Sitka Banner"/>
                  <a:cs typeface="Sitka Banner"/>
                  <a:sym typeface="Sitka Banner"/>
                </a:rPr>
                <a:t>pour constater les </a:t>
              </a:r>
              <a:r>
                <a:rPr b="1" baseline="0" cap="none" i="0" spc="0" strike="noStrike" sz="1200" u="none">
                  <a:solidFill>
                    <a:srgbClr val="1C3D79"/>
                  </a:solidFill>
                  <a:uFillTx/>
                  <a:latin typeface="Sitka Banner"/>
                  <a:ea typeface="Sitka Banner"/>
                  <a:cs typeface="Sitka Banner"/>
                  <a:sym typeface="Sitka Banner"/>
                </a:rPr>
                <a:t>résultats</a:t>
              </a:r>
              <a:r>
                <a:rPr b="0" baseline="0" cap="none" i="0" spc="0" strike="noStrike" sz="1200" u="none">
                  <a:solidFill>
                    <a:srgbClr val="1C3D79"/>
                  </a:solidFill>
                  <a:uFillTx/>
                  <a:latin typeface="Sitka Banner"/>
                  <a:ea typeface="Sitka Banner"/>
                  <a:cs typeface="Sitka Banner"/>
                  <a:sym typeface="Sitka Banner"/>
                </a:rPr>
                <a:t>.</a:t>
              </a:r>
              <a:endParaRPr b="0" baseline="0" cap="none" i="0" spc="0" strike="noStrike" sz="1200" u="none">
                <a:solidFill>
                  <a:srgbClr val="FFFFFF"/>
                </a:solidFill>
                <a:uFillTx/>
                <a:latin typeface="Sitka Banner"/>
                <a:ea typeface="Sitka Banner"/>
                <a:cs typeface="Sitka Banner"/>
                <a:sym typeface="Sitka Banner"/>
              </a:endParaRPr>
            </a:p>
            <a:p>
              <a:pPr marL="0" marR="0" indent="0" algn="l" defTabSz="914400" latinLnBrk="0">
                <a:lnSpc>
                  <a:spcPct val="100000"/>
                </a:lnSpc>
                <a:spcBef>
                  <a:spcPts val="0"/>
                </a:spcBef>
                <a:spcAft>
                  <a:spcPts val="0"/>
                </a:spcAft>
                <a:buClrTx/>
                <a:buSzTx/>
                <a:buFontTx/>
                <a:buNone/>
                <a:tabLst/>
                <a:defRPr b="0" baseline="0" cap="none" i="0" spc="0" strike="noStrike" sz="1200" u="none">
                  <a:solidFill>
                    <a:srgbClr val="1C3D79"/>
                  </a:solidFill>
                  <a:uFillTx/>
                  <a:latin typeface="Sitka Banner"/>
                  <a:ea typeface="Sitka Banner"/>
                  <a:cs typeface="Sitka Banner"/>
                  <a:sym typeface="Sitka Banner"/>
                </a:defRPr>
              </a:pPr>
              <a:endParaRPr b="0" baseline="0" cap="none" i="0" spc="0" strike="noStrike" sz="1200" u="none">
                <a:solidFill>
                  <a:srgbClr val="1C3D79"/>
                </a:solidFill>
                <a:uFillTx/>
                <a:latin typeface="Sitka Banner"/>
                <a:ea typeface="Sitka Banner"/>
                <a:cs typeface="Sitka Banner"/>
                <a:sym typeface="Sitka Banner"/>
              </a:endParaRPr>
            </a:p>
            <a:p>
              <a:pPr marL="0" marR="0" indent="0" algn="l" defTabSz="914400" latinLnBrk="0">
                <a:lnSpc>
                  <a:spcPct val="100000"/>
                </a:lnSpc>
                <a:spcBef>
                  <a:spcPts val="0"/>
                </a:spcBef>
                <a:spcAft>
                  <a:spcPts val="0"/>
                </a:spcAft>
                <a:buClrTx/>
                <a:buSzTx/>
                <a:buFontTx/>
                <a:buNone/>
                <a:tabLst/>
                <a:defRPr b="0" baseline="0" cap="none" i="0" spc="0" strike="noStrike" sz="1200" u="none">
                  <a:solidFill>
                    <a:srgbClr val="1C3D79"/>
                  </a:solidFill>
                  <a:uFillTx/>
                  <a:latin typeface="Sitka Banner"/>
                  <a:ea typeface="Sitka Banner"/>
                  <a:cs typeface="Sitka Banner"/>
                  <a:sym typeface="Sitka Banner"/>
                </a:defRPr>
              </a:pPr>
              <a:endParaRPr b="0" baseline="0" cap="none" i="0" spc="0" strike="noStrike" sz="1200" u="none">
                <a:solidFill>
                  <a:srgbClr val="1C3D79"/>
                </a:solidFill>
                <a:uFillTx/>
                <a:latin typeface="Sitka Banner"/>
                <a:ea typeface="Sitka Banner"/>
                <a:cs typeface="Sitka Banner"/>
                <a:sym typeface="Sitka Banner"/>
              </a:endParaRPr>
            </a:p>
            <a:p>
              <a:pPr marL="0" marR="0" indent="0" algn="l" defTabSz="914400" latinLnBrk="0">
                <a:lnSpc>
                  <a:spcPct val="100000"/>
                </a:lnSpc>
                <a:spcBef>
                  <a:spcPts val="0"/>
                </a:spcBef>
                <a:spcAft>
                  <a:spcPts val="0"/>
                </a:spcAft>
                <a:buClrTx/>
                <a:buSzTx/>
                <a:buFontTx/>
                <a:buNone/>
                <a:tabLst/>
                <a:defRPr b="0" baseline="0" cap="none" i="0" spc="0" strike="noStrike" sz="1200" u="none">
                  <a:solidFill>
                    <a:srgbClr val="1C3D79"/>
                  </a:solidFill>
                  <a:uFillTx/>
                  <a:latin typeface="Sitka Banner"/>
                  <a:ea typeface="Sitka Banner"/>
                  <a:cs typeface="Sitka Banner"/>
                  <a:sym typeface="Sitka Banner"/>
                </a:defRPr>
              </a:pPr>
              <a:r>
                <a:rPr b="0" baseline="0" cap="none" i="0" spc="0" strike="noStrike" sz="1200" u="none">
                  <a:solidFill>
                    <a:srgbClr val="1C3D79"/>
                  </a:solidFill>
                  <a:uFillTx/>
                  <a:latin typeface="Sitka Banner"/>
                  <a:ea typeface="Sitka Banner"/>
                  <a:cs typeface="Sitka Banner"/>
                  <a:sym typeface="Sitka Banner"/>
                </a:rPr>
                <a:t>  </a:t>
              </a:r>
            </a:p>
          </xdr:txBody>
        </xdr:sp>
        <xdr:sp>
          <xdr:nvSpPr>
            <xdr:cNvPr id="11" name="Rectangle 12"/>
            <xdr:cNvSpPr/>
          </xdr:nvSpPr>
          <xdr:spPr>
            <a:xfrm>
              <a:off x="7429758" y="58843"/>
              <a:ext cx="3005551" cy="1377159"/>
            </a:xfrm>
            <a:prstGeom prst="rect">
              <a:avLst/>
            </a:prstGeom>
            <a:solidFill>
              <a:srgbClr val="FFFFFF"/>
            </a:solidFill>
            <a:ln w="12700" cap="flat">
              <a:solidFill>
                <a:srgbClr val="C00000"/>
              </a:solidFill>
              <a:prstDash val="solid"/>
              <a:miter lim="800000"/>
            </a:ln>
            <a:effectLst/>
            <a:extLst>
              <a:ext uri="{C572A759-6A51-4108-AA02-DFA0A04FC94B}">
                <ma14:wrappingTextBoxFlag xmlns:ma14="http://schemas.microsoft.com/office/mac/drawingml/2011/main" val="1"/>
              </a:ext>
            </a:extLst>
          </xdr:spPr>
          <xdr:txBody>
            <a:bodyPr wrap="square" lIns="45719" tIns="45719" rIns="45719" bIns="45719" numCol="1" anchor="t">
              <a:noAutofit/>
            </a:bodyPr>
            <a:lstStyle/>
            <a:p>
              <a:pPr marL="0" marR="0" indent="0" algn="l" defTabSz="914400" latinLnBrk="0">
                <a:lnSpc>
                  <a:spcPct val="100000"/>
                </a:lnSpc>
                <a:spcBef>
                  <a:spcPts val="0"/>
                </a:spcBef>
                <a:spcAft>
                  <a:spcPts val="0"/>
                </a:spcAft>
                <a:buClrTx/>
                <a:buSzTx/>
                <a:buFontTx/>
                <a:buNone/>
                <a:tabLst/>
                <a:defRPr b="0" baseline="0" cap="none" i="0" spc="0" strike="noStrike" sz="1200" u="sng">
                  <a:solidFill>
                    <a:srgbClr val="C00000"/>
                  </a:solidFill>
                  <a:uFillTx/>
                  <a:latin typeface="Sitka Banner"/>
                  <a:ea typeface="Sitka Banner"/>
                  <a:cs typeface="Sitka Banner"/>
                  <a:sym typeface="Sitka Banner"/>
                </a:defRPr>
              </a:pPr>
              <a:r>
                <a:rPr b="0" baseline="0" cap="none" i="0" spc="0" strike="noStrike" sz="1200" u="sng">
                  <a:solidFill>
                    <a:srgbClr val="C00000"/>
                  </a:solidFill>
                  <a:uFillTx/>
                  <a:latin typeface="Sitka Banner"/>
                  <a:ea typeface="Sitka Banner"/>
                  <a:cs typeface="Sitka Banner"/>
                  <a:sym typeface="Sitka Banner"/>
                </a:rPr>
                <a:t>IMPORTANT : </a:t>
              </a:r>
              <a:br>
                <a:rPr b="0" baseline="0" cap="none" i="0" spc="0" strike="noStrike" sz="1200" u="sng">
                  <a:solidFill>
                    <a:srgbClr val="C00000"/>
                  </a:solidFill>
                  <a:uFillTx/>
                  <a:latin typeface="Sitka Banner"/>
                  <a:ea typeface="Sitka Banner"/>
                  <a:cs typeface="Sitka Banner"/>
                  <a:sym typeface="Sitka Banner"/>
                </a:rPr>
              </a:br>
              <a:r>
                <a:rPr b="0" baseline="0" cap="none" i="0" spc="0" strike="noStrike" sz="1200" u="none">
                  <a:solidFill>
                    <a:srgbClr val="1C3D79"/>
                  </a:solidFill>
                  <a:uFillTx/>
                  <a:latin typeface="Sitka Banner"/>
                  <a:ea typeface="Sitka Banner"/>
                  <a:cs typeface="Sitka Banner"/>
                  <a:sym typeface="Sitka Banner"/>
                </a:rPr>
                <a:t>En cas de difficulté à faire fonctionner la macro, se rendre dans le dossier qui contient le fichier -&gt; clic droit -&gt; Propriétés -&gt; cocher la case "Débloquer"</a:t>
              </a:r>
            </a:p>
          </xdr:txBody>
        </xdr:sp>
      </xdr:grpSp>
      <xdr:pic>
        <xdr:nvPicPr>
          <xdr:cNvPr id="13" name="Image 11" descr="Image 11"/>
          <xdr:cNvPicPr>
            <a:picLocks noChangeAspect="1"/>
          </xdr:cNvPicPr>
        </xdr:nvPicPr>
        <xdr:blipFill>
          <a:blip r:embed="rId4">
            <a:extLst/>
          </a:blip>
          <a:stretch>
            <a:fillRect/>
          </a:stretch>
        </xdr:blipFill>
        <xdr:spPr>
          <a:xfrm>
            <a:off x="2414798" y="2238333"/>
            <a:ext cx="1592014" cy="429152"/>
          </a:xfrm>
          <a:prstGeom prst="rect">
            <a:avLst/>
          </a:prstGeom>
          <a:ln w="12700" cap="flat">
            <a:noFill/>
            <a:miter lim="400000"/>
          </a:ln>
          <a:effectLst/>
        </xdr:spPr>
      </xdr:pic>
    </xdr:grpSp>
    <xdr:clientData/>
  </xdr:twoCellAnchor>
</xdr:wsDr>
</file>

<file path=xl/drawings/drawing10.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6</xdr:col>
      <xdr:colOff>1030896</xdr:colOff>
      <xdr:row>20</xdr:row>
      <xdr:rowOff>273171</xdr:rowOff>
    </xdr:from>
    <xdr:to>
      <xdr:col>6</xdr:col>
      <xdr:colOff>4094771</xdr:colOff>
      <xdr:row>22</xdr:row>
      <xdr:rowOff>169315</xdr:rowOff>
    </xdr:to>
    <xdr:grpSp>
      <xdr:nvGrpSpPr>
        <xdr:cNvPr id="270" name="Rectangle : coins arrondis 1"/>
        <xdr:cNvGrpSpPr/>
      </xdr:nvGrpSpPr>
      <xdr:grpSpPr>
        <a:xfrm>
          <a:off x="3875696" y="9546711"/>
          <a:ext cx="3063876" cy="658145"/>
          <a:chOff x="0" y="0"/>
          <a:chExt cx="3063875" cy="658144"/>
        </a:xfrm>
      </xdr:grpSpPr>
      <xdr:sp>
        <xdr:nvSpPr>
          <xdr:cNvPr id="268" name="Rectangle aux angles arrondis"/>
          <xdr:cNvSpPr/>
        </xdr:nvSpPr>
        <xdr:spPr>
          <a:xfrm>
            <a:off x="0" y="0"/>
            <a:ext cx="3063875" cy="658145"/>
          </a:xfrm>
          <a:prstGeom prst="roundRect">
            <a:avLst>
              <a:gd name="adj" fmla="val 16667"/>
            </a:avLst>
          </a:prstGeom>
          <a:solidFill>
            <a:srgbClr val="DEEBF7"/>
          </a:solidFill>
          <a:ln w="28575" cap="flat">
            <a:solidFill>
              <a:srgbClr val="C00000"/>
            </a:solidFill>
            <a:prstDash val="solid"/>
            <a:miter lim="800000"/>
          </a:ln>
          <a:effectLst>
            <a:outerShdw sx="100000" sy="100000" kx="0" ky="0" algn="b" rotWithShape="0" blurRad="63500" dist="0" dir="0">
              <a:srgbClr val="000000">
                <a:alpha val="40000"/>
              </a:srgbClr>
            </a:outerShdw>
          </a:effectLst>
        </xdr:spPr>
        <xdr:txBody>
          <a:bodyPr/>
          <a:lstStyle/>
          <a:p>
            <a:pPr/>
          </a:p>
        </xdr:txBody>
      </xdr:sp>
      <xdr:sp>
        <xdr:nvSpPr>
          <xdr:cNvPr id="269" name="Calculer la maturité"/>
          <xdr:cNvSpPr txBox="1"/>
        </xdr:nvSpPr>
        <xdr:spPr>
          <a:xfrm>
            <a:off x="73085" y="4017"/>
            <a:ext cx="2917705" cy="650110"/>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1" baseline="0" cap="none" i="0" spc="0" strike="noStrike" sz="1800" u="none">
                <a:solidFill>
                  <a:srgbClr val="C00000"/>
                </a:solidFill>
                <a:uFillTx/>
                <a:latin typeface="Aptos Light"/>
                <a:ea typeface="Aptos Light"/>
                <a:cs typeface="Aptos Light"/>
                <a:sym typeface="Aptos Light"/>
              </a:defRPr>
            </a:pPr>
            <a:r>
              <a:rPr b="1" baseline="0" cap="none" i="0" spc="0" strike="noStrike" sz="1800" u="none">
                <a:solidFill>
                  <a:srgbClr val="C00000"/>
                </a:solidFill>
                <a:uFillTx/>
                <a:latin typeface="Aptos Light"/>
                <a:ea typeface="Aptos Light"/>
                <a:cs typeface="Aptos Light"/>
                <a:sym typeface="Aptos Light"/>
              </a:rPr>
              <a:t>Calculer la maturité</a:t>
            </a:r>
          </a:p>
        </xdr:txBody>
      </xdr:sp>
    </xdr:grpSp>
    <xdr:clientData/>
  </xdr:twoCellAnchor>
</xdr:wsDr>
</file>

<file path=xl/drawings/drawing11.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9</xdr:col>
      <xdr:colOff>28574</xdr:colOff>
      <xdr:row>11</xdr:row>
      <xdr:rowOff>22859</xdr:rowOff>
    </xdr:from>
    <xdr:to>
      <xdr:col>9</xdr:col>
      <xdr:colOff>4500553</xdr:colOff>
      <xdr:row>11</xdr:row>
      <xdr:rowOff>1651634</xdr:rowOff>
    </xdr:to>
    <xdr:sp>
      <xdr:nvSpPr>
        <xdr:cNvPr id="272" name="ZoneTexte 1"/>
        <xdr:cNvSpPr/>
      </xdr:nvSpPr>
      <xdr:spPr>
        <a:xfrm>
          <a:off x="7648574" y="3398519"/>
          <a:ext cx="4471980" cy="162877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12</xdr:row>
      <xdr:rowOff>57149</xdr:rowOff>
    </xdr:from>
    <xdr:to>
      <xdr:col>9</xdr:col>
      <xdr:colOff>4529666</xdr:colOff>
      <xdr:row>12</xdr:row>
      <xdr:rowOff>1651633</xdr:rowOff>
    </xdr:to>
    <xdr:sp>
      <xdr:nvSpPr>
        <xdr:cNvPr id="273" name="ZoneTexte 1"/>
        <xdr:cNvSpPr/>
      </xdr:nvSpPr>
      <xdr:spPr>
        <a:xfrm>
          <a:off x="7648574" y="5084444"/>
          <a:ext cx="4501093" cy="1594485"/>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13</xdr:row>
      <xdr:rowOff>15674</xdr:rowOff>
    </xdr:from>
    <xdr:to>
      <xdr:col>9</xdr:col>
      <xdr:colOff>4500553</xdr:colOff>
      <xdr:row>13</xdr:row>
      <xdr:rowOff>1651633</xdr:rowOff>
    </xdr:to>
    <xdr:sp>
      <xdr:nvSpPr>
        <xdr:cNvPr id="274" name="ZoneTexte 1"/>
        <xdr:cNvSpPr/>
      </xdr:nvSpPr>
      <xdr:spPr>
        <a:xfrm>
          <a:off x="7648574" y="6694604"/>
          <a:ext cx="4471980" cy="1635960"/>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10635</xdr:colOff>
      <xdr:row>13</xdr:row>
      <xdr:rowOff>1651634</xdr:rowOff>
    </xdr:from>
    <xdr:to>
      <xdr:col>9</xdr:col>
      <xdr:colOff>4529350</xdr:colOff>
      <xdr:row>26</xdr:row>
      <xdr:rowOff>47412</xdr:rowOff>
    </xdr:to>
    <xdr:sp>
      <xdr:nvSpPr>
        <xdr:cNvPr id="275" name="ZoneTexte 1"/>
        <xdr:cNvSpPr/>
      </xdr:nvSpPr>
      <xdr:spPr>
        <a:xfrm>
          <a:off x="7630635" y="8330564"/>
          <a:ext cx="4518715" cy="2051474"/>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10952</xdr:colOff>
      <xdr:row>13</xdr:row>
      <xdr:rowOff>1651634</xdr:rowOff>
    </xdr:from>
    <xdr:to>
      <xdr:col>9</xdr:col>
      <xdr:colOff>4529667</xdr:colOff>
      <xdr:row>25</xdr:row>
      <xdr:rowOff>17038</xdr:rowOff>
    </xdr:to>
    <xdr:sp>
      <xdr:nvSpPr>
        <xdr:cNvPr id="276" name="ZoneTexte 1"/>
        <xdr:cNvSpPr/>
      </xdr:nvSpPr>
      <xdr:spPr>
        <a:xfrm>
          <a:off x="7630952" y="8330564"/>
          <a:ext cx="4518715" cy="1602000"/>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10952</xdr:colOff>
      <xdr:row>13</xdr:row>
      <xdr:rowOff>1651634</xdr:rowOff>
    </xdr:from>
    <xdr:to>
      <xdr:col>9</xdr:col>
      <xdr:colOff>4529667</xdr:colOff>
      <xdr:row>25</xdr:row>
      <xdr:rowOff>17039</xdr:rowOff>
    </xdr:to>
    <xdr:sp>
      <xdr:nvSpPr>
        <xdr:cNvPr id="277" name="ZoneTexte 1"/>
        <xdr:cNvSpPr/>
      </xdr:nvSpPr>
      <xdr:spPr>
        <a:xfrm>
          <a:off x="7630952" y="8330564"/>
          <a:ext cx="4518715" cy="160200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15715</xdr:colOff>
      <xdr:row>13</xdr:row>
      <xdr:rowOff>1651634</xdr:rowOff>
    </xdr:from>
    <xdr:to>
      <xdr:col>9</xdr:col>
      <xdr:colOff>4534430</xdr:colOff>
      <xdr:row>25</xdr:row>
      <xdr:rowOff>17038</xdr:rowOff>
    </xdr:to>
    <xdr:sp>
      <xdr:nvSpPr>
        <xdr:cNvPr id="278" name="ZoneTexte 1"/>
        <xdr:cNvSpPr/>
      </xdr:nvSpPr>
      <xdr:spPr>
        <a:xfrm>
          <a:off x="7635715" y="8330564"/>
          <a:ext cx="4518716" cy="1602000"/>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26</xdr:row>
      <xdr:rowOff>182880</xdr:rowOff>
    </xdr:from>
    <xdr:to>
      <xdr:col>9</xdr:col>
      <xdr:colOff>4519448</xdr:colOff>
      <xdr:row>27</xdr:row>
      <xdr:rowOff>2423160</xdr:rowOff>
    </xdr:to>
    <xdr:sp>
      <xdr:nvSpPr>
        <xdr:cNvPr id="279" name="ZoneTexte 1"/>
        <xdr:cNvSpPr/>
      </xdr:nvSpPr>
      <xdr:spPr>
        <a:xfrm>
          <a:off x="7648574" y="10517505"/>
          <a:ext cx="4490875" cy="243078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28</xdr:row>
      <xdr:rowOff>26670</xdr:rowOff>
    </xdr:from>
    <xdr:to>
      <xdr:col>9</xdr:col>
      <xdr:colOff>4466961</xdr:colOff>
      <xdr:row>28</xdr:row>
      <xdr:rowOff>1621155</xdr:rowOff>
    </xdr:to>
    <xdr:sp>
      <xdr:nvSpPr>
        <xdr:cNvPr id="280" name="ZoneTexte 1"/>
        <xdr:cNvSpPr/>
      </xdr:nvSpPr>
      <xdr:spPr>
        <a:xfrm>
          <a:off x="7648574" y="13005435"/>
          <a:ext cx="4438388" cy="159448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28</xdr:row>
      <xdr:rowOff>1636831</xdr:rowOff>
    </xdr:from>
    <xdr:to>
      <xdr:col>9</xdr:col>
      <xdr:colOff>4519448</xdr:colOff>
      <xdr:row>29</xdr:row>
      <xdr:rowOff>1621156</xdr:rowOff>
    </xdr:to>
    <xdr:sp>
      <xdr:nvSpPr>
        <xdr:cNvPr id="281" name="ZoneTexte 1"/>
        <xdr:cNvSpPr/>
      </xdr:nvSpPr>
      <xdr:spPr>
        <a:xfrm>
          <a:off x="7648574" y="14615596"/>
          <a:ext cx="4490875" cy="163596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10635</xdr:colOff>
      <xdr:row>29</xdr:row>
      <xdr:rowOff>1621157</xdr:rowOff>
    </xdr:from>
    <xdr:to>
      <xdr:col>9</xdr:col>
      <xdr:colOff>4548441</xdr:colOff>
      <xdr:row>41</xdr:row>
      <xdr:rowOff>15923</xdr:rowOff>
    </xdr:to>
    <xdr:sp>
      <xdr:nvSpPr>
        <xdr:cNvPr id="282" name="ZoneTexte 1"/>
        <xdr:cNvSpPr/>
      </xdr:nvSpPr>
      <xdr:spPr>
        <a:xfrm>
          <a:off x="7630635" y="16251556"/>
          <a:ext cx="4537807" cy="163136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10952</xdr:colOff>
      <xdr:row>29</xdr:row>
      <xdr:rowOff>1621156</xdr:rowOff>
    </xdr:from>
    <xdr:to>
      <xdr:col>9</xdr:col>
      <xdr:colOff>4548759</xdr:colOff>
      <xdr:row>40</xdr:row>
      <xdr:rowOff>177060</xdr:rowOff>
    </xdr:to>
    <xdr:sp>
      <xdr:nvSpPr>
        <xdr:cNvPr id="283" name="ZoneTexte 1"/>
        <xdr:cNvSpPr/>
      </xdr:nvSpPr>
      <xdr:spPr>
        <a:xfrm>
          <a:off x="7630952" y="16251556"/>
          <a:ext cx="4537807" cy="1602000"/>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10952</xdr:colOff>
      <xdr:row>29</xdr:row>
      <xdr:rowOff>1621156</xdr:rowOff>
    </xdr:from>
    <xdr:to>
      <xdr:col>9</xdr:col>
      <xdr:colOff>4548759</xdr:colOff>
      <xdr:row>40</xdr:row>
      <xdr:rowOff>177059</xdr:rowOff>
    </xdr:to>
    <xdr:sp>
      <xdr:nvSpPr>
        <xdr:cNvPr id="284" name="ZoneTexte 1"/>
        <xdr:cNvSpPr/>
      </xdr:nvSpPr>
      <xdr:spPr>
        <a:xfrm>
          <a:off x="7630952" y="16251556"/>
          <a:ext cx="4537807" cy="1601999"/>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15716</xdr:colOff>
      <xdr:row>29</xdr:row>
      <xdr:rowOff>1621156</xdr:rowOff>
    </xdr:from>
    <xdr:to>
      <xdr:col>9</xdr:col>
      <xdr:colOff>4553522</xdr:colOff>
      <xdr:row>40</xdr:row>
      <xdr:rowOff>177059</xdr:rowOff>
    </xdr:to>
    <xdr:sp>
      <xdr:nvSpPr>
        <xdr:cNvPr id="285" name="ZoneTexte 1"/>
        <xdr:cNvSpPr/>
      </xdr:nvSpPr>
      <xdr:spPr>
        <a:xfrm>
          <a:off x="7635716" y="16251556"/>
          <a:ext cx="4537807" cy="1601999"/>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42</xdr:row>
      <xdr:rowOff>152404</xdr:rowOff>
    </xdr:from>
    <xdr:to>
      <xdr:col>9</xdr:col>
      <xdr:colOff>2636519</xdr:colOff>
      <xdr:row>43</xdr:row>
      <xdr:rowOff>2491743</xdr:rowOff>
    </xdr:to>
    <xdr:sp>
      <xdr:nvSpPr>
        <xdr:cNvPr id="286" name="ZoneTexte 1"/>
        <xdr:cNvSpPr/>
      </xdr:nvSpPr>
      <xdr:spPr>
        <a:xfrm>
          <a:off x="7648574" y="18438499"/>
          <a:ext cx="2607946" cy="2529840"/>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42</xdr:row>
      <xdr:rowOff>152404</xdr:rowOff>
    </xdr:from>
    <xdr:to>
      <xdr:col>9</xdr:col>
      <xdr:colOff>4542761</xdr:colOff>
      <xdr:row>43</xdr:row>
      <xdr:rowOff>2491743</xdr:rowOff>
    </xdr:to>
    <xdr:sp>
      <xdr:nvSpPr>
        <xdr:cNvPr id="287" name="ZoneTexte 1"/>
        <xdr:cNvSpPr/>
      </xdr:nvSpPr>
      <xdr:spPr>
        <a:xfrm>
          <a:off x="7648574" y="18438499"/>
          <a:ext cx="4514188" cy="2529840"/>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43</xdr:row>
      <xdr:rowOff>2548893</xdr:rowOff>
    </xdr:from>
    <xdr:to>
      <xdr:col>9</xdr:col>
      <xdr:colOff>4490003</xdr:colOff>
      <xdr:row>44</xdr:row>
      <xdr:rowOff>1844043</xdr:rowOff>
    </xdr:to>
    <xdr:sp>
      <xdr:nvSpPr>
        <xdr:cNvPr id="288" name="ZoneTexte 1"/>
        <xdr:cNvSpPr/>
      </xdr:nvSpPr>
      <xdr:spPr>
        <a:xfrm>
          <a:off x="7648574" y="21025488"/>
          <a:ext cx="4461430" cy="184785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44</xdr:row>
      <xdr:rowOff>1859718</xdr:rowOff>
    </xdr:from>
    <xdr:to>
      <xdr:col>9</xdr:col>
      <xdr:colOff>4542761</xdr:colOff>
      <xdr:row>45</xdr:row>
      <xdr:rowOff>1590678</xdr:rowOff>
    </xdr:to>
    <xdr:sp>
      <xdr:nvSpPr>
        <xdr:cNvPr id="289" name="ZoneTexte 1"/>
        <xdr:cNvSpPr/>
      </xdr:nvSpPr>
      <xdr:spPr>
        <a:xfrm>
          <a:off x="7648574" y="22889013"/>
          <a:ext cx="4514188" cy="163596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10635</xdr:colOff>
      <xdr:row>45</xdr:row>
      <xdr:rowOff>1613538</xdr:rowOff>
    </xdr:from>
    <xdr:to>
      <xdr:col>9</xdr:col>
      <xdr:colOff>4572000</xdr:colOff>
      <xdr:row>46</xdr:row>
      <xdr:rowOff>1463043</xdr:rowOff>
    </xdr:to>
    <xdr:sp>
      <xdr:nvSpPr>
        <xdr:cNvPr id="290" name="ZoneTexte 1"/>
        <xdr:cNvSpPr/>
      </xdr:nvSpPr>
      <xdr:spPr>
        <a:xfrm>
          <a:off x="7630635" y="24547833"/>
          <a:ext cx="4561365" cy="150114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58</xdr:row>
      <xdr:rowOff>121921</xdr:rowOff>
    </xdr:from>
    <xdr:to>
      <xdr:col>9</xdr:col>
      <xdr:colOff>4545724</xdr:colOff>
      <xdr:row>59</xdr:row>
      <xdr:rowOff>1560196</xdr:rowOff>
    </xdr:to>
    <xdr:sp>
      <xdr:nvSpPr>
        <xdr:cNvPr id="291" name="ZoneTexte 1"/>
        <xdr:cNvSpPr/>
      </xdr:nvSpPr>
      <xdr:spPr>
        <a:xfrm>
          <a:off x="7648574" y="33063181"/>
          <a:ext cx="4517151" cy="162877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59</xdr:row>
      <xdr:rowOff>1617346</xdr:rowOff>
    </xdr:from>
    <xdr:to>
      <xdr:col>9</xdr:col>
      <xdr:colOff>4492930</xdr:colOff>
      <xdr:row>60</xdr:row>
      <xdr:rowOff>1560196</xdr:rowOff>
    </xdr:to>
    <xdr:sp>
      <xdr:nvSpPr>
        <xdr:cNvPr id="292" name="ZoneTexte 1"/>
        <xdr:cNvSpPr/>
      </xdr:nvSpPr>
      <xdr:spPr>
        <a:xfrm>
          <a:off x="7648574" y="34749106"/>
          <a:ext cx="4464357" cy="159448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60</xdr:row>
      <xdr:rowOff>1560197</xdr:rowOff>
    </xdr:from>
    <xdr:to>
      <xdr:col>9</xdr:col>
      <xdr:colOff>4545724</xdr:colOff>
      <xdr:row>73</xdr:row>
      <xdr:rowOff>58624</xdr:rowOff>
    </xdr:to>
    <xdr:sp>
      <xdr:nvSpPr>
        <xdr:cNvPr id="293" name="ZoneTexte 1"/>
        <xdr:cNvSpPr/>
      </xdr:nvSpPr>
      <xdr:spPr>
        <a:xfrm>
          <a:off x="7648574" y="36343592"/>
          <a:ext cx="4517151" cy="163596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10634</xdr:colOff>
      <xdr:row>60</xdr:row>
      <xdr:rowOff>1560197</xdr:rowOff>
    </xdr:from>
    <xdr:to>
      <xdr:col>9</xdr:col>
      <xdr:colOff>4574992</xdr:colOff>
      <xdr:row>74</xdr:row>
      <xdr:rowOff>181308</xdr:rowOff>
    </xdr:to>
    <xdr:sp>
      <xdr:nvSpPr>
        <xdr:cNvPr id="294" name="ZoneTexte 1"/>
        <xdr:cNvSpPr/>
      </xdr:nvSpPr>
      <xdr:spPr>
        <a:xfrm>
          <a:off x="7630634" y="36343592"/>
          <a:ext cx="4564359" cy="1987247"/>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10952</xdr:colOff>
      <xdr:row>60</xdr:row>
      <xdr:rowOff>1560197</xdr:rowOff>
    </xdr:from>
    <xdr:to>
      <xdr:col>9</xdr:col>
      <xdr:colOff>4575309</xdr:colOff>
      <xdr:row>73</xdr:row>
      <xdr:rowOff>24660</xdr:rowOff>
    </xdr:to>
    <xdr:sp>
      <xdr:nvSpPr>
        <xdr:cNvPr id="295" name="ZoneTexte 1"/>
        <xdr:cNvSpPr/>
      </xdr:nvSpPr>
      <xdr:spPr>
        <a:xfrm>
          <a:off x="7630952" y="36343592"/>
          <a:ext cx="4564358" cy="1601999"/>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10952</xdr:colOff>
      <xdr:row>60</xdr:row>
      <xdr:rowOff>1560197</xdr:rowOff>
    </xdr:from>
    <xdr:to>
      <xdr:col>9</xdr:col>
      <xdr:colOff>4571998</xdr:colOff>
      <xdr:row>73</xdr:row>
      <xdr:rowOff>24666</xdr:rowOff>
    </xdr:to>
    <xdr:sp>
      <xdr:nvSpPr>
        <xdr:cNvPr id="296" name="ZoneTexte 1"/>
        <xdr:cNvSpPr/>
      </xdr:nvSpPr>
      <xdr:spPr>
        <a:xfrm>
          <a:off x="7630952" y="36343592"/>
          <a:ext cx="4561047" cy="1602005"/>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76</xdr:row>
      <xdr:rowOff>91435</xdr:rowOff>
    </xdr:from>
    <xdr:to>
      <xdr:col>9</xdr:col>
      <xdr:colOff>4503756</xdr:colOff>
      <xdr:row>77</xdr:row>
      <xdr:rowOff>1529710</xdr:rowOff>
    </xdr:to>
    <xdr:sp>
      <xdr:nvSpPr>
        <xdr:cNvPr id="297" name="ZoneTexte 1"/>
        <xdr:cNvSpPr/>
      </xdr:nvSpPr>
      <xdr:spPr>
        <a:xfrm>
          <a:off x="7648574" y="38850565"/>
          <a:ext cx="4475183" cy="162877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77</xdr:row>
      <xdr:rowOff>1586860</xdr:rowOff>
    </xdr:from>
    <xdr:to>
      <xdr:col>9</xdr:col>
      <xdr:colOff>4451453</xdr:colOff>
      <xdr:row>78</xdr:row>
      <xdr:rowOff>1529710</xdr:rowOff>
    </xdr:to>
    <xdr:sp>
      <xdr:nvSpPr>
        <xdr:cNvPr id="298" name="ZoneTexte 1"/>
        <xdr:cNvSpPr/>
      </xdr:nvSpPr>
      <xdr:spPr>
        <a:xfrm>
          <a:off x="7648574" y="40536490"/>
          <a:ext cx="4422880" cy="159448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78</xdr:row>
      <xdr:rowOff>1545384</xdr:rowOff>
    </xdr:from>
    <xdr:to>
      <xdr:col>9</xdr:col>
      <xdr:colOff>4503756</xdr:colOff>
      <xdr:row>79</xdr:row>
      <xdr:rowOff>1529711</xdr:rowOff>
    </xdr:to>
    <xdr:sp>
      <xdr:nvSpPr>
        <xdr:cNvPr id="299" name="ZoneTexte 1"/>
        <xdr:cNvSpPr/>
      </xdr:nvSpPr>
      <xdr:spPr>
        <a:xfrm>
          <a:off x="7648574" y="42146649"/>
          <a:ext cx="4475183" cy="163596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10636</xdr:colOff>
      <xdr:row>79</xdr:row>
      <xdr:rowOff>1529711</xdr:rowOff>
    </xdr:from>
    <xdr:to>
      <xdr:col>9</xdr:col>
      <xdr:colOff>4532585</xdr:colOff>
      <xdr:row>126</xdr:row>
      <xdr:rowOff>62796</xdr:rowOff>
    </xdr:to>
    <xdr:sp>
      <xdr:nvSpPr>
        <xdr:cNvPr id="300" name="ZoneTexte 1"/>
        <xdr:cNvSpPr/>
      </xdr:nvSpPr>
      <xdr:spPr>
        <a:xfrm>
          <a:off x="7630636" y="43782611"/>
          <a:ext cx="4521950" cy="201352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10953</xdr:colOff>
      <xdr:row>79</xdr:row>
      <xdr:rowOff>1529711</xdr:rowOff>
    </xdr:from>
    <xdr:to>
      <xdr:col>9</xdr:col>
      <xdr:colOff>4532903</xdr:colOff>
      <xdr:row>124</xdr:row>
      <xdr:rowOff>17034</xdr:rowOff>
    </xdr:to>
    <xdr:sp>
      <xdr:nvSpPr>
        <xdr:cNvPr id="301" name="ZoneTexte 1"/>
        <xdr:cNvSpPr/>
      </xdr:nvSpPr>
      <xdr:spPr>
        <a:xfrm>
          <a:off x="7630953" y="43782611"/>
          <a:ext cx="4521950" cy="1601999"/>
        </a:xfrm>
        <a:prstGeom prst="rect">
          <a:avLst/>
        </a:prstGeom>
        <a:solidFill>
          <a:srgbClr val="FFFFFF"/>
        </a:solidFill>
        <a:ln w="12700" cap="flat">
          <a:noFill/>
          <a:miter lim="400000"/>
        </a:ln>
        <a:effectLst/>
      </xdr:spPr>
      <xdr:txBody>
        <a:bodyPr/>
        <a:lstStyle/>
        <a:p>
          <a:pPr/>
        </a:p>
      </xdr:txBody>
    </xdr:sp>
    <xdr:clientData/>
  </xdr:twoCellAnchor>
  <xdr:twoCellAnchor>
    <xdr:from>
      <xdr:col>5</xdr:col>
      <xdr:colOff>11781</xdr:colOff>
      <xdr:row>8</xdr:row>
      <xdr:rowOff>167760</xdr:rowOff>
    </xdr:from>
    <xdr:to>
      <xdr:col>5</xdr:col>
      <xdr:colOff>464966</xdr:colOff>
      <xdr:row>10</xdr:row>
      <xdr:rowOff>2896</xdr:rowOff>
    </xdr:to>
    <xdr:grpSp>
      <xdr:nvGrpSpPr>
        <xdr:cNvPr id="304" name="Ellipse 59"/>
        <xdr:cNvGrpSpPr/>
      </xdr:nvGrpSpPr>
      <xdr:grpSpPr>
        <a:xfrm>
          <a:off x="532481" y="2758560"/>
          <a:ext cx="453185" cy="437117"/>
          <a:chOff x="0" y="0"/>
          <a:chExt cx="453184" cy="437115"/>
        </a:xfrm>
      </xdr:grpSpPr>
      <xdr:sp>
        <xdr:nvSpPr>
          <xdr:cNvPr id="302" name="Ovale"/>
          <xdr:cNvSpPr/>
        </xdr:nvSpPr>
        <xdr:spPr>
          <a:xfrm>
            <a:off x="-1" y="0"/>
            <a:ext cx="453186" cy="437116"/>
          </a:xfrm>
          <a:prstGeom prst="ellipse">
            <a:avLst/>
          </a:prstGeom>
          <a:noFill/>
          <a:ln w="28575" cap="flat">
            <a:solidFill>
              <a:srgbClr val="203B7D"/>
            </a:solidFill>
            <a:prstDash val="solid"/>
            <a:miter lim="800000"/>
          </a:ln>
          <a:effectLst/>
        </xdr:spPr>
        <xdr:txBody>
          <a:bodyPr/>
          <a:lstStyle/>
          <a:p>
            <a:pPr/>
          </a:p>
        </xdr:txBody>
      </xdr:sp>
      <xdr:sp>
        <xdr:nvSpPr>
          <xdr:cNvPr id="303" name="1"/>
          <xdr:cNvSpPr txBox="1"/>
        </xdr:nvSpPr>
        <xdr:spPr>
          <a:xfrm>
            <a:off x="116352" y="57263"/>
            <a:ext cx="220479" cy="322590"/>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203864"/>
                </a:solidFill>
                <a:uFillTx/>
                <a:latin typeface="Calibri"/>
                <a:ea typeface="Calibri"/>
                <a:cs typeface="Calibri"/>
                <a:sym typeface="Calibri"/>
              </a:defRPr>
            </a:pPr>
            <a:r>
              <a:rPr b="0" baseline="0" cap="none" i="0" spc="0" strike="noStrike" sz="2600" u="none">
                <a:solidFill>
                  <a:srgbClr val="203864"/>
                </a:solidFill>
                <a:uFillTx/>
                <a:latin typeface="Calibri"/>
                <a:ea typeface="Calibri"/>
                <a:cs typeface="Calibri"/>
                <a:sym typeface="Calibri"/>
              </a:rPr>
              <a:t>1</a:t>
            </a:r>
          </a:p>
        </xdr:txBody>
      </xdr:sp>
    </xdr:grpSp>
    <xdr:clientData/>
  </xdr:twoCellAnchor>
  <xdr:twoCellAnchor>
    <xdr:from>
      <xdr:col>1</xdr:col>
      <xdr:colOff>304800</xdr:colOff>
      <xdr:row>24</xdr:row>
      <xdr:rowOff>153555</xdr:rowOff>
    </xdr:from>
    <xdr:to>
      <xdr:col>5</xdr:col>
      <xdr:colOff>453184</xdr:colOff>
      <xdr:row>25</xdr:row>
      <xdr:rowOff>396305</xdr:rowOff>
    </xdr:to>
    <xdr:grpSp>
      <xdr:nvGrpSpPr>
        <xdr:cNvPr id="307" name="Ellipse 60"/>
        <xdr:cNvGrpSpPr/>
      </xdr:nvGrpSpPr>
      <xdr:grpSpPr>
        <a:xfrm>
          <a:off x="520699" y="9878580"/>
          <a:ext cx="453186" cy="433251"/>
          <a:chOff x="0" y="0"/>
          <a:chExt cx="453184" cy="433250"/>
        </a:xfrm>
      </xdr:grpSpPr>
      <xdr:sp>
        <xdr:nvSpPr>
          <xdr:cNvPr id="305" name="Ovale"/>
          <xdr:cNvSpPr/>
        </xdr:nvSpPr>
        <xdr:spPr>
          <a:xfrm>
            <a:off x="-1" y="-1"/>
            <a:ext cx="453186" cy="433252"/>
          </a:xfrm>
          <a:prstGeom prst="ellipse">
            <a:avLst/>
          </a:prstGeom>
          <a:noFill/>
          <a:ln w="28575" cap="flat">
            <a:solidFill>
              <a:srgbClr val="203B7D"/>
            </a:solidFill>
            <a:prstDash val="solid"/>
            <a:miter lim="800000"/>
          </a:ln>
          <a:effectLst/>
        </xdr:spPr>
        <xdr:txBody>
          <a:bodyPr/>
          <a:lstStyle/>
          <a:p>
            <a:pPr/>
          </a:p>
        </xdr:txBody>
      </xdr:sp>
      <xdr:sp>
        <xdr:nvSpPr>
          <xdr:cNvPr id="306" name="2"/>
          <xdr:cNvSpPr txBox="1"/>
        </xdr:nvSpPr>
        <xdr:spPr>
          <a:xfrm>
            <a:off x="116352" y="56902"/>
            <a:ext cx="220479" cy="319445"/>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203B7D"/>
                </a:solidFill>
                <a:uFillTx/>
                <a:latin typeface="Calibri"/>
                <a:ea typeface="Calibri"/>
                <a:cs typeface="Calibri"/>
                <a:sym typeface="Calibri"/>
              </a:defRPr>
            </a:pPr>
            <a:r>
              <a:rPr b="0" baseline="0" cap="none" i="0" spc="0" strike="noStrike" sz="2600" u="none">
                <a:solidFill>
                  <a:srgbClr val="203B7D"/>
                </a:solidFill>
                <a:uFillTx/>
                <a:latin typeface="Calibri"/>
                <a:ea typeface="Calibri"/>
                <a:cs typeface="Calibri"/>
                <a:sym typeface="Calibri"/>
              </a:rPr>
              <a:t>2</a:t>
            </a:r>
          </a:p>
        </xdr:txBody>
      </xdr:sp>
    </xdr:grpSp>
    <xdr:clientData/>
  </xdr:twoCellAnchor>
  <xdr:twoCellAnchor>
    <xdr:from>
      <xdr:col>5</xdr:col>
      <xdr:colOff>18362</xdr:colOff>
      <xdr:row>40</xdr:row>
      <xdr:rowOff>119533</xdr:rowOff>
    </xdr:from>
    <xdr:to>
      <xdr:col>5</xdr:col>
      <xdr:colOff>471546</xdr:colOff>
      <xdr:row>41</xdr:row>
      <xdr:rowOff>362285</xdr:rowOff>
    </xdr:to>
    <xdr:grpSp>
      <xdr:nvGrpSpPr>
        <xdr:cNvPr id="310" name="Ellipse 61"/>
        <xdr:cNvGrpSpPr/>
      </xdr:nvGrpSpPr>
      <xdr:grpSpPr>
        <a:xfrm>
          <a:off x="539062" y="17796028"/>
          <a:ext cx="453185" cy="433253"/>
          <a:chOff x="0" y="0"/>
          <a:chExt cx="453184" cy="433251"/>
        </a:xfrm>
      </xdr:grpSpPr>
      <xdr:sp>
        <xdr:nvSpPr>
          <xdr:cNvPr id="308" name="Ovale"/>
          <xdr:cNvSpPr/>
        </xdr:nvSpPr>
        <xdr:spPr>
          <a:xfrm>
            <a:off x="-1" y="0"/>
            <a:ext cx="453186" cy="433252"/>
          </a:xfrm>
          <a:prstGeom prst="ellipse">
            <a:avLst/>
          </a:prstGeom>
          <a:noFill/>
          <a:ln w="28575" cap="flat">
            <a:solidFill>
              <a:srgbClr val="203B7D"/>
            </a:solidFill>
            <a:prstDash val="solid"/>
            <a:miter lim="800000"/>
          </a:ln>
          <a:effectLst/>
        </xdr:spPr>
        <xdr:txBody>
          <a:bodyPr/>
          <a:lstStyle/>
          <a:p>
            <a:pPr/>
          </a:p>
        </xdr:txBody>
      </xdr:sp>
      <xdr:sp>
        <xdr:nvSpPr>
          <xdr:cNvPr id="309" name="3"/>
          <xdr:cNvSpPr txBox="1"/>
        </xdr:nvSpPr>
        <xdr:spPr>
          <a:xfrm>
            <a:off x="116352" y="56901"/>
            <a:ext cx="220479" cy="319449"/>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203B7D"/>
                </a:solidFill>
                <a:uFillTx/>
                <a:latin typeface="Calibri"/>
                <a:ea typeface="Calibri"/>
                <a:cs typeface="Calibri"/>
                <a:sym typeface="Calibri"/>
              </a:defRPr>
            </a:pPr>
            <a:r>
              <a:rPr b="0" baseline="0" cap="none" i="0" spc="0" strike="noStrike" sz="2600" u="none">
                <a:solidFill>
                  <a:srgbClr val="203B7D"/>
                </a:solidFill>
                <a:uFillTx/>
                <a:latin typeface="Calibri"/>
                <a:ea typeface="Calibri"/>
                <a:cs typeface="Calibri"/>
                <a:sym typeface="Calibri"/>
              </a:rPr>
              <a:t>3</a:t>
            </a:r>
          </a:p>
        </xdr:txBody>
      </xdr:sp>
    </xdr:grpSp>
    <xdr:clientData/>
  </xdr:twoCellAnchor>
  <xdr:twoCellAnchor>
    <xdr:from>
      <xdr:col>1</xdr:col>
      <xdr:colOff>304800</xdr:colOff>
      <xdr:row>56</xdr:row>
      <xdr:rowOff>89055</xdr:rowOff>
    </xdr:from>
    <xdr:to>
      <xdr:col>5</xdr:col>
      <xdr:colOff>453184</xdr:colOff>
      <xdr:row>57</xdr:row>
      <xdr:rowOff>331803</xdr:rowOff>
    </xdr:to>
    <xdr:grpSp>
      <xdr:nvGrpSpPr>
        <xdr:cNvPr id="313" name="Ellipse 62"/>
        <xdr:cNvGrpSpPr/>
      </xdr:nvGrpSpPr>
      <xdr:grpSpPr>
        <a:xfrm>
          <a:off x="520699" y="32420715"/>
          <a:ext cx="453186" cy="433249"/>
          <a:chOff x="0" y="0"/>
          <a:chExt cx="453184" cy="433248"/>
        </a:xfrm>
      </xdr:grpSpPr>
      <xdr:sp>
        <xdr:nvSpPr>
          <xdr:cNvPr id="311" name="Ovale"/>
          <xdr:cNvSpPr/>
        </xdr:nvSpPr>
        <xdr:spPr>
          <a:xfrm>
            <a:off x="-1" y="-1"/>
            <a:ext cx="453186" cy="433250"/>
          </a:xfrm>
          <a:prstGeom prst="ellipse">
            <a:avLst/>
          </a:prstGeom>
          <a:noFill/>
          <a:ln w="28575" cap="flat">
            <a:solidFill>
              <a:srgbClr val="203B7D"/>
            </a:solidFill>
            <a:prstDash val="solid"/>
            <a:miter lim="800000"/>
          </a:ln>
          <a:effectLst/>
        </xdr:spPr>
        <xdr:txBody>
          <a:bodyPr/>
          <a:lstStyle/>
          <a:p>
            <a:pPr/>
          </a:p>
        </xdr:txBody>
      </xdr:sp>
      <xdr:sp>
        <xdr:nvSpPr>
          <xdr:cNvPr id="312" name="4"/>
          <xdr:cNvSpPr txBox="1"/>
        </xdr:nvSpPr>
        <xdr:spPr>
          <a:xfrm>
            <a:off x="116352" y="56902"/>
            <a:ext cx="220479" cy="319443"/>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203B7D"/>
                </a:solidFill>
                <a:uFillTx/>
                <a:latin typeface="Calibri"/>
                <a:ea typeface="Calibri"/>
                <a:cs typeface="Calibri"/>
                <a:sym typeface="Calibri"/>
              </a:defRPr>
            </a:pPr>
            <a:r>
              <a:rPr b="0" baseline="0" cap="none" i="0" spc="0" strike="noStrike" sz="2600" u="none">
                <a:solidFill>
                  <a:srgbClr val="203B7D"/>
                </a:solidFill>
                <a:uFillTx/>
                <a:latin typeface="Calibri"/>
                <a:ea typeface="Calibri"/>
                <a:cs typeface="Calibri"/>
                <a:sym typeface="Calibri"/>
              </a:rPr>
              <a:t>4</a:t>
            </a:r>
          </a:p>
        </xdr:txBody>
      </xdr:sp>
    </xdr:grpSp>
    <xdr:clientData/>
  </xdr:twoCellAnchor>
  <xdr:twoCellAnchor>
    <xdr:from>
      <xdr:col>5</xdr:col>
      <xdr:colOff>9180</xdr:colOff>
      <xdr:row>74</xdr:row>
      <xdr:rowOff>58568</xdr:rowOff>
    </xdr:from>
    <xdr:to>
      <xdr:col>5</xdr:col>
      <xdr:colOff>462365</xdr:colOff>
      <xdr:row>75</xdr:row>
      <xdr:rowOff>301316</xdr:rowOff>
    </xdr:to>
    <xdr:grpSp>
      <xdr:nvGrpSpPr>
        <xdr:cNvPr id="316" name="Ellipse 242832"/>
        <xdr:cNvGrpSpPr/>
      </xdr:nvGrpSpPr>
      <xdr:grpSpPr>
        <a:xfrm>
          <a:off x="529880" y="38208098"/>
          <a:ext cx="453185" cy="433249"/>
          <a:chOff x="0" y="0"/>
          <a:chExt cx="453184" cy="433248"/>
        </a:xfrm>
      </xdr:grpSpPr>
      <xdr:sp>
        <xdr:nvSpPr>
          <xdr:cNvPr id="314" name="Ovale"/>
          <xdr:cNvSpPr/>
        </xdr:nvSpPr>
        <xdr:spPr>
          <a:xfrm>
            <a:off x="-1" y="-1"/>
            <a:ext cx="453186" cy="433250"/>
          </a:xfrm>
          <a:prstGeom prst="ellipse">
            <a:avLst/>
          </a:prstGeom>
          <a:noFill/>
          <a:ln w="28575" cap="flat">
            <a:solidFill>
              <a:srgbClr val="203B7D"/>
            </a:solidFill>
            <a:prstDash val="solid"/>
            <a:miter lim="800000"/>
          </a:ln>
          <a:effectLst/>
        </xdr:spPr>
        <xdr:txBody>
          <a:bodyPr/>
          <a:lstStyle/>
          <a:p>
            <a:pPr/>
          </a:p>
        </xdr:txBody>
      </xdr:sp>
      <xdr:sp>
        <xdr:nvSpPr>
          <xdr:cNvPr id="315" name="5"/>
          <xdr:cNvSpPr txBox="1"/>
        </xdr:nvSpPr>
        <xdr:spPr>
          <a:xfrm>
            <a:off x="116352" y="56902"/>
            <a:ext cx="220479" cy="319443"/>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203B7D"/>
                </a:solidFill>
                <a:uFillTx/>
                <a:latin typeface="Calibri"/>
                <a:ea typeface="Calibri"/>
                <a:cs typeface="Calibri"/>
                <a:sym typeface="Calibri"/>
              </a:defRPr>
            </a:pPr>
            <a:r>
              <a:rPr b="0" baseline="0" cap="none" i="0" spc="0" strike="noStrike" sz="2600" u="none">
                <a:solidFill>
                  <a:srgbClr val="203B7D"/>
                </a:solidFill>
                <a:uFillTx/>
                <a:latin typeface="Calibri"/>
                <a:ea typeface="Calibri"/>
                <a:cs typeface="Calibri"/>
                <a:sym typeface="Calibri"/>
              </a:rPr>
              <a:t>5</a:t>
            </a:r>
          </a:p>
        </xdr:txBody>
      </xdr:sp>
    </xdr:grpSp>
    <xdr:clientData/>
  </xdr:twoCellAnchor>
  <xdr:twoCellAnchor>
    <xdr:from>
      <xdr:col>9</xdr:col>
      <xdr:colOff>10634</xdr:colOff>
      <xdr:row>60</xdr:row>
      <xdr:rowOff>1560197</xdr:rowOff>
    </xdr:from>
    <xdr:to>
      <xdr:col>9</xdr:col>
      <xdr:colOff>4574992</xdr:colOff>
      <xdr:row>74</xdr:row>
      <xdr:rowOff>181308</xdr:rowOff>
    </xdr:to>
    <xdr:sp>
      <xdr:nvSpPr>
        <xdr:cNvPr id="317" name="ZoneTexte 1"/>
        <xdr:cNvSpPr/>
      </xdr:nvSpPr>
      <xdr:spPr>
        <a:xfrm>
          <a:off x="7630634" y="36343592"/>
          <a:ext cx="4564359" cy="1987247"/>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10952</xdr:colOff>
      <xdr:row>60</xdr:row>
      <xdr:rowOff>1560197</xdr:rowOff>
    </xdr:from>
    <xdr:to>
      <xdr:col>9</xdr:col>
      <xdr:colOff>4575309</xdr:colOff>
      <xdr:row>73</xdr:row>
      <xdr:rowOff>24660</xdr:rowOff>
    </xdr:to>
    <xdr:sp>
      <xdr:nvSpPr>
        <xdr:cNvPr id="318" name="ZoneTexte 1"/>
        <xdr:cNvSpPr/>
      </xdr:nvSpPr>
      <xdr:spPr>
        <a:xfrm>
          <a:off x="7630952" y="36343592"/>
          <a:ext cx="4564358" cy="1601999"/>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46</xdr:row>
      <xdr:rowOff>1478717</xdr:rowOff>
    </xdr:from>
    <xdr:to>
      <xdr:col>9</xdr:col>
      <xdr:colOff>4542761</xdr:colOff>
      <xdr:row>47</xdr:row>
      <xdr:rowOff>1590679</xdr:rowOff>
    </xdr:to>
    <xdr:sp>
      <xdr:nvSpPr>
        <xdr:cNvPr id="319" name="ZoneTexte 1"/>
        <xdr:cNvSpPr/>
      </xdr:nvSpPr>
      <xdr:spPr>
        <a:xfrm>
          <a:off x="7648574" y="26064647"/>
          <a:ext cx="4514188" cy="163596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10635</xdr:colOff>
      <xdr:row>47</xdr:row>
      <xdr:rowOff>1613537</xdr:rowOff>
    </xdr:from>
    <xdr:to>
      <xdr:col>9</xdr:col>
      <xdr:colOff>4572000</xdr:colOff>
      <xdr:row>48</xdr:row>
      <xdr:rowOff>1463044</xdr:rowOff>
    </xdr:to>
    <xdr:sp>
      <xdr:nvSpPr>
        <xdr:cNvPr id="320" name="ZoneTexte 1"/>
        <xdr:cNvSpPr/>
      </xdr:nvSpPr>
      <xdr:spPr>
        <a:xfrm>
          <a:off x="7630635" y="27723467"/>
          <a:ext cx="4561365" cy="150114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48</xdr:row>
      <xdr:rowOff>1478718</xdr:rowOff>
    </xdr:from>
    <xdr:to>
      <xdr:col>9</xdr:col>
      <xdr:colOff>4542761</xdr:colOff>
      <xdr:row>49</xdr:row>
      <xdr:rowOff>1590680</xdr:rowOff>
    </xdr:to>
    <xdr:sp>
      <xdr:nvSpPr>
        <xdr:cNvPr id="321" name="ZoneTexte 1"/>
        <xdr:cNvSpPr/>
      </xdr:nvSpPr>
      <xdr:spPr>
        <a:xfrm>
          <a:off x="7648574" y="29240283"/>
          <a:ext cx="4514188" cy="163596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10636</xdr:colOff>
      <xdr:row>79</xdr:row>
      <xdr:rowOff>1529711</xdr:rowOff>
    </xdr:from>
    <xdr:to>
      <xdr:col>9</xdr:col>
      <xdr:colOff>4532585</xdr:colOff>
      <xdr:row>126</xdr:row>
      <xdr:rowOff>62796</xdr:rowOff>
    </xdr:to>
    <xdr:sp>
      <xdr:nvSpPr>
        <xdr:cNvPr id="322" name="ZoneTexte 1"/>
        <xdr:cNvSpPr/>
      </xdr:nvSpPr>
      <xdr:spPr>
        <a:xfrm>
          <a:off x="7630636" y="43782611"/>
          <a:ext cx="4521950" cy="201352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10953</xdr:colOff>
      <xdr:row>79</xdr:row>
      <xdr:rowOff>1529711</xdr:rowOff>
    </xdr:from>
    <xdr:to>
      <xdr:col>9</xdr:col>
      <xdr:colOff>4532903</xdr:colOff>
      <xdr:row>124</xdr:row>
      <xdr:rowOff>17034</xdr:rowOff>
    </xdr:to>
    <xdr:sp>
      <xdr:nvSpPr>
        <xdr:cNvPr id="323" name="ZoneTexte 1"/>
        <xdr:cNvSpPr/>
      </xdr:nvSpPr>
      <xdr:spPr>
        <a:xfrm>
          <a:off x="7630953" y="43782611"/>
          <a:ext cx="4521950" cy="1601999"/>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79</xdr:row>
      <xdr:rowOff>1529711</xdr:rowOff>
    </xdr:from>
    <xdr:to>
      <xdr:col>9</xdr:col>
      <xdr:colOff>4503756</xdr:colOff>
      <xdr:row>124</xdr:row>
      <xdr:rowOff>43811</xdr:rowOff>
    </xdr:to>
    <xdr:sp>
      <xdr:nvSpPr>
        <xdr:cNvPr id="324" name="ZoneTexte 1"/>
        <xdr:cNvSpPr/>
      </xdr:nvSpPr>
      <xdr:spPr>
        <a:xfrm>
          <a:off x="7648574" y="43782611"/>
          <a:ext cx="4475183" cy="162877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79</xdr:row>
      <xdr:rowOff>1529711</xdr:rowOff>
    </xdr:from>
    <xdr:to>
      <xdr:col>9</xdr:col>
      <xdr:colOff>4451453</xdr:colOff>
      <xdr:row>124</xdr:row>
      <xdr:rowOff>9518</xdr:rowOff>
    </xdr:to>
    <xdr:sp>
      <xdr:nvSpPr>
        <xdr:cNvPr id="325" name="ZoneTexte 1"/>
        <xdr:cNvSpPr/>
      </xdr:nvSpPr>
      <xdr:spPr>
        <a:xfrm>
          <a:off x="7648574" y="43782611"/>
          <a:ext cx="4422880" cy="159448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79</xdr:row>
      <xdr:rowOff>1529711</xdr:rowOff>
    </xdr:from>
    <xdr:to>
      <xdr:col>9</xdr:col>
      <xdr:colOff>4503756</xdr:colOff>
      <xdr:row>124</xdr:row>
      <xdr:rowOff>50992</xdr:rowOff>
    </xdr:to>
    <xdr:sp>
      <xdr:nvSpPr>
        <xdr:cNvPr id="326" name="ZoneTexte 1"/>
        <xdr:cNvSpPr/>
      </xdr:nvSpPr>
      <xdr:spPr>
        <a:xfrm>
          <a:off x="7648574" y="43782611"/>
          <a:ext cx="4475183" cy="1635957"/>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10636</xdr:colOff>
      <xdr:row>79</xdr:row>
      <xdr:rowOff>1529711</xdr:rowOff>
    </xdr:from>
    <xdr:to>
      <xdr:col>9</xdr:col>
      <xdr:colOff>4532585</xdr:colOff>
      <xdr:row>126</xdr:row>
      <xdr:rowOff>62796</xdr:rowOff>
    </xdr:to>
    <xdr:sp>
      <xdr:nvSpPr>
        <xdr:cNvPr id="327" name="ZoneTexte 1"/>
        <xdr:cNvSpPr/>
      </xdr:nvSpPr>
      <xdr:spPr>
        <a:xfrm>
          <a:off x="7630636" y="43782611"/>
          <a:ext cx="4521950" cy="201352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10953</xdr:colOff>
      <xdr:row>79</xdr:row>
      <xdr:rowOff>1529711</xdr:rowOff>
    </xdr:from>
    <xdr:to>
      <xdr:col>9</xdr:col>
      <xdr:colOff>4532903</xdr:colOff>
      <xdr:row>124</xdr:row>
      <xdr:rowOff>17034</xdr:rowOff>
    </xdr:to>
    <xdr:sp>
      <xdr:nvSpPr>
        <xdr:cNvPr id="328" name="ZoneTexte 1"/>
        <xdr:cNvSpPr/>
      </xdr:nvSpPr>
      <xdr:spPr>
        <a:xfrm>
          <a:off x="7630953" y="43782611"/>
          <a:ext cx="4521950" cy="1601999"/>
        </a:xfrm>
        <a:prstGeom prst="rect">
          <a:avLst/>
        </a:prstGeom>
        <a:solidFill>
          <a:srgbClr val="FFFFFF"/>
        </a:solidFill>
        <a:ln w="12700" cap="flat">
          <a:noFill/>
          <a:miter lim="400000"/>
        </a:ln>
        <a:effectLst/>
      </xdr:spPr>
      <xdr:txBody>
        <a:bodyPr/>
        <a:lstStyle/>
        <a:p>
          <a:pPr/>
        </a:p>
      </xdr:txBody>
    </xdr:sp>
    <xdr:clientData/>
  </xdr:twoCellAnchor>
  <xdr:twoCellAnchor>
    <xdr:from>
      <xdr:col>5</xdr:col>
      <xdr:colOff>9180</xdr:colOff>
      <xdr:row>79</xdr:row>
      <xdr:rowOff>1529711</xdr:rowOff>
    </xdr:from>
    <xdr:to>
      <xdr:col>5</xdr:col>
      <xdr:colOff>462365</xdr:colOff>
      <xdr:row>117</xdr:row>
      <xdr:rowOff>128448</xdr:rowOff>
    </xdr:to>
    <xdr:grpSp>
      <xdr:nvGrpSpPr>
        <xdr:cNvPr id="331" name="Ellipse 242910"/>
        <xdr:cNvGrpSpPr/>
      </xdr:nvGrpSpPr>
      <xdr:grpSpPr>
        <a:xfrm>
          <a:off x="529880" y="43782611"/>
          <a:ext cx="453185" cy="433253"/>
          <a:chOff x="0" y="0"/>
          <a:chExt cx="453184" cy="433251"/>
        </a:xfrm>
      </xdr:grpSpPr>
      <xdr:sp>
        <xdr:nvSpPr>
          <xdr:cNvPr id="329" name="Ovale"/>
          <xdr:cNvSpPr/>
        </xdr:nvSpPr>
        <xdr:spPr>
          <a:xfrm>
            <a:off x="-1" y="0"/>
            <a:ext cx="453186" cy="433252"/>
          </a:xfrm>
          <a:prstGeom prst="ellipse">
            <a:avLst/>
          </a:prstGeom>
          <a:noFill/>
          <a:ln w="28575" cap="flat">
            <a:solidFill>
              <a:srgbClr val="203B7D"/>
            </a:solidFill>
            <a:prstDash val="solid"/>
            <a:miter lim="800000"/>
          </a:ln>
          <a:effectLst/>
        </xdr:spPr>
        <xdr:txBody>
          <a:bodyPr/>
          <a:lstStyle/>
          <a:p>
            <a:pPr/>
          </a:p>
        </xdr:txBody>
      </xdr:sp>
      <xdr:sp>
        <xdr:nvSpPr>
          <xdr:cNvPr id="330" name="6"/>
          <xdr:cNvSpPr txBox="1"/>
        </xdr:nvSpPr>
        <xdr:spPr>
          <a:xfrm>
            <a:off x="116352" y="56901"/>
            <a:ext cx="220479" cy="319449"/>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203B7D"/>
                </a:solidFill>
                <a:uFillTx/>
                <a:latin typeface="Calibri"/>
                <a:ea typeface="Calibri"/>
                <a:cs typeface="Calibri"/>
                <a:sym typeface="Calibri"/>
              </a:defRPr>
            </a:pPr>
            <a:r>
              <a:rPr b="0" baseline="0" cap="none" i="0" spc="0" strike="noStrike" sz="2600" u="none">
                <a:solidFill>
                  <a:srgbClr val="203B7D"/>
                </a:solidFill>
                <a:uFillTx/>
                <a:latin typeface="Calibri"/>
                <a:ea typeface="Calibri"/>
                <a:cs typeface="Calibri"/>
                <a:sym typeface="Calibri"/>
              </a:rPr>
              <a:t>6</a:t>
            </a:r>
          </a:p>
        </xdr:txBody>
      </xdr:sp>
    </xdr:grpSp>
    <xdr:clientData/>
  </xdr:twoCellAnchor>
  <xdr:twoCellAnchor>
    <xdr:from>
      <xdr:col>9</xdr:col>
      <xdr:colOff>10636</xdr:colOff>
      <xdr:row>79</xdr:row>
      <xdr:rowOff>1529711</xdr:rowOff>
    </xdr:from>
    <xdr:to>
      <xdr:col>9</xdr:col>
      <xdr:colOff>4532585</xdr:colOff>
      <xdr:row>126</xdr:row>
      <xdr:rowOff>62796</xdr:rowOff>
    </xdr:to>
    <xdr:sp>
      <xdr:nvSpPr>
        <xdr:cNvPr id="332" name="ZoneTexte 1"/>
        <xdr:cNvSpPr/>
      </xdr:nvSpPr>
      <xdr:spPr>
        <a:xfrm>
          <a:off x="7630636" y="43782611"/>
          <a:ext cx="4521950" cy="201352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10953</xdr:colOff>
      <xdr:row>79</xdr:row>
      <xdr:rowOff>1529711</xdr:rowOff>
    </xdr:from>
    <xdr:to>
      <xdr:col>9</xdr:col>
      <xdr:colOff>4532903</xdr:colOff>
      <xdr:row>124</xdr:row>
      <xdr:rowOff>17034</xdr:rowOff>
    </xdr:to>
    <xdr:sp>
      <xdr:nvSpPr>
        <xdr:cNvPr id="333" name="ZoneTexte 1"/>
        <xdr:cNvSpPr/>
      </xdr:nvSpPr>
      <xdr:spPr>
        <a:xfrm>
          <a:off x="7630953" y="43782611"/>
          <a:ext cx="4521950" cy="1601999"/>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79</xdr:row>
      <xdr:rowOff>1529711</xdr:rowOff>
    </xdr:from>
    <xdr:to>
      <xdr:col>9</xdr:col>
      <xdr:colOff>4503756</xdr:colOff>
      <xdr:row>124</xdr:row>
      <xdr:rowOff>43811</xdr:rowOff>
    </xdr:to>
    <xdr:sp>
      <xdr:nvSpPr>
        <xdr:cNvPr id="334" name="ZoneTexte 1"/>
        <xdr:cNvSpPr/>
      </xdr:nvSpPr>
      <xdr:spPr>
        <a:xfrm>
          <a:off x="7648574" y="43782611"/>
          <a:ext cx="4475183" cy="162877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79</xdr:row>
      <xdr:rowOff>1529711</xdr:rowOff>
    </xdr:from>
    <xdr:to>
      <xdr:col>9</xdr:col>
      <xdr:colOff>4451453</xdr:colOff>
      <xdr:row>124</xdr:row>
      <xdr:rowOff>9518</xdr:rowOff>
    </xdr:to>
    <xdr:sp>
      <xdr:nvSpPr>
        <xdr:cNvPr id="335" name="ZoneTexte 1"/>
        <xdr:cNvSpPr/>
      </xdr:nvSpPr>
      <xdr:spPr>
        <a:xfrm>
          <a:off x="7648574" y="43782611"/>
          <a:ext cx="4422880" cy="159448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79</xdr:row>
      <xdr:rowOff>1529711</xdr:rowOff>
    </xdr:from>
    <xdr:to>
      <xdr:col>9</xdr:col>
      <xdr:colOff>4503756</xdr:colOff>
      <xdr:row>124</xdr:row>
      <xdr:rowOff>50992</xdr:rowOff>
    </xdr:to>
    <xdr:sp>
      <xdr:nvSpPr>
        <xdr:cNvPr id="336" name="ZoneTexte 1"/>
        <xdr:cNvSpPr/>
      </xdr:nvSpPr>
      <xdr:spPr>
        <a:xfrm>
          <a:off x="7648574" y="43782611"/>
          <a:ext cx="4475183" cy="1635957"/>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10636</xdr:colOff>
      <xdr:row>79</xdr:row>
      <xdr:rowOff>1529711</xdr:rowOff>
    </xdr:from>
    <xdr:to>
      <xdr:col>9</xdr:col>
      <xdr:colOff>4532585</xdr:colOff>
      <xdr:row>126</xdr:row>
      <xdr:rowOff>62796</xdr:rowOff>
    </xdr:to>
    <xdr:sp>
      <xdr:nvSpPr>
        <xdr:cNvPr id="337" name="ZoneTexte 1"/>
        <xdr:cNvSpPr/>
      </xdr:nvSpPr>
      <xdr:spPr>
        <a:xfrm>
          <a:off x="7630636" y="43782611"/>
          <a:ext cx="4521950" cy="201352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10953</xdr:colOff>
      <xdr:row>79</xdr:row>
      <xdr:rowOff>1529711</xdr:rowOff>
    </xdr:from>
    <xdr:to>
      <xdr:col>9</xdr:col>
      <xdr:colOff>4532903</xdr:colOff>
      <xdr:row>124</xdr:row>
      <xdr:rowOff>17034</xdr:rowOff>
    </xdr:to>
    <xdr:sp>
      <xdr:nvSpPr>
        <xdr:cNvPr id="338" name="ZoneTexte 1"/>
        <xdr:cNvSpPr/>
      </xdr:nvSpPr>
      <xdr:spPr>
        <a:xfrm>
          <a:off x="7630953" y="43782611"/>
          <a:ext cx="4521950" cy="1601999"/>
        </a:xfrm>
        <a:prstGeom prst="rect">
          <a:avLst/>
        </a:prstGeom>
        <a:solidFill>
          <a:srgbClr val="FFFFFF"/>
        </a:solidFill>
        <a:ln w="12700" cap="flat">
          <a:noFill/>
          <a:miter lim="400000"/>
        </a:ln>
        <a:effectLst/>
      </xdr:spPr>
      <xdr:txBody>
        <a:bodyPr/>
        <a:lstStyle/>
        <a:p>
          <a:pPr/>
        </a:p>
      </xdr:txBody>
    </xdr:sp>
    <xdr:clientData/>
  </xdr:twoCellAnchor>
  <xdr:twoCellAnchor>
    <xdr:from>
      <xdr:col>5</xdr:col>
      <xdr:colOff>9180</xdr:colOff>
      <xdr:row>79</xdr:row>
      <xdr:rowOff>1529711</xdr:rowOff>
    </xdr:from>
    <xdr:to>
      <xdr:col>5</xdr:col>
      <xdr:colOff>462365</xdr:colOff>
      <xdr:row>117</xdr:row>
      <xdr:rowOff>128448</xdr:rowOff>
    </xdr:to>
    <xdr:grpSp>
      <xdr:nvGrpSpPr>
        <xdr:cNvPr id="341" name="Ellipse 242960"/>
        <xdr:cNvGrpSpPr/>
      </xdr:nvGrpSpPr>
      <xdr:grpSpPr>
        <a:xfrm>
          <a:off x="529880" y="43782611"/>
          <a:ext cx="453185" cy="433253"/>
          <a:chOff x="0" y="0"/>
          <a:chExt cx="453184" cy="433251"/>
        </a:xfrm>
      </xdr:grpSpPr>
      <xdr:sp>
        <xdr:nvSpPr>
          <xdr:cNvPr id="339" name="Ovale"/>
          <xdr:cNvSpPr/>
        </xdr:nvSpPr>
        <xdr:spPr>
          <a:xfrm>
            <a:off x="-1" y="0"/>
            <a:ext cx="453186" cy="433252"/>
          </a:xfrm>
          <a:prstGeom prst="ellipse">
            <a:avLst/>
          </a:prstGeom>
          <a:noFill/>
          <a:ln w="28575" cap="flat">
            <a:solidFill>
              <a:srgbClr val="203B7D"/>
            </a:solidFill>
            <a:prstDash val="solid"/>
            <a:miter lim="800000"/>
          </a:ln>
          <a:effectLst/>
        </xdr:spPr>
        <xdr:txBody>
          <a:bodyPr/>
          <a:lstStyle/>
          <a:p>
            <a:pPr/>
          </a:p>
        </xdr:txBody>
      </xdr:sp>
      <xdr:sp>
        <xdr:nvSpPr>
          <xdr:cNvPr id="340" name="7"/>
          <xdr:cNvSpPr txBox="1"/>
        </xdr:nvSpPr>
        <xdr:spPr>
          <a:xfrm>
            <a:off x="116352" y="56901"/>
            <a:ext cx="220479" cy="319449"/>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203B7D"/>
                </a:solidFill>
                <a:uFillTx/>
                <a:latin typeface="Calibri"/>
                <a:ea typeface="Calibri"/>
                <a:cs typeface="Calibri"/>
                <a:sym typeface="Calibri"/>
              </a:defRPr>
            </a:pPr>
            <a:r>
              <a:rPr b="0" baseline="0" cap="none" i="0" spc="0" strike="noStrike" sz="2600" u="none">
                <a:solidFill>
                  <a:srgbClr val="203B7D"/>
                </a:solidFill>
                <a:uFillTx/>
                <a:latin typeface="Calibri"/>
                <a:ea typeface="Calibri"/>
                <a:cs typeface="Calibri"/>
                <a:sym typeface="Calibri"/>
              </a:rPr>
              <a:t>7</a:t>
            </a:r>
          </a:p>
        </xdr:txBody>
      </xdr:sp>
    </xdr:grpSp>
    <xdr:clientData/>
  </xdr:twoCellAnchor>
  <xdr:twoCellAnchor>
    <xdr:from>
      <xdr:col>9</xdr:col>
      <xdr:colOff>10636</xdr:colOff>
      <xdr:row>79</xdr:row>
      <xdr:rowOff>1529711</xdr:rowOff>
    </xdr:from>
    <xdr:to>
      <xdr:col>9</xdr:col>
      <xdr:colOff>4532585</xdr:colOff>
      <xdr:row>126</xdr:row>
      <xdr:rowOff>62796</xdr:rowOff>
    </xdr:to>
    <xdr:sp>
      <xdr:nvSpPr>
        <xdr:cNvPr id="342" name="ZoneTexte 1"/>
        <xdr:cNvSpPr/>
      </xdr:nvSpPr>
      <xdr:spPr>
        <a:xfrm>
          <a:off x="7630636" y="43782611"/>
          <a:ext cx="4521950" cy="201352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10953</xdr:colOff>
      <xdr:row>79</xdr:row>
      <xdr:rowOff>1529711</xdr:rowOff>
    </xdr:from>
    <xdr:to>
      <xdr:col>9</xdr:col>
      <xdr:colOff>4532903</xdr:colOff>
      <xdr:row>124</xdr:row>
      <xdr:rowOff>17034</xdr:rowOff>
    </xdr:to>
    <xdr:sp>
      <xdr:nvSpPr>
        <xdr:cNvPr id="343" name="ZoneTexte 1"/>
        <xdr:cNvSpPr/>
      </xdr:nvSpPr>
      <xdr:spPr>
        <a:xfrm>
          <a:off x="7630953" y="43782611"/>
          <a:ext cx="4521950" cy="1601999"/>
        </a:xfrm>
        <a:prstGeom prst="rect">
          <a:avLst/>
        </a:prstGeom>
        <a:solidFill>
          <a:srgbClr val="FFFFFF"/>
        </a:solidFill>
        <a:ln w="12700" cap="flat">
          <a:noFill/>
          <a:miter lim="400000"/>
        </a:ln>
        <a:effectLst/>
      </xdr:spPr>
      <xdr:txBody>
        <a:bodyPr/>
        <a:lstStyle/>
        <a:p>
          <a:pPr/>
        </a:p>
      </xdr:txBody>
    </xdr:sp>
    <xdr:clientData/>
  </xdr:twoCellAnchor>
</xdr:wsDr>
</file>

<file path=xl/drawings/drawing12.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6</xdr:col>
      <xdr:colOff>1011115</xdr:colOff>
      <xdr:row>21</xdr:row>
      <xdr:rowOff>175845</xdr:rowOff>
    </xdr:from>
    <xdr:to>
      <xdr:col>6</xdr:col>
      <xdr:colOff>4074990</xdr:colOff>
      <xdr:row>22</xdr:row>
      <xdr:rowOff>203598</xdr:rowOff>
    </xdr:to>
    <xdr:grpSp>
      <xdr:nvGrpSpPr>
        <xdr:cNvPr id="347" name="Rectangle : coins arrondis 1"/>
        <xdr:cNvGrpSpPr/>
      </xdr:nvGrpSpPr>
      <xdr:grpSpPr>
        <a:xfrm>
          <a:off x="3855915" y="7940625"/>
          <a:ext cx="3063876" cy="667834"/>
          <a:chOff x="0" y="0"/>
          <a:chExt cx="3063875" cy="667832"/>
        </a:xfrm>
      </xdr:grpSpPr>
      <xdr:sp>
        <xdr:nvSpPr>
          <xdr:cNvPr id="345" name="Rectangle aux angles arrondis"/>
          <xdr:cNvSpPr/>
        </xdr:nvSpPr>
        <xdr:spPr>
          <a:xfrm>
            <a:off x="0" y="0"/>
            <a:ext cx="3063875" cy="667833"/>
          </a:xfrm>
          <a:prstGeom prst="roundRect">
            <a:avLst>
              <a:gd name="adj" fmla="val 16667"/>
            </a:avLst>
          </a:prstGeom>
          <a:solidFill>
            <a:srgbClr val="DEEBF7"/>
          </a:solidFill>
          <a:ln w="28575" cap="flat">
            <a:solidFill>
              <a:srgbClr val="C00000"/>
            </a:solidFill>
            <a:prstDash val="solid"/>
            <a:miter lim="800000"/>
          </a:ln>
          <a:effectLst>
            <a:outerShdw sx="100000" sy="100000" kx="0" ky="0" algn="b" rotWithShape="0" blurRad="63500" dist="0" dir="0">
              <a:srgbClr val="000000">
                <a:alpha val="40000"/>
              </a:srgbClr>
            </a:outerShdw>
          </a:effectLst>
        </xdr:spPr>
        <xdr:txBody>
          <a:bodyPr/>
          <a:lstStyle/>
          <a:p>
            <a:pPr/>
          </a:p>
        </xdr:txBody>
      </xdr:sp>
      <xdr:sp>
        <xdr:nvSpPr>
          <xdr:cNvPr id="346" name="Calculer la maturité"/>
          <xdr:cNvSpPr txBox="1"/>
        </xdr:nvSpPr>
        <xdr:spPr>
          <a:xfrm>
            <a:off x="73558" y="3834"/>
            <a:ext cx="2916759" cy="660164"/>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1" baseline="0" cap="none" i="0" spc="0" strike="noStrike" sz="1800" u="none">
                <a:solidFill>
                  <a:srgbClr val="C00000"/>
                </a:solidFill>
                <a:uFillTx/>
                <a:latin typeface="Aptos Light"/>
                <a:ea typeface="Aptos Light"/>
                <a:cs typeface="Aptos Light"/>
                <a:sym typeface="Aptos Light"/>
              </a:defRPr>
            </a:pPr>
            <a:r>
              <a:rPr b="1" baseline="0" cap="none" i="0" spc="0" strike="noStrike" sz="1800" u="none">
                <a:solidFill>
                  <a:srgbClr val="C00000"/>
                </a:solidFill>
                <a:uFillTx/>
                <a:latin typeface="Aptos Light"/>
                <a:ea typeface="Aptos Light"/>
                <a:cs typeface="Aptos Light"/>
                <a:sym typeface="Aptos Light"/>
              </a:rPr>
              <a:t>Calculer la maturité</a:t>
            </a:r>
          </a:p>
        </xdr:txBody>
      </xdr:sp>
    </xdr:grpSp>
    <xdr:clientData/>
  </xdr:twoCellAnchor>
</xdr:wsDr>
</file>

<file path=xl/drawings/drawing13.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9</xdr:col>
      <xdr:colOff>28574</xdr:colOff>
      <xdr:row>11</xdr:row>
      <xdr:rowOff>22859</xdr:rowOff>
    </xdr:from>
    <xdr:to>
      <xdr:col>9</xdr:col>
      <xdr:colOff>4500553</xdr:colOff>
      <xdr:row>11</xdr:row>
      <xdr:rowOff>1651634</xdr:rowOff>
    </xdr:to>
    <xdr:sp>
      <xdr:nvSpPr>
        <xdr:cNvPr id="349" name="ZoneTexte 1"/>
        <xdr:cNvSpPr/>
      </xdr:nvSpPr>
      <xdr:spPr>
        <a:xfrm>
          <a:off x="7648574" y="3398519"/>
          <a:ext cx="4471980" cy="162877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12</xdr:row>
      <xdr:rowOff>57149</xdr:rowOff>
    </xdr:from>
    <xdr:to>
      <xdr:col>9</xdr:col>
      <xdr:colOff>4529666</xdr:colOff>
      <xdr:row>12</xdr:row>
      <xdr:rowOff>1651633</xdr:rowOff>
    </xdr:to>
    <xdr:sp>
      <xdr:nvSpPr>
        <xdr:cNvPr id="350" name="ZoneTexte 1"/>
        <xdr:cNvSpPr/>
      </xdr:nvSpPr>
      <xdr:spPr>
        <a:xfrm>
          <a:off x="7648574" y="5084444"/>
          <a:ext cx="4501093" cy="1594485"/>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13</xdr:row>
      <xdr:rowOff>15674</xdr:rowOff>
    </xdr:from>
    <xdr:to>
      <xdr:col>9</xdr:col>
      <xdr:colOff>4500553</xdr:colOff>
      <xdr:row>13</xdr:row>
      <xdr:rowOff>1651633</xdr:rowOff>
    </xdr:to>
    <xdr:sp>
      <xdr:nvSpPr>
        <xdr:cNvPr id="351" name="ZoneTexte 1"/>
        <xdr:cNvSpPr/>
      </xdr:nvSpPr>
      <xdr:spPr>
        <a:xfrm>
          <a:off x="7648574" y="6694604"/>
          <a:ext cx="4471980" cy="1635960"/>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10635</xdr:colOff>
      <xdr:row>14</xdr:row>
      <xdr:rowOff>22858</xdr:rowOff>
    </xdr:from>
    <xdr:to>
      <xdr:col>9</xdr:col>
      <xdr:colOff>4529350</xdr:colOff>
      <xdr:row>15</xdr:row>
      <xdr:rowOff>422696</xdr:rowOff>
    </xdr:to>
    <xdr:sp>
      <xdr:nvSpPr>
        <xdr:cNvPr id="352" name="ZoneTexte 1"/>
        <xdr:cNvSpPr/>
      </xdr:nvSpPr>
      <xdr:spPr>
        <a:xfrm>
          <a:off x="7630635" y="8353423"/>
          <a:ext cx="4518715" cy="2051474"/>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10952</xdr:colOff>
      <xdr:row>15</xdr:row>
      <xdr:rowOff>19738</xdr:rowOff>
    </xdr:from>
    <xdr:to>
      <xdr:col>9</xdr:col>
      <xdr:colOff>4529667</xdr:colOff>
      <xdr:row>15</xdr:row>
      <xdr:rowOff>1621737</xdr:rowOff>
    </xdr:to>
    <xdr:sp>
      <xdr:nvSpPr>
        <xdr:cNvPr id="353" name="ZoneTexte 1"/>
        <xdr:cNvSpPr/>
      </xdr:nvSpPr>
      <xdr:spPr>
        <a:xfrm>
          <a:off x="7630952" y="10001938"/>
          <a:ext cx="4518715" cy="1602000"/>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10952</xdr:colOff>
      <xdr:row>15</xdr:row>
      <xdr:rowOff>1651634</xdr:rowOff>
    </xdr:from>
    <xdr:to>
      <xdr:col>9</xdr:col>
      <xdr:colOff>4529667</xdr:colOff>
      <xdr:row>25</xdr:row>
      <xdr:rowOff>17039</xdr:rowOff>
    </xdr:to>
    <xdr:sp>
      <xdr:nvSpPr>
        <xdr:cNvPr id="354" name="ZoneTexte 1"/>
        <xdr:cNvSpPr/>
      </xdr:nvSpPr>
      <xdr:spPr>
        <a:xfrm>
          <a:off x="7630952" y="11633834"/>
          <a:ext cx="4518715" cy="160200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15715</xdr:colOff>
      <xdr:row>15</xdr:row>
      <xdr:rowOff>1651634</xdr:rowOff>
    </xdr:from>
    <xdr:to>
      <xdr:col>9</xdr:col>
      <xdr:colOff>4534430</xdr:colOff>
      <xdr:row>25</xdr:row>
      <xdr:rowOff>17038</xdr:rowOff>
    </xdr:to>
    <xdr:sp>
      <xdr:nvSpPr>
        <xdr:cNvPr id="355" name="ZoneTexte 1"/>
        <xdr:cNvSpPr/>
      </xdr:nvSpPr>
      <xdr:spPr>
        <a:xfrm>
          <a:off x="7635715" y="11633834"/>
          <a:ext cx="4518716" cy="1602000"/>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26</xdr:row>
      <xdr:rowOff>182880</xdr:rowOff>
    </xdr:from>
    <xdr:to>
      <xdr:col>9</xdr:col>
      <xdr:colOff>4519448</xdr:colOff>
      <xdr:row>27</xdr:row>
      <xdr:rowOff>1621155</xdr:rowOff>
    </xdr:to>
    <xdr:sp>
      <xdr:nvSpPr>
        <xdr:cNvPr id="356" name="ZoneTexte 1"/>
        <xdr:cNvSpPr/>
      </xdr:nvSpPr>
      <xdr:spPr>
        <a:xfrm>
          <a:off x="7648574" y="13820775"/>
          <a:ext cx="4490875" cy="1628775"/>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28</xdr:row>
      <xdr:rowOff>26669</xdr:rowOff>
    </xdr:from>
    <xdr:to>
      <xdr:col>9</xdr:col>
      <xdr:colOff>4466961</xdr:colOff>
      <xdr:row>28</xdr:row>
      <xdr:rowOff>2324100</xdr:rowOff>
    </xdr:to>
    <xdr:sp>
      <xdr:nvSpPr>
        <xdr:cNvPr id="357" name="ZoneTexte 1"/>
        <xdr:cNvSpPr/>
      </xdr:nvSpPr>
      <xdr:spPr>
        <a:xfrm>
          <a:off x="7648574" y="15506699"/>
          <a:ext cx="4438388" cy="2297432"/>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28</xdr:row>
      <xdr:rowOff>2339775</xdr:rowOff>
    </xdr:from>
    <xdr:to>
      <xdr:col>9</xdr:col>
      <xdr:colOff>4519448</xdr:colOff>
      <xdr:row>29</xdr:row>
      <xdr:rowOff>1621155</xdr:rowOff>
    </xdr:to>
    <xdr:sp>
      <xdr:nvSpPr>
        <xdr:cNvPr id="358" name="ZoneTexte 1"/>
        <xdr:cNvSpPr/>
      </xdr:nvSpPr>
      <xdr:spPr>
        <a:xfrm>
          <a:off x="7648574" y="17819805"/>
          <a:ext cx="4490875" cy="163596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10635</xdr:colOff>
      <xdr:row>29</xdr:row>
      <xdr:rowOff>1644016</xdr:rowOff>
    </xdr:from>
    <xdr:to>
      <xdr:col>9</xdr:col>
      <xdr:colOff>4548441</xdr:colOff>
      <xdr:row>30</xdr:row>
      <xdr:rowOff>1623743</xdr:rowOff>
    </xdr:to>
    <xdr:sp>
      <xdr:nvSpPr>
        <xdr:cNvPr id="359" name="ZoneTexte 1"/>
        <xdr:cNvSpPr/>
      </xdr:nvSpPr>
      <xdr:spPr>
        <a:xfrm>
          <a:off x="7630635" y="19478626"/>
          <a:ext cx="4537807" cy="163136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10952</xdr:colOff>
      <xdr:row>30</xdr:row>
      <xdr:rowOff>1640894</xdr:rowOff>
    </xdr:from>
    <xdr:to>
      <xdr:col>9</xdr:col>
      <xdr:colOff>4548759</xdr:colOff>
      <xdr:row>31</xdr:row>
      <xdr:rowOff>1591258</xdr:rowOff>
    </xdr:to>
    <xdr:sp>
      <xdr:nvSpPr>
        <xdr:cNvPr id="360" name="ZoneTexte 1"/>
        <xdr:cNvSpPr/>
      </xdr:nvSpPr>
      <xdr:spPr>
        <a:xfrm>
          <a:off x="7630952" y="21127139"/>
          <a:ext cx="4537807" cy="1602000"/>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10952</xdr:colOff>
      <xdr:row>32</xdr:row>
      <xdr:rowOff>7989</xdr:rowOff>
    </xdr:from>
    <xdr:to>
      <xdr:col>9</xdr:col>
      <xdr:colOff>4548759</xdr:colOff>
      <xdr:row>32</xdr:row>
      <xdr:rowOff>1609990</xdr:rowOff>
    </xdr:to>
    <xdr:sp>
      <xdr:nvSpPr>
        <xdr:cNvPr id="361" name="ZoneTexte 1"/>
        <xdr:cNvSpPr/>
      </xdr:nvSpPr>
      <xdr:spPr>
        <a:xfrm>
          <a:off x="7630952" y="22797504"/>
          <a:ext cx="4537807" cy="1602002"/>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15716</xdr:colOff>
      <xdr:row>32</xdr:row>
      <xdr:rowOff>1627501</xdr:rowOff>
    </xdr:from>
    <xdr:to>
      <xdr:col>9</xdr:col>
      <xdr:colOff>4553522</xdr:colOff>
      <xdr:row>33</xdr:row>
      <xdr:rowOff>1583580</xdr:rowOff>
    </xdr:to>
    <xdr:sp>
      <xdr:nvSpPr>
        <xdr:cNvPr id="362" name="ZoneTexte 1"/>
        <xdr:cNvSpPr/>
      </xdr:nvSpPr>
      <xdr:spPr>
        <a:xfrm>
          <a:off x="7635716" y="24417016"/>
          <a:ext cx="4537807" cy="1602000"/>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42</xdr:row>
      <xdr:rowOff>152398</xdr:rowOff>
    </xdr:from>
    <xdr:to>
      <xdr:col>9</xdr:col>
      <xdr:colOff>2636519</xdr:colOff>
      <xdr:row>43</xdr:row>
      <xdr:rowOff>1590673</xdr:rowOff>
    </xdr:to>
    <xdr:sp>
      <xdr:nvSpPr>
        <xdr:cNvPr id="363" name="ZoneTexte 1"/>
        <xdr:cNvSpPr/>
      </xdr:nvSpPr>
      <xdr:spPr>
        <a:xfrm>
          <a:off x="7648574" y="28243528"/>
          <a:ext cx="2607946" cy="162877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42</xdr:row>
      <xdr:rowOff>152398</xdr:rowOff>
    </xdr:from>
    <xdr:to>
      <xdr:col>9</xdr:col>
      <xdr:colOff>4542761</xdr:colOff>
      <xdr:row>43</xdr:row>
      <xdr:rowOff>1590673</xdr:rowOff>
    </xdr:to>
    <xdr:sp>
      <xdr:nvSpPr>
        <xdr:cNvPr id="364" name="ZoneTexte 1"/>
        <xdr:cNvSpPr/>
      </xdr:nvSpPr>
      <xdr:spPr>
        <a:xfrm>
          <a:off x="7648574" y="28243528"/>
          <a:ext cx="4514188" cy="162877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43</xdr:row>
      <xdr:rowOff>1647823</xdr:rowOff>
    </xdr:from>
    <xdr:to>
      <xdr:col>9</xdr:col>
      <xdr:colOff>4490003</xdr:colOff>
      <xdr:row>44</xdr:row>
      <xdr:rowOff>1844038</xdr:rowOff>
    </xdr:to>
    <xdr:sp>
      <xdr:nvSpPr>
        <xdr:cNvPr id="365" name="ZoneTexte 1"/>
        <xdr:cNvSpPr/>
      </xdr:nvSpPr>
      <xdr:spPr>
        <a:xfrm>
          <a:off x="7648574" y="29929453"/>
          <a:ext cx="4461430" cy="184785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44</xdr:row>
      <xdr:rowOff>1859712</xdr:rowOff>
    </xdr:from>
    <xdr:to>
      <xdr:col>9</xdr:col>
      <xdr:colOff>4542761</xdr:colOff>
      <xdr:row>45</xdr:row>
      <xdr:rowOff>1590674</xdr:rowOff>
    </xdr:to>
    <xdr:sp>
      <xdr:nvSpPr>
        <xdr:cNvPr id="366" name="ZoneTexte 1"/>
        <xdr:cNvSpPr/>
      </xdr:nvSpPr>
      <xdr:spPr>
        <a:xfrm>
          <a:off x="7648574" y="31792977"/>
          <a:ext cx="4514188" cy="163596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10635</xdr:colOff>
      <xdr:row>45</xdr:row>
      <xdr:rowOff>1613532</xdr:rowOff>
    </xdr:from>
    <xdr:to>
      <xdr:col>9</xdr:col>
      <xdr:colOff>4572000</xdr:colOff>
      <xdr:row>46</xdr:row>
      <xdr:rowOff>1463038</xdr:rowOff>
    </xdr:to>
    <xdr:sp>
      <xdr:nvSpPr>
        <xdr:cNvPr id="367" name="ZoneTexte 1"/>
        <xdr:cNvSpPr/>
      </xdr:nvSpPr>
      <xdr:spPr>
        <a:xfrm>
          <a:off x="7630635" y="33451796"/>
          <a:ext cx="4561365" cy="150114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58</xdr:row>
      <xdr:rowOff>121916</xdr:rowOff>
    </xdr:from>
    <xdr:to>
      <xdr:col>9</xdr:col>
      <xdr:colOff>4545724</xdr:colOff>
      <xdr:row>59</xdr:row>
      <xdr:rowOff>1560191</xdr:rowOff>
    </xdr:to>
    <xdr:sp>
      <xdr:nvSpPr>
        <xdr:cNvPr id="368" name="ZoneTexte 1"/>
        <xdr:cNvSpPr/>
      </xdr:nvSpPr>
      <xdr:spPr>
        <a:xfrm>
          <a:off x="7648574" y="38791511"/>
          <a:ext cx="4517151" cy="162877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59</xdr:row>
      <xdr:rowOff>1617341</xdr:rowOff>
    </xdr:from>
    <xdr:to>
      <xdr:col>9</xdr:col>
      <xdr:colOff>4492930</xdr:colOff>
      <xdr:row>60</xdr:row>
      <xdr:rowOff>1560191</xdr:rowOff>
    </xdr:to>
    <xdr:sp>
      <xdr:nvSpPr>
        <xdr:cNvPr id="369" name="ZoneTexte 1"/>
        <xdr:cNvSpPr/>
      </xdr:nvSpPr>
      <xdr:spPr>
        <a:xfrm>
          <a:off x="7648574" y="40477436"/>
          <a:ext cx="4464357" cy="159448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60</xdr:row>
      <xdr:rowOff>1575865</xdr:rowOff>
    </xdr:from>
    <xdr:to>
      <xdr:col>9</xdr:col>
      <xdr:colOff>4545724</xdr:colOff>
      <xdr:row>61</xdr:row>
      <xdr:rowOff>1560192</xdr:rowOff>
    </xdr:to>
    <xdr:sp>
      <xdr:nvSpPr>
        <xdr:cNvPr id="370" name="ZoneTexte 1"/>
        <xdr:cNvSpPr/>
      </xdr:nvSpPr>
      <xdr:spPr>
        <a:xfrm>
          <a:off x="7648574" y="42087595"/>
          <a:ext cx="4517151" cy="163596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10634</xdr:colOff>
      <xdr:row>61</xdr:row>
      <xdr:rowOff>1583050</xdr:rowOff>
    </xdr:from>
    <xdr:to>
      <xdr:col>9</xdr:col>
      <xdr:colOff>4574992</xdr:colOff>
      <xdr:row>63</xdr:row>
      <xdr:rowOff>267023</xdr:rowOff>
    </xdr:to>
    <xdr:sp>
      <xdr:nvSpPr>
        <xdr:cNvPr id="371" name="ZoneTexte 1"/>
        <xdr:cNvSpPr/>
      </xdr:nvSpPr>
      <xdr:spPr>
        <a:xfrm>
          <a:off x="7630634" y="43746415"/>
          <a:ext cx="4564359" cy="1987244"/>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10952</xdr:colOff>
      <xdr:row>62</xdr:row>
      <xdr:rowOff>1579931</xdr:rowOff>
    </xdr:from>
    <xdr:to>
      <xdr:col>9</xdr:col>
      <xdr:colOff>4575309</xdr:colOff>
      <xdr:row>63</xdr:row>
      <xdr:rowOff>1530297</xdr:rowOff>
    </xdr:to>
    <xdr:sp>
      <xdr:nvSpPr>
        <xdr:cNvPr id="372" name="ZoneTexte 1"/>
        <xdr:cNvSpPr/>
      </xdr:nvSpPr>
      <xdr:spPr>
        <a:xfrm>
          <a:off x="7630952" y="45394931"/>
          <a:ext cx="4564358" cy="1602002"/>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10952</xdr:colOff>
      <xdr:row>63</xdr:row>
      <xdr:rowOff>1560193</xdr:rowOff>
    </xdr:from>
    <xdr:to>
      <xdr:col>9</xdr:col>
      <xdr:colOff>4571998</xdr:colOff>
      <xdr:row>73</xdr:row>
      <xdr:rowOff>24662</xdr:rowOff>
    </xdr:to>
    <xdr:sp>
      <xdr:nvSpPr>
        <xdr:cNvPr id="373" name="ZoneTexte 1"/>
        <xdr:cNvSpPr/>
      </xdr:nvSpPr>
      <xdr:spPr>
        <a:xfrm>
          <a:off x="7630952" y="47026828"/>
          <a:ext cx="4561047" cy="1602005"/>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76</xdr:row>
      <xdr:rowOff>91431</xdr:rowOff>
    </xdr:from>
    <xdr:to>
      <xdr:col>9</xdr:col>
      <xdr:colOff>4503756</xdr:colOff>
      <xdr:row>77</xdr:row>
      <xdr:rowOff>1529706</xdr:rowOff>
    </xdr:to>
    <xdr:sp>
      <xdr:nvSpPr>
        <xdr:cNvPr id="374" name="ZoneTexte 1"/>
        <xdr:cNvSpPr/>
      </xdr:nvSpPr>
      <xdr:spPr>
        <a:xfrm>
          <a:off x="7648574" y="49533801"/>
          <a:ext cx="4475183" cy="162877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77</xdr:row>
      <xdr:rowOff>1586856</xdr:rowOff>
    </xdr:from>
    <xdr:to>
      <xdr:col>9</xdr:col>
      <xdr:colOff>4451453</xdr:colOff>
      <xdr:row>78</xdr:row>
      <xdr:rowOff>1529703</xdr:rowOff>
    </xdr:to>
    <xdr:sp>
      <xdr:nvSpPr>
        <xdr:cNvPr id="375" name="ZoneTexte 1"/>
        <xdr:cNvSpPr/>
      </xdr:nvSpPr>
      <xdr:spPr>
        <a:xfrm>
          <a:off x="7648574" y="51219726"/>
          <a:ext cx="4422880" cy="159448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78</xdr:row>
      <xdr:rowOff>1545380</xdr:rowOff>
    </xdr:from>
    <xdr:to>
      <xdr:col>9</xdr:col>
      <xdr:colOff>4503756</xdr:colOff>
      <xdr:row>79</xdr:row>
      <xdr:rowOff>1529701</xdr:rowOff>
    </xdr:to>
    <xdr:sp>
      <xdr:nvSpPr>
        <xdr:cNvPr id="376" name="ZoneTexte 1"/>
        <xdr:cNvSpPr/>
      </xdr:nvSpPr>
      <xdr:spPr>
        <a:xfrm>
          <a:off x="7648574" y="52829885"/>
          <a:ext cx="4475183" cy="1635957"/>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10636</xdr:colOff>
      <xdr:row>79</xdr:row>
      <xdr:rowOff>1552558</xdr:rowOff>
    </xdr:from>
    <xdr:to>
      <xdr:col>9</xdr:col>
      <xdr:colOff>4532585</xdr:colOff>
      <xdr:row>81</xdr:row>
      <xdr:rowOff>262808</xdr:rowOff>
    </xdr:to>
    <xdr:sp>
      <xdr:nvSpPr>
        <xdr:cNvPr id="377" name="ZoneTexte 1"/>
        <xdr:cNvSpPr/>
      </xdr:nvSpPr>
      <xdr:spPr>
        <a:xfrm>
          <a:off x="7630636" y="54488698"/>
          <a:ext cx="4521950" cy="201352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10953</xdr:colOff>
      <xdr:row>80</xdr:row>
      <xdr:rowOff>1549437</xdr:rowOff>
    </xdr:from>
    <xdr:to>
      <xdr:col>9</xdr:col>
      <xdr:colOff>4532903</xdr:colOff>
      <xdr:row>81</xdr:row>
      <xdr:rowOff>1499800</xdr:rowOff>
    </xdr:to>
    <xdr:sp>
      <xdr:nvSpPr>
        <xdr:cNvPr id="378" name="ZoneTexte 1"/>
        <xdr:cNvSpPr/>
      </xdr:nvSpPr>
      <xdr:spPr>
        <a:xfrm>
          <a:off x="7630953" y="56137212"/>
          <a:ext cx="4521950" cy="1601999"/>
        </a:xfrm>
        <a:prstGeom prst="rect">
          <a:avLst/>
        </a:prstGeom>
        <a:solidFill>
          <a:srgbClr val="FFFFFF"/>
        </a:solidFill>
        <a:ln w="12700" cap="flat">
          <a:noFill/>
          <a:miter lim="400000"/>
        </a:ln>
        <a:effectLst/>
      </xdr:spPr>
      <xdr:txBody>
        <a:bodyPr/>
        <a:lstStyle/>
        <a:p>
          <a:pPr/>
        </a:p>
      </xdr:txBody>
    </xdr:sp>
    <xdr:clientData/>
  </xdr:twoCellAnchor>
  <xdr:twoCellAnchor>
    <xdr:from>
      <xdr:col>5</xdr:col>
      <xdr:colOff>11781</xdr:colOff>
      <xdr:row>8</xdr:row>
      <xdr:rowOff>167760</xdr:rowOff>
    </xdr:from>
    <xdr:to>
      <xdr:col>5</xdr:col>
      <xdr:colOff>464966</xdr:colOff>
      <xdr:row>10</xdr:row>
      <xdr:rowOff>2896</xdr:rowOff>
    </xdr:to>
    <xdr:grpSp>
      <xdr:nvGrpSpPr>
        <xdr:cNvPr id="381" name="Ellipse 59"/>
        <xdr:cNvGrpSpPr/>
      </xdr:nvGrpSpPr>
      <xdr:grpSpPr>
        <a:xfrm>
          <a:off x="532481" y="2758560"/>
          <a:ext cx="453185" cy="437117"/>
          <a:chOff x="0" y="0"/>
          <a:chExt cx="453184" cy="437115"/>
        </a:xfrm>
      </xdr:grpSpPr>
      <xdr:sp>
        <xdr:nvSpPr>
          <xdr:cNvPr id="379" name="Ovale"/>
          <xdr:cNvSpPr/>
        </xdr:nvSpPr>
        <xdr:spPr>
          <a:xfrm>
            <a:off x="-1" y="0"/>
            <a:ext cx="453186" cy="437116"/>
          </a:xfrm>
          <a:prstGeom prst="ellipse">
            <a:avLst/>
          </a:prstGeom>
          <a:noFill/>
          <a:ln w="28575" cap="flat">
            <a:solidFill>
              <a:srgbClr val="203B7D"/>
            </a:solidFill>
            <a:prstDash val="solid"/>
            <a:miter lim="800000"/>
          </a:ln>
          <a:effectLst/>
        </xdr:spPr>
        <xdr:txBody>
          <a:bodyPr/>
          <a:lstStyle/>
          <a:p>
            <a:pPr/>
          </a:p>
        </xdr:txBody>
      </xdr:sp>
      <xdr:sp>
        <xdr:nvSpPr>
          <xdr:cNvPr id="380" name="1"/>
          <xdr:cNvSpPr txBox="1"/>
        </xdr:nvSpPr>
        <xdr:spPr>
          <a:xfrm>
            <a:off x="116352" y="57263"/>
            <a:ext cx="220479" cy="322590"/>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203864"/>
                </a:solidFill>
                <a:uFillTx/>
                <a:latin typeface="Calibri"/>
                <a:ea typeface="Calibri"/>
                <a:cs typeface="Calibri"/>
                <a:sym typeface="Calibri"/>
              </a:defRPr>
            </a:pPr>
            <a:r>
              <a:rPr b="0" baseline="0" cap="none" i="0" spc="0" strike="noStrike" sz="2600" u="none">
                <a:solidFill>
                  <a:srgbClr val="203864"/>
                </a:solidFill>
                <a:uFillTx/>
                <a:latin typeface="Calibri"/>
                <a:ea typeface="Calibri"/>
                <a:cs typeface="Calibri"/>
                <a:sym typeface="Calibri"/>
              </a:rPr>
              <a:t>1</a:t>
            </a:r>
          </a:p>
        </xdr:txBody>
      </xdr:sp>
    </xdr:grpSp>
    <xdr:clientData/>
  </xdr:twoCellAnchor>
  <xdr:twoCellAnchor>
    <xdr:from>
      <xdr:col>1</xdr:col>
      <xdr:colOff>304800</xdr:colOff>
      <xdr:row>24</xdr:row>
      <xdr:rowOff>153554</xdr:rowOff>
    </xdr:from>
    <xdr:to>
      <xdr:col>5</xdr:col>
      <xdr:colOff>453184</xdr:colOff>
      <xdr:row>25</xdr:row>
      <xdr:rowOff>396304</xdr:rowOff>
    </xdr:to>
    <xdr:grpSp>
      <xdr:nvGrpSpPr>
        <xdr:cNvPr id="384" name="Ellipse 60"/>
        <xdr:cNvGrpSpPr/>
      </xdr:nvGrpSpPr>
      <xdr:grpSpPr>
        <a:xfrm>
          <a:off x="520699" y="13181849"/>
          <a:ext cx="453186" cy="433251"/>
          <a:chOff x="0" y="0"/>
          <a:chExt cx="453184" cy="433250"/>
        </a:xfrm>
      </xdr:grpSpPr>
      <xdr:sp>
        <xdr:nvSpPr>
          <xdr:cNvPr id="382" name="Ovale"/>
          <xdr:cNvSpPr/>
        </xdr:nvSpPr>
        <xdr:spPr>
          <a:xfrm>
            <a:off x="-1" y="-1"/>
            <a:ext cx="453186" cy="433252"/>
          </a:xfrm>
          <a:prstGeom prst="ellipse">
            <a:avLst/>
          </a:prstGeom>
          <a:noFill/>
          <a:ln w="28575" cap="flat">
            <a:solidFill>
              <a:srgbClr val="203B7D"/>
            </a:solidFill>
            <a:prstDash val="solid"/>
            <a:miter lim="800000"/>
          </a:ln>
          <a:effectLst/>
        </xdr:spPr>
        <xdr:txBody>
          <a:bodyPr/>
          <a:lstStyle/>
          <a:p>
            <a:pPr/>
          </a:p>
        </xdr:txBody>
      </xdr:sp>
      <xdr:sp>
        <xdr:nvSpPr>
          <xdr:cNvPr id="383" name="2"/>
          <xdr:cNvSpPr txBox="1"/>
        </xdr:nvSpPr>
        <xdr:spPr>
          <a:xfrm>
            <a:off x="116352" y="56902"/>
            <a:ext cx="220479" cy="319445"/>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203B7D"/>
                </a:solidFill>
                <a:uFillTx/>
                <a:latin typeface="Calibri"/>
                <a:ea typeface="Calibri"/>
                <a:cs typeface="Calibri"/>
                <a:sym typeface="Calibri"/>
              </a:defRPr>
            </a:pPr>
            <a:r>
              <a:rPr b="0" baseline="0" cap="none" i="0" spc="0" strike="noStrike" sz="2600" u="none">
                <a:solidFill>
                  <a:srgbClr val="203B7D"/>
                </a:solidFill>
                <a:uFillTx/>
                <a:latin typeface="Calibri"/>
                <a:ea typeface="Calibri"/>
                <a:cs typeface="Calibri"/>
                <a:sym typeface="Calibri"/>
              </a:rPr>
              <a:t>2</a:t>
            </a:r>
          </a:p>
        </xdr:txBody>
      </xdr:sp>
    </xdr:grpSp>
    <xdr:clientData/>
  </xdr:twoCellAnchor>
  <xdr:twoCellAnchor>
    <xdr:from>
      <xdr:col>5</xdr:col>
      <xdr:colOff>18362</xdr:colOff>
      <xdr:row>40</xdr:row>
      <xdr:rowOff>119532</xdr:rowOff>
    </xdr:from>
    <xdr:to>
      <xdr:col>5</xdr:col>
      <xdr:colOff>471546</xdr:colOff>
      <xdr:row>41</xdr:row>
      <xdr:rowOff>362280</xdr:rowOff>
    </xdr:to>
    <xdr:grpSp>
      <xdr:nvGrpSpPr>
        <xdr:cNvPr id="387" name="Ellipse 61"/>
        <xdr:cNvGrpSpPr/>
      </xdr:nvGrpSpPr>
      <xdr:grpSpPr>
        <a:xfrm>
          <a:off x="539062" y="27601062"/>
          <a:ext cx="453185" cy="433249"/>
          <a:chOff x="0" y="0"/>
          <a:chExt cx="453184" cy="433248"/>
        </a:xfrm>
      </xdr:grpSpPr>
      <xdr:sp>
        <xdr:nvSpPr>
          <xdr:cNvPr id="385" name="Ovale"/>
          <xdr:cNvSpPr/>
        </xdr:nvSpPr>
        <xdr:spPr>
          <a:xfrm>
            <a:off x="-1" y="-1"/>
            <a:ext cx="453186" cy="433250"/>
          </a:xfrm>
          <a:prstGeom prst="ellipse">
            <a:avLst/>
          </a:prstGeom>
          <a:noFill/>
          <a:ln w="28575" cap="flat">
            <a:solidFill>
              <a:srgbClr val="203B7D"/>
            </a:solidFill>
            <a:prstDash val="solid"/>
            <a:miter lim="800000"/>
          </a:ln>
          <a:effectLst/>
        </xdr:spPr>
        <xdr:txBody>
          <a:bodyPr/>
          <a:lstStyle/>
          <a:p>
            <a:pPr/>
          </a:p>
        </xdr:txBody>
      </xdr:sp>
      <xdr:sp>
        <xdr:nvSpPr>
          <xdr:cNvPr id="386" name="3"/>
          <xdr:cNvSpPr txBox="1"/>
        </xdr:nvSpPr>
        <xdr:spPr>
          <a:xfrm>
            <a:off x="116352" y="56902"/>
            <a:ext cx="220479" cy="319443"/>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203B7D"/>
                </a:solidFill>
                <a:uFillTx/>
                <a:latin typeface="Calibri"/>
                <a:ea typeface="Calibri"/>
                <a:cs typeface="Calibri"/>
                <a:sym typeface="Calibri"/>
              </a:defRPr>
            </a:pPr>
            <a:r>
              <a:rPr b="0" baseline="0" cap="none" i="0" spc="0" strike="noStrike" sz="2600" u="none">
                <a:solidFill>
                  <a:srgbClr val="203B7D"/>
                </a:solidFill>
                <a:uFillTx/>
                <a:latin typeface="Calibri"/>
                <a:ea typeface="Calibri"/>
                <a:cs typeface="Calibri"/>
                <a:sym typeface="Calibri"/>
              </a:rPr>
              <a:t>3</a:t>
            </a:r>
          </a:p>
        </xdr:txBody>
      </xdr:sp>
    </xdr:grpSp>
    <xdr:clientData/>
  </xdr:twoCellAnchor>
  <xdr:twoCellAnchor>
    <xdr:from>
      <xdr:col>1</xdr:col>
      <xdr:colOff>304800</xdr:colOff>
      <xdr:row>56</xdr:row>
      <xdr:rowOff>89050</xdr:rowOff>
    </xdr:from>
    <xdr:to>
      <xdr:col>5</xdr:col>
      <xdr:colOff>453184</xdr:colOff>
      <xdr:row>57</xdr:row>
      <xdr:rowOff>331798</xdr:rowOff>
    </xdr:to>
    <xdr:grpSp>
      <xdr:nvGrpSpPr>
        <xdr:cNvPr id="390" name="Ellipse 62"/>
        <xdr:cNvGrpSpPr/>
      </xdr:nvGrpSpPr>
      <xdr:grpSpPr>
        <a:xfrm>
          <a:off x="520699" y="38149045"/>
          <a:ext cx="453186" cy="433249"/>
          <a:chOff x="0" y="0"/>
          <a:chExt cx="453184" cy="433248"/>
        </a:xfrm>
      </xdr:grpSpPr>
      <xdr:sp>
        <xdr:nvSpPr>
          <xdr:cNvPr id="388" name="Ovale"/>
          <xdr:cNvSpPr/>
        </xdr:nvSpPr>
        <xdr:spPr>
          <a:xfrm>
            <a:off x="-1" y="-1"/>
            <a:ext cx="453186" cy="433250"/>
          </a:xfrm>
          <a:prstGeom prst="ellipse">
            <a:avLst/>
          </a:prstGeom>
          <a:noFill/>
          <a:ln w="28575" cap="flat">
            <a:solidFill>
              <a:srgbClr val="203B7D"/>
            </a:solidFill>
            <a:prstDash val="solid"/>
            <a:miter lim="800000"/>
          </a:ln>
          <a:effectLst/>
        </xdr:spPr>
        <xdr:txBody>
          <a:bodyPr/>
          <a:lstStyle/>
          <a:p>
            <a:pPr/>
          </a:p>
        </xdr:txBody>
      </xdr:sp>
      <xdr:sp>
        <xdr:nvSpPr>
          <xdr:cNvPr id="389" name="4"/>
          <xdr:cNvSpPr txBox="1"/>
        </xdr:nvSpPr>
        <xdr:spPr>
          <a:xfrm>
            <a:off x="116352" y="56902"/>
            <a:ext cx="220479" cy="319443"/>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203B7D"/>
                </a:solidFill>
                <a:uFillTx/>
                <a:latin typeface="Calibri"/>
                <a:ea typeface="Calibri"/>
                <a:cs typeface="Calibri"/>
                <a:sym typeface="Calibri"/>
              </a:defRPr>
            </a:pPr>
            <a:r>
              <a:rPr b="0" baseline="0" cap="none" i="0" spc="0" strike="noStrike" sz="2600" u="none">
                <a:solidFill>
                  <a:srgbClr val="203B7D"/>
                </a:solidFill>
                <a:uFillTx/>
                <a:latin typeface="Calibri"/>
                <a:ea typeface="Calibri"/>
                <a:cs typeface="Calibri"/>
                <a:sym typeface="Calibri"/>
              </a:rPr>
              <a:t>4</a:t>
            </a:r>
          </a:p>
        </xdr:txBody>
      </xdr:sp>
    </xdr:grpSp>
    <xdr:clientData/>
  </xdr:twoCellAnchor>
  <xdr:twoCellAnchor>
    <xdr:from>
      <xdr:col>5</xdr:col>
      <xdr:colOff>9180</xdr:colOff>
      <xdr:row>74</xdr:row>
      <xdr:rowOff>58565</xdr:rowOff>
    </xdr:from>
    <xdr:to>
      <xdr:col>5</xdr:col>
      <xdr:colOff>462365</xdr:colOff>
      <xdr:row>75</xdr:row>
      <xdr:rowOff>301313</xdr:rowOff>
    </xdr:to>
    <xdr:grpSp>
      <xdr:nvGrpSpPr>
        <xdr:cNvPr id="393" name="Ellipse 243711"/>
        <xdr:cNvGrpSpPr/>
      </xdr:nvGrpSpPr>
      <xdr:grpSpPr>
        <a:xfrm>
          <a:off x="529880" y="48891335"/>
          <a:ext cx="453185" cy="433249"/>
          <a:chOff x="0" y="0"/>
          <a:chExt cx="453184" cy="433248"/>
        </a:xfrm>
      </xdr:grpSpPr>
      <xdr:sp>
        <xdr:nvSpPr>
          <xdr:cNvPr id="391" name="Ovale"/>
          <xdr:cNvSpPr/>
        </xdr:nvSpPr>
        <xdr:spPr>
          <a:xfrm>
            <a:off x="-1" y="-1"/>
            <a:ext cx="453186" cy="433250"/>
          </a:xfrm>
          <a:prstGeom prst="ellipse">
            <a:avLst/>
          </a:prstGeom>
          <a:noFill/>
          <a:ln w="28575" cap="flat">
            <a:solidFill>
              <a:srgbClr val="203B7D"/>
            </a:solidFill>
            <a:prstDash val="solid"/>
            <a:miter lim="800000"/>
          </a:ln>
          <a:effectLst/>
        </xdr:spPr>
        <xdr:txBody>
          <a:bodyPr/>
          <a:lstStyle/>
          <a:p>
            <a:pPr/>
          </a:p>
        </xdr:txBody>
      </xdr:sp>
      <xdr:sp>
        <xdr:nvSpPr>
          <xdr:cNvPr id="392" name="5"/>
          <xdr:cNvSpPr txBox="1"/>
        </xdr:nvSpPr>
        <xdr:spPr>
          <a:xfrm>
            <a:off x="116352" y="56902"/>
            <a:ext cx="220479" cy="319443"/>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203B7D"/>
                </a:solidFill>
                <a:uFillTx/>
                <a:latin typeface="Calibri"/>
                <a:ea typeface="Calibri"/>
                <a:cs typeface="Calibri"/>
                <a:sym typeface="Calibri"/>
              </a:defRPr>
            </a:pPr>
            <a:r>
              <a:rPr b="0" baseline="0" cap="none" i="0" spc="0" strike="noStrike" sz="2600" u="none">
                <a:solidFill>
                  <a:srgbClr val="203B7D"/>
                </a:solidFill>
                <a:uFillTx/>
                <a:latin typeface="Calibri"/>
                <a:ea typeface="Calibri"/>
                <a:cs typeface="Calibri"/>
                <a:sym typeface="Calibri"/>
              </a:rPr>
              <a:t>5</a:t>
            </a:r>
          </a:p>
        </xdr:txBody>
      </xdr:sp>
    </xdr:grpSp>
    <xdr:clientData/>
  </xdr:twoCellAnchor>
  <xdr:twoCellAnchor>
    <xdr:from>
      <xdr:col>9</xdr:col>
      <xdr:colOff>10634</xdr:colOff>
      <xdr:row>63</xdr:row>
      <xdr:rowOff>1560193</xdr:rowOff>
    </xdr:from>
    <xdr:to>
      <xdr:col>9</xdr:col>
      <xdr:colOff>4574992</xdr:colOff>
      <xdr:row>74</xdr:row>
      <xdr:rowOff>181304</xdr:rowOff>
    </xdr:to>
    <xdr:sp>
      <xdr:nvSpPr>
        <xdr:cNvPr id="394" name="ZoneTexte 1"/>
        <xdr:cNvSpPr/>
      </xdr:nvSpPr>
      <xdr:spPr>
        <a:xfrm>
          <a:off x="7630634" y="47026828"/>
          <a:ext cx="4564359" cy="1987247"/>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10952</xdr:colOff>
      <xdr:row>63</xdr:row>
      <xdr:rowOff>1560193</xdr:rowOff>
    </xdr:from>
    <xdr:to>
      <xdr:col>9</xdr:col>
      <xdr:colOff>4575309</xdr:colOff>
      <xdr:row>73</xdr:row>
      <xdr:rowOff>24656</xdr:rowOff>
    </xdr:to>
    <xdr:sp>
      <xdr:nvSpPr>
        <xdr:cNvPr id="395" name="ZoneTexte 1"/>
        <xdr:cNvSpPr/>
      </xdr:nvSpPr>
      <xdr:spPr>
        <a:xfrm>
          <a:off x="7630952" y="47026828"/>
          <a:ext cx="4564358" cy="1601999"/>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46</xdr:row>
      <xdr:rowOff>1478712</xdr:rowOff>
    </xdr:from>
    <xdr:to>
      <xdr:col>9</xdr:col>
      <xdr:colOff>4542761</xdr:colOff>
      <xdr:row>47</xdr:row>
      <xdr:rowOff>1590674</xdr:rowOff>
    </xdr:to>
    <xdr:sp>
      <xdr:nvSpPr>
        <xdr:cNvPr id="396" name="ZoneTexte 1"/>
        <xdr:cNvSpPr/>
      </xdr:nvSpPr>
      <xdr:spPr>
        <a:xfrm>
          <a:off x="7648574" y="34968612"/>
          <a:ext cx="4514188" cy="163596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10635</xdr:colOff>
      <xdr:row>47</xdr:row>
      <xdr:rowOff>1590675</xdr:rowOff>
    </xdr:from>
    <xdr:to>
      <xdr:col>9</xdr:col>
      <xdr:colOff>4572000</xdr:colOff>
      <xdr:row>56</xdr:row>
      <xdr:rowOff>45721</xdr:rowOff>
    </xdr:to>
    <xdr:sp>
      <xdr:nvSpPr>
        <xdr:cNvPr id="397" name="ZoneTexte 1"/>
        <xdr:cNvSpPr/>
      </xdr:nvSpPr>
      <xdr:spPr>
        <a:xfrm>
          <a:off x="7630635" y="36604575"/>
          <a:ext cx="4561365" cy="1501142"/>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47</xdr:row>
      <xdr:rowOff>1590675</xdr:rowOff>
    </xdr:from>
    <xdr:to>
      <xdr:col>9</xdr:col>
      <xdr:colOff>4542761</xdr:colOff>
      <xdr:row>56</xdr:row>
      <xdr:rowOff>180541</xdr:rowOff>
    </xdr:to>
    <xdr:sp>
      <xdr:nvSpPr>
        <xdr:cNvPr id="398" name="ZoneTexte 1"/>
        <xdr:cNvSpPr/>
      </xdr:nvSpPr>
      <xdr:spPr>
        <a:xfrm>
          <a:off x="7648574" y="36604575"/>
          <a:ext cx="4514188" cy="1635962"/>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10636</xdr:colOff>
      <xdr:row>81</xdr:row>
      <xdr:rowOff>1552553</xdr:rowOff>
    </xdr:from>
    <xdr:to>
      <xdr:col>9</xdr:col>
      <xdr:colOff>4532585</xdr:colOff>
      <xdr:row>83</xdr:row>
      <xdr:rowOff>262803</xdr:rowOff>
    </xdr:to>
    <xdr:sp>
      <xdr:nvSpPr>
        <xdr:cNvPr id="399" name="ZoneTexte 1"/>
        <xdr:cNvSpPr/>
      </xdr:nvSpPr>
      <xdr:spPr>
        <a:xfrm>
          <a:off x="7630636" y="57791963"/>
          <a:ext cx="4521950" cy="201352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10953</xdr:colOff>
      <xdr:row>82</xdr:row>
      <xdr:rowOff>1549432</xdr:rowOff>
    </xdr:from>
    <xdr:to>
      <xdr:col>9</xdr:col>
      <xdr:colOff>4532903</xdr:colOff>
      <xdr:row>83</xdr:row>
      <xdr:rowOff>1499795</xdr:rowOff>
    </xdr:to>
    <xdr:sp>
      <xdr:nvSpPr>
        <xdr:cNvPr id="400" name="ZoneTexte 1"/>
        <xdr:cNvSpPr/>
      </xdr:nvSpPr>
      <xdr:spPr>
        <a:xfrm>
          <a:off x="7630953" y="59440477"/>
          <a:ext cx="4521950" cy="1601999"/>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84</xdr:row>
      <xdr:rowOff>60935</xdr:rowOff>
    </xdr:from>
    <xdr:to>
      <xdr:col>9</xdr:col>
      <xdr:colOff>4503756</xdr:colOff>
      <xdr:row>124</xdr:row>
      <xdr:rowOff>43790</xdr:rowOff>
    </xdr:to>
    <xdr:sp>
      <xdr:nvSpPr>
        <xdr:cNvPr id="401" name="ZoneTexte 1"/>
        <xdr:cNvSpPr/>
      </xdr:nvSpPr>
      <xdr:spPr>
        <a:xfrm>
          <a:off x="7648574" y="61255250"/>
          <a:ext cx="4475183" cy="162877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84</xdr:row>
      <xdr:rowOff>60935</xdr:rowOff>
    </xdr:from>
    <xdr:to>
      <xdr:col>9</xdr:col>
      <xdr:colOff>4451453</xdr:colOff>
      <xdr:row>124</xdr:row>
      <xdr:rowOff>9497</xdr:rowOff>
    </xdr:to>
    <xdr:sp>
      <xdr:nvSpPr>
        <xdr:cNvPr id="402" name="ZoneTexte 1"/>
        <xdr:cNvSpPr/>
      </xdr:nvSpPr>
      <xdr:spPr>
        <a:xfrm>
          <a:off x="7648574" y="61255250"/>
          <a:ext cx="4422880" cy="159448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84</xdr:row>
      <xdr:rowOff>60935</xdr:rowOff>
    </xdr:from>
    <xdr:to>
      <xdr:col>9</xdr:col>
      <xdr:colOff>4503756</xdr:colOff>
      <xdr:row>124</xdr:row>
      <xdr:rowOff>50971</xdr:rowOff>
    </xdr:to>
    <xdr:sp>
      <xdr:nvSpPr>
        <xdr:cNvPr id="403" name="ZoneTexte 1"/>
        <xdr:cNvSpPr/>
      </xdr:nvSpPr>
      <xdr:spPr>
        <a:xfrm>
          <a:off x="7648574" y="61255250"/>
          <a:ext cx="4475183" cy="1635957"/>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10636</xdr:colOff>
      <xdr:row>84</xdr:row>
      <xdr:rowOff>60935</xdr:rowOff>
    </xdr:from>
    <xdr:to>
      <xdr:col>9</xdr:col>
      <xdr:colOff>4532585</xdr:colOff>
      <xdr:row>126</xdr:row>
      <xdr:rowOff>62775</xdr:rowOff>
    </xdr:to>
    <xdr:sp>
      <xdr:nvSpPr>
        <xdr:cNvPr id="404" name="ZoneTexte 1"/>
        <xdr:cNvSpPr/>
      </xdr:nvSpPr>
      <xdr:spPr>
        <a:xfrm>
          <a:off x="7630636" y="61255250"/>
          <a:ext cx="4521950" cy="201352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10953</xdr:colOff>
      <xdr:row>84</xdr:row>
      <xdr:rowOff>60935</xdr:rowOff>
    </xdr:from>
    <xdr:to>
      <xdr:col>9</xdr:col>
      <xdr:colOff>4532903</xdr:colOff>
      <xdr:row>124</xdr:row>
      <xdr:rowOff>17013</xdr:rowOff>
    </xdr:to>
    <xdr:sp>
      <xdr:nvSpPr>
        <xdr:cNvPr id="405" name="ZoneTexte 1"/>
        <xdr:cNvSpPr/>
      </xdr:nvSpPr>
      <xdr:spPr>
        <a:xfrm>
          <a:off x="7630953" y="61255250"/>
          <a:ext cx="4521950" cy="1601999"/>
        </a:xfrm>
        <a:prstGeom prst="rect">
          <a:avLst/>
        </a:prstGeom>
        <a:solidFill>
          <a:srgbClr val="FFFFFF"/>
        </a:solidFill>
        <a:ln w="12700" cap="flat">
          <a:noFill/>
          <a:miter lim="400000"/>
        </a:ln>
        <a:effectLst/>
      </xdr:spPr>
      <xdr:txBody>
        <a:bodyPr/>
        <a:lstStyle/>
        <a:p>
          <a:pPr/>
        </a:p>
      </xdr:txBody>
    </xdr:sp>
    <xdr:clientData/>
  </xdr:twoCellAnchor>
  <xdr:twoCellAnchor>
    <xdr:from>
      <xdr:col>5</xdr:col>
      <xdr:colOff>9180</xdr:colOff>
      <xdr:row>84</xdr:row>
      <xdr:rowOff>60935</xdr:rowOff>
    </xdr:from>
    <xdr:to>
      <xdr:col>5</xdr:col>
      <xdr:colOff>462365</xdr:colOff>
      <xdr:row>117</xdr:row>
      <xdr:rowOff>128427</xdr:rowOff>
    </xdr:to>
    <xdr:grpSp>
      <xdr:nvGrpSpPr>
        <xdr:cNvPr id="408" name="Ellipse 243934"/>
        <xdr:cNvGrpSpPr/>
      </xdr:nvGrpSpPr>
      <xdr:grpSpPr>
        <a:xfrm>
          <a:off x="529880" y="61255250"/>
          <a:ext cx="453185" cy="433253"/>
          <a:chOff x="0" y="0"/>
          <a:chExt cx="453184" cy="433251"/>
        </a:xfrm>
      </xdr:grpSpPr>
      <xdr:sp>
        <xdr:nvSpPr>
          <xdr:cNvPr id="406" name="Ovale"/>
          <xdr:cNvSpPr/>
        </xdr:nvSpPr>
        <xdr:spPr>
          <a:xfrm>
            <a:off x="-1" y="0"/>
            <a:ext cx="453186" cy="433252"/>
          </a:xfrm>
          <a:prstGeom prst="ellipse">
            <a:avLst/>
          </a:prstGeom>
          <a:noFill/>
          <a:ln w="28575" cap="flat">
            <a:solidFill>
              <a:srgbClr val="203B7D"/>
            </a:solidFill>
            <a:prstDash val="solid"/>
            <a:miter lim="800000"/>
          </a:ln>
          <a:effectLst/>
        </xdr:spPr>
        <xdr:txBody>
          <a:bodyPr/>
          <a:lstStyle/>
          <a:p>
            <a:pPr/>
          </a:p>
        </xdr:txBody>
      </xdr:sp>
      <xdr:sp>
        <xdr:nvSpPr>
          <xdr:cNvPr id="407" name="6"/>
          <xdr:cNvSpPr txBox="1"/>
        </xdr:nvSpPr>
        <xdr:spPr>
          <a:xfrm>
            <a:off x="116352" y="56901"/>
            <a:ext cx="220479" cy="319449"/>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203B7D"/>
                </a:solidFill>
                <a:uFillTx/>
                <a:latin typeface="Calibri"/>
                <a:ea typeface="Calibri"/>
                <a:cs typeface="Calibri"/>
                <a:sym typeface="Calibri"/>
              </a:defRPr>
            </a:pPr>
            <a:r>
              <a:rPr b="0" baseline="0" cap="none" i="0" spc="0" strike="noStrike" sz="2600" u="none">
                <a:solidFill>
                  <a:srgbClr val="203B7D"/>
                </a:solidFill>
                <a:uFillTx/>
                <a:latin typeface="Calibri"/>
                <a:ea typeface="Calibri"/>
                <a:cs typeface="Calibri"/>
                <a:sym typeface="Calibri"/>
              </a:rPr>
              <a:t>6</a:t>
            </a:r>
          </a:p>
        </xdr:txBody>
      </xdr:sp>
    </xdr:grpSp>
    <xdr:clientData/>
  </xdr:twoCellAnchor>
  <xdr:twoCellAnchor>
    <xdr:from>
      <xdr:col>9</xdr:col>
      <xdr:colOff>10636</xdr:colOff>
      <xdr:row>84</xdr:row>
      <xdr:rowOff>60935</xdr:rowOff>
    </xdr:from>
    <xdr:to>
      <xdr:col>9</xdr:col>
      <xdr:colOff>4532585</xdr:colOff>
      <xdr:row>126</xdr:row>
      <xdr:rowOff>62775</xdr:rowOff>
    </xdr:to>
    <xdr:sp>
      <xdr:nvSpPr>
        <xdr:cNvPr id="409" name="ZoneTexte 1"/>
        <xdr:cNvSpPr/>
      </xdr:nvSpPr>
      <xdr:spPr>
        <a:xfrm>
          <a:off x="7630636" y="61255250"/>
          <a:ext cx="4521950" cy="201352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10953</xdr:colOff>
      <xdr:row>84</xdr:row>
      <xdr:rowOff>60935</xdr:rowOff>
    </xdr:from>
    <xdr:to>
      <xdr:col>9</xdr:col>
      <xdr:colOff>4532903</xdr:colOff>
      <xdr:row>124</xdr:row>
      <xdr:rowOff>17013</xdr:rowOff>
    </xdr:to>
    <xdr:sp>
      <xdr:nvSpPr>
        <xdr:cNvPr id="410" name="ZoneTexte 1"/>
        <xdr:cNvSpPr/>
      </xdr:nvSpPr>
      <xdr:spPr>
        <a:xfrm>
          <a:off x="7630953" y="61255250"/>
          <a:ext cx="4521950" cy="1601999"/>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84</xdr:row>
      <xdr:rowOff>60935</xdr:rowOff>
    </xdr:from>
    <xdr:to>
      <xdr:col>9</xdr:col>
      <xdr:colOff>4503756</xdr:colOff>
      <xdr:row>124</xdr:row>
      <xdr:rowOff>43790</xdr:rowOff>
    </xdr:to>
    <xdr:sp>
      <xdr:nvSpPr>
        <xdr:cNvPr id="411" name="ZoneTexte 1"/>
        <xdr:cNvSpPr/>
      </xdr:nvSpPr>
      <xdr:spPr>
        <a:xfrm>
          <a:off x="7648574" y="61255250"/>
          <a:ext cx="4475183" cy="162877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84</xdr:row>
      <xdr:rowOff>60935</xdr:rowOff>
    </xdr:from>
    <xdr:to>
      <xdr:col>9</xdr:col>
      <xdr:colOff>4451453</xdr:colOff>
      <xdr:row>124</xdr:row>
      <xdr:rowOff>9497</xdr:rowOff>
    </xdr:to>
    <xdr:sp>
      <xdr:nvSpPr>
        <xdr:cNvPr id="412" name="ZoneTexte 1"/>
        <xdr:cNvSpPr/>
      </xdr:nvSpPr>
      <xdr:spPr>
        <a:xfrm>
          <a:off x="7648574" y="61255250"/>
          <a:ext cx="4422880" cy="159448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84</xdr:row>
      <xdr:rowOff>60935</xdr:rowOff>
    </xdr:from>
    <xdr:to>
      <xdr:col>9</xdr:col>
      <xdr:colOff>4503756</xdr:colOff>
      <xdr:row>124</xdr:row>
      <xdr:rowOff>50971</xdr:rowOff>
    </xdr:to>
    <xdr:sp>
      <xdr:nvSpPr>
        <xdr:cNvPr id="413" name="ZoneTexte 1"/>
        <xdr:cNvSpPr/>
      </xdr:nvSpPr>
      <xdr:spPr>
        <a:xfrm>
          <a:off x="7648574" y="61255250"/>
          <a:ext cx="4475183" cy="1635957"/>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10636</xdr:colOff>
      <xdr:row>84</xdr:row>
      <xdr:rowOff>60935</xdr:rowOff>
    </xdr:from>
    <xdr:to>
      <xdr:col>9</xdr:col>
      <xdr:colOff>4532585</xdr:colOff>
      <xdr:row>126</xdr:row>
      <xdr:rowOff>62775</xdr:rowOff>
    </xdr:to>
    <xdr:sp>
      <xdr:nvSpPr>
        <xdr:cNvPr id="414" name="ZoneTexte 1"/>
        <xdr:cNvSpPr/>
      </xdr:nvSpPr>
      <xdr:spPr>
        <a:xfrm>
          <a:off x="7630636" y="61255250"/>
          <a:ext cx="4521950" cy="201352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10953</xdr:colOff>
      <xdr:row>84</xdr:row>
      <xdr:rowOff>60935</xdr:rowOff>
    </xdr:from>
    <xdr:to>
      <xdr:col>9</xdr:col>
      <xdr:colOff>4532903</xdr:colOff>
      <xdr:row>124</xdr:row>
      <xdr:rowOff>17013</xdr:rowOff>
    </xdr:to>
    <xdr:sp>
      <xdr:nvSpPr>
        <xdr:cNvPr id="415" name="ZoneTexte 1"/>
        <xdr:cNvSpPr/>
      </xdr:nvSpPr>
      <xdr:spPr>
        <a:xfrm>
          <a:off x="7630953" y="61255250"/>
          <a:ext cx="4521950" cy="1601999"/>
        </a:xfrm>
        <a:prstGeom prst="rect">
          <a:avLst/>
        </a:prstGeom>
        <a:solidFill>
          <a:srgbClr val="FFFFFF"/>
        </a:solidFill>
        <a:ln w="12700" cap="flat">
          <a:noFill/>
          <a:miter lim="400000"/>
        </a:ln>
        <a:effectLst/>
      </xdr:spPr>
      <xdr:txBody>
        <a:bodyPr/>
        <a:lstStyle/>
        <a:p>
          <a:pPr/>
        </a:p>
      </xdr:txBody>
    </xdr:sp>
    <xdr:clientData/>
  </xdr:twoCellAnchor>
  <xdr:twoCellAnchor>
    <xdr:from>
      <xdr:col>5</xdr:col>
      <xdr:colOff>9180</xdr:colOff>
      <xdr:row>84</xdr:row>
      <xdr:rowOff>60935</xdr:rowOff>
    </xdr:from>
    <xdr:to>
      <xdr:col>5</xdr:col>
      <xdr:colOff>462365</xdr:colOff>
      <xdr:row>117</xdr:row>
      <xdr:rowOff>128427</xdr:rowOff>
    </xdr:to>
    <xdr:grpSp>
      <xdr:nvGrpSpPr>
        <xdr:cNvPr id="418" name="Ellipse 243984"/>
        <xdr:cNvGrpSpPr/>
      </xdr:nvGrpSpPr>
      <xdr:grpSpPr>
        <a:xfrm>
          <a:off x="529880" y="61255250"/>
          <a:ext cx="453185" cy="433253"/>
          <a:chOff x="0" y="0"/>
          <a:chExt cx="453184" cy="433251"/>
        </a:xfrm>
      </xdr:grpSpPr>
      <xdr:sp>
        <xdr:nvSpPr>
          <xdr:cNvPr id="416" name="Ovale"/>
          <xdr:cNvSpPr/>
        </xdr:nvSpPr>
        <xdr:spPr>
          <a:xfrm>
            <a:off x="-1" y="0"/>
            <a:ext cx="453186" cy="433252"/>
          </a:xfrm>
          <a:prstGeom prst="ellipse">
            <a:avLst/>
          </a:prstGeom>
          <a:noFill/>
          <a:ln w="28575" cap="flat">
            <a:solidFill>
              <a:srgbClr val="203B7D"/>
            </a:solidFill>
            <a:prstDash val="solid"/>
            <a:miter lim="800000"/>
          </a:ln>
          <a:effectLst/>
        </xdr:spPr>
        <xdr:txBody>
          <a:bodyPr/>
          <a:lstStyle/>
          <a:p>
            <a:pPr/>
          </a:p>
        </xdr:txBody>
      </xdr:sp>
      <xdr:sp>
        <xdr:nvSpPr>
          <xdr:cNvPr id="417" name="7"/>
          <xdr:cNvSpPr txBox="1"/>
        </xdr:nvSpPr>
        <xdr:spPr>
          <a:xfrm>
            <a:off x="116352" y="56901"/>
            <a:ext cx="220479" cy="319449"/>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203B7D"/>
                </a:solidFill>
                <a:uFillTx/>
                <a:latin typeface="Calibri"/>
                <a:ea typeface="Calibri"/>
                <a:cs typeface="Calibri"/>
                <a:sym typeface="Calibri"/>
              </a:defRPr>
            </a:pPr>
            <a:r>
              <a:rPr b="0" baseline="0" cap="none" i="0" spc="0" strike="noStrike" sz="2600" u="none">
                <a:solidFill>
                  <a:srgbClr val="203B7D"/>
                </a:solidFill>
                <a:uFillTx/>
                <a:latin typeface="Calibri"/>
                <a:ea typeface="Calibri"/>
                <a:cs typeface="Calibri"/>
                <a:sym typeface="Calibri"/>
              </a:rPr>
              <a:t>7</a:t>
            </a:r>
          </a:p>
        </xdr:txBody>
      </xdr:sp>
    </xdr:grpSp>
    <xdr:clientData/>
  </xdr:twoCellAnchor>
  <xdr:twoCellAnchor>
    <xdr:from>
      <xdr:col>9</xdr:col>
      <xdr:colOff>10636</xdr:colOff>
      <xdr:row>84</xdr:row>
      <xdr:rowOff>60935</xdr:rowOff>
    </xdr:from>
    <xdr:to>
      <xdr:col>9</xdr:col>
      <xdr:colOff>4532585</xdr:colOff>
      <xdr:row>126</xdr:row>
      <xdr:rowOff>62775</xdr:rowOff>
    </xdr:to>
    <xdr:sp>
      <xdr:nvSpPr>
        <xdr:cNvPr id="419" name="ZoneTexte 1"/>
        <xdr:cNvSpPr/>
      </xdr:nvSpPr>
      <xdr:spPr>
        <a:xfrm>
          <a:off x="7630636" y="61255250"/>
          <a:ext cx="4521950" cy="201352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10953</xdr:colOff>
      <xdr:row>84</xdr:row>
      <xdr:rowOff>60935</xdr:rowOff>
    </xdr:from>
    <xdr:to>
      <xdr:col>9</xdr:col>
      <xdr:colOff>4532903</xdr:colOff>
      <xdr:row>124</xdr:row>
      <xdr:rowOff>17013</xdr:rowOff>
    </xdr:to>
    <xdr:sp>
      <xdr:nvSpPr>
        <xdr:cNvPr id="420" name="ZoneTexte 1"/>
        <xdr:cNvSpPr/>
      </xdr:nvSpPr>
      <xdr:spPr>
        <a:xfrm>
          <a:off x="7630953" y="61255250"/>
          <a:ext cx="4521950" cy="1601999"/>
        </a:xfrm>
        <a:prstGeom prst="rect">
          <a:avLst/>
        </a:prstGeom>
        <a:solidFill>
          <a:srgbClr val="FFFFFF"/>
        </a:solidFill>
        <a:ln w="12700" cap="flat">
          <a:noFill/>
          <a:miter lim="400000"/>
        </a:ln>
        <a:effectLst/>
      </xdr:spPr>
      <xdr:txBody>
        <a:bodyPr/>
        <a:lstStyle/>
        <a:p>
          <a:pPr/>
        </a:p>
      </xdr:txBody>
    </xdr:sp>
    <xdr:clientData/>
  </xdr:twoCellAnchor>
</xdr:wsDr>
</file>

<file path=xl/drawings/drawing14.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6</xdr:col>
      <xdr:colOff>1049548</xdr:colOff>
      <xdr:row>21</xdr:row>
      <xdr:rowOff>186907</xdr:rowOff>
    </xdr:from>
    <xdr:to>
      <xdr:col>6</xdr:col>
      <xdr:colOff>4113423</xdr:colOff>
      <xdr:row>22</xdr:row>
      <xdr:rowOff>212448</xdr:rowOff>
    </xdr:to>
    <xdr:grpSp>
      <xdr:nvGrpSpPr>
        <xdr:cNvPr id="424" name="Rectangle : coins arrondis 1"/>
        <xdr:cNvGrpSpPr/>
      </xdr:nvGrpSpPr>
      <xdr:grpSpPr>
        <a:xfrm>
          <a:off x="3881647" y="8264107"/>
          <a:ext cx="3063877" cy="665622"/>
          <a:chOff x="0" y="0"/>
          <a:chExt cx="3063875" cy="665621"/>
        </a:xfrm>
      </xdr:grpSpPr>
      <xdr:sp>
        <xdr:nvSpPr>
          <xdr:cNvPr id="422" name="Rectangle aux angles arrondis"/>
          <xdr:cNvSpPr/>
        </xdr:nvSpPr>
        <xdr:spPr>
          <a:xfrm>
            <a:off x="0" y="0"/>
            <a:ext cx="3063876" cy="665622"/>
          </a:xfrm>
          <a:prstGeom prst="roundRect">
            <a:avLst>
              <a:gd name="adj" fmla="val 16667"/>
            </a:avLst>
          </a:prstGeom>
          <a:solidFill>
            <a:srgbClr val="DEEBF7"/>
          </a:solidFill>
          <a:ln w="28575" cap="flat">
            <a:solidFill>
              <a:srgbClr val="C00000"/>
            </a:solidFill>
            <a:prstDash val="solid"/>
            <a:miter lim="800000"/>
          </a:ln>
          <a:effectLst>
            <a:outerShdw sx="100000" sy="100000" kx="0" ky="0" algn="b" rotWithShape="0" blurRad="63500" dist="0" dir="0">
              <a:srgbClr val="000000">
                <a:alpha val="40000"/>
              </a:srgbClr>
            </a:outerShdw>
          </a:effectLst>
        </xdr:spPr>
        <xdr:txBody>
          <a:bodyPr/>
          <a:lstStyle/>
          <a:p>
            <a:pPr/>
          </a:p>
        </xdr:txBody>
      </xdr:sp>
      <xdr:sp>
        <xdr:nvSpPr>
          <xdr:cNvPr id="423" name="Calculer la maturité"/>
          <xdr:cNvSpPr txBox="1"/>
        </xdr:nvSpPr>
        <xdr:spPr>
          <a:xfrm>
            <a:off x="73450" y="3876"/>
            <a:ext cx="2916975" cy="657869"/>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1" baseline="0" cap="none" i="0" spc="0" strike="noStrike" sz="1800" u="none">
                <a:solidFill>
                  <a:srgbClr val="C00000"/>
                </a:solidFill>
                <a:uFillTx/>
                <a:latin typeface="Aptos Light"/>
                <a:ea typeface="Aptos Light"/>
                <a:cs typeface="Aptos Light"/>
                <a:sym typeface="Aptos Light"/>
              </a:defRPr>
            </a:pPr>
            <a:r>
              <a:rPr b="1" baseline="0" cap="none" i="0" spc="0" strike="noStrike" sz="1800" u="none">
                <a:solidFill>
                  <a:srgbClr val="C00000"/>
                </a:solidFill>
                <a:uFillTx/>
                <a:latin typeface="Aptos Light"/>
                <a:ea typeface="Aptos Light"/>
                <a:cs typeface="Aptos Light"/>
                <a:sym typeface="Aptos Light"/>
              </a:rPr>
              <a:t>Calculer la maturité</a:t>
            </a:r>
          </a:p>
        </xdr:txBody>
      </xdr:sp>
    </xdr:grpSp>
    <xdr:clientData/>
  </xdr:twoCellAnchor>
</xdr:wsDr>
</file>

<file path=xl/drawings/drawing15.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9</xdr:col>
      <xdr:colOff>28574</xdr:colOff>
      <xdr:row>11</xdr:row>
      <xdr:rowOff>22859</xdr:rowOff>
    </xdr:from>
    <xdr:to>
      <xdr:col>9</xdr:col>
      <xdr:colOff>4500553</xdr:colOff>
      <xdr:row>11</xdr:row>
      <xdr:rowOff>2019299</xdr:rowOff>
    </xdr:to>
    <xdr:sp>
      <xdr:nvSpPr>
        <xdr:cNvPr id="426" name="ZoneTexte 1"/>
        <xdr:cNvSpPr/>
      </xdr:nvSpPr>
      <xdr:spPr>
        <a:xfrm>
          <a:off x="7648574" y="3398519"/>
          <a:ext cx="4471980" cy="199644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12</xdr:row>
      <xdr:rowOff>57149</xdr:rowOff>
    </xdr:from>
    <xdr:to>
      <xdr:col>9</xdr:col>
      <xdr:colOff>4529666</xdr:colOff>
      <xdr:row>12</xdr:row>
      <xdr:rowOff>2369820</xdr:rowOff>
    </xdr:to>
    <xdr:sp>
      <xdr:nvSpPr>
        <xdr:cNvPr id="427" name="ZoneTexte 1"/>
        <xdr:cNvSpPr/>
      </xdr:nvSpPr>
      <xdr:spPr>
        <a:xfrm>
          <a:off x="7648574" y="5452109"/>
          <a:ext cx="4501093" cy="231267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13</xdr:row>
      <xdr:rowOff>15675</xdr:rowOff>
    </xdr:from>
    <xdr:to>
      <xdr:col>9</xdr:col>
      <xdr:colOff>4500553</xdr:colOff>
      <xdr:row>13</xdr:row>
      <xdr:rowOff>1651634</xdr:rowOff>
    </xdr:to>
    <xdr:sp>
      <xdr:nvSpPr>
        <xdr:cNvPr id="428" name="ZoneTexte 1"/>
        <xdr:cNvSpPr/>
      </xdr:nvSpPr>
      <xdr:spPr>
        <a:xfrm>
          <a:off x="7648574" y="7780455"/>
          <a:ext cx="4471980" cy="1635960"/>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10635</xdr:colOff>
      <xdr:row>14</xdr:row>
      <xdr:rowOff>22859</xdr:rowOff>
    </xdr:from>
    <xdr:to>
      <xdr:col>9</xdr:col>
      <xdr:colOff>4529350</xdr:colOff>
      <xdr:row>20</xdr:row>
      <xdr:rowOff>3596</xdr:rowOff>
    </xdr:to>
    <xdr:sp>
      <xdr:nvSpPr>
        <xdr:cNvPr id="429" name="ZoneTexte 1"/>
        <xdr:cNvSpPr/>
      </xdr:nvSpPr>
      <xdr:spPr>
        <a:xfrm>
          <a:off x="7630635" y="9439274"/>
          <a:ext cx="4518715" cy="205147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10952</xdr:colOff>
      <xdr:row>14</xdr:row>
      <xdr:rowOff>1651635</xdr:rowOff>
    </xdr:from>
    <xdr:to>
      <xdr:col>9</xdr:col>
      <xdr:colOff>4529667</xdr:colOff>
      <xdr:row>25</xdr:row>
      <xdr:rowOff>17039</xdr:rowOff>
    </xdr:to>
    <xdr:sp>
      <xdr:nvSpPr>
        <xdr:cNvPr id="430" name="ZoneTexte 1"/>
        <xdr:cNvSpPr/>
      </xdr:nvSpPr>
      <xdr:spPr>
        <a:xfrm>
          <a:off x="7630952" y="11068049"/>
          <a:ext cx="4518715" cy="160200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10952</xdr:colOff>
      <xdr:row>14</xdr:row>
      <xdr:rowOff>1651635</xdr:rowOff>
    </xdr:from>
    <xdr:to>
      <xdr:col>9</xdr:col>
      <xdr:colOff>4529667</xdr:colOff>
      <xdr:row>25</xdr:row>
      <xdr:rowOff>17039</xdr:rowOff>
    </xdr:to>
    <xdr:sp>
      <xdr:nvSpPr>
        <xdr:cNvPr id="431" name="ZoneTexte 1"/>
        <xdr:cNvSpPr/>
      </xdr:nvSpPr>
      <xdr:spPr>
        <a:xfrm>
          <a:off x="7630952" y="11068049"/>
          <a:ext cx="4518715" cy="160200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15715</xdr:colOff>
      <xdr:row>14</xdr:row>
      <xdr:rowOff>1651635</xdr:rowOff>
    </xdr:from>
    <xdr:to>
      <xdr:col>9</xdr:col>
      <xdr:colOff>4534430</xdr:colOff>
      <xdr:row>25</xdr:row>
      <xdr:rowOff>17039</xdr:rowOff>
    </xdr:to>
    <xdr:sp>
      <xdr:nvSpPr>
        <xdr:cNvPr id="432" name="ZoneTexte 1"/>
        <xdr:cNvSpPr/>
      </xdr:nvSpPr>
      <xdr:spPr>
        <a:xfrm>
          <a:off x="7635715" y="11068049"/>
          <a:ext cx="4518716" cy="160200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26</xdr:row>
      <xdr:rowOff>182880</xdr:rowOff>
    </xdr:from>
    <xdr:to>
      <xdr:col>9</xdr:col>
      <xdr:colOff>4519448</xdr:colOff>
      <xdr:row>27</xdr:row>
      <xdr:rowOff>1621155</xdr:rowOff>
    </xdr:to>
    <xdr:sp>
      <xdr:nvSpPr>
        <xdr:cNvPr id="433" name="ZoneTexte 1"/>
        <xdr:cNvSpPr/>
      </xdr:nvSpPr>
      <xdr:spPr>
        <a:xfrm>
          <a:off x="7648574" y="13254990"/>
          <a:ext cx="4490875" cy="162877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28</xdr:row>
      <xdr:rowOff>26670</xdr:rowOff>
    </xdr:from>
    <xdr:to>
      <xdr:col>9</xdr:col>
      <xdr:colOff>4466961</xdr:colOff>
      <xdr:row>28</xdr:row>
      <xdr:rowOff>1621156</xdr:rowOff>
    </xdr:to>
    <xdr:sp>
      <xdr:nvSpPr>
        <xdr:cNvPr id="434" name="ZoneTexte 1"/>
        <xdr:cNvSpPr/>
      </xdr:nvSpPr>
      <xdr:spPr>
        <a:xfrm>
          <a:off x="7648574" y="14940915"/>
          <a:ext cx="4438388" cy="159448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28</xdr:row>
      <xdr:rowOff>1636831</xdr:rowOff>
    </xdr:from>
    <xdr:to>
      <xdr:col>9</xdr:col>
      <xdr:colOff>4519448</xdr:colOff>
      <xdr:row>29</xdr:row>
      <xdr:rowOff>1621156</xdr:rowOff>
    </xdr:to>
    <xdr:sp>
      <xdr:nvSpPr>
        <xdr:cNvPr id="435" name="ZoneTexte 1"/>
        <xdr:cNvSpPr/>
      </xdr:nvSpPr>
      <xdr:spPr>
        <a:xfrm>
          <a:off x="7648574" y="16551076"/>
          <a:ext cx="4490875" cy="163596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10635</xdr:colOff>
      <xdr:row>29</xdr:row>
      <xdr:rowOff>1644017</xdr:rowOff>
    </xdr:from>
    <xdr:to>
      <xdr:col>9</xdr:col>
      <xdr:colOff>4548441</xdr:colOff>
      <xdr:row>30</xdr:row>
      <xdr:rowOff>1621157</xdr:rowOff>
    </xdr:to>
    <xdr:sp>
      <xdr:nvSpPr>
        <xdr:cNvPr id="436" name="ZoneTexte 1"/>
        <xdr:cNvSpPr/>
      </xdr:nvSpPr>
      <xdr:spPr>
        <a:xfrm>
          <a:off x="7630635" y="18209897"/>
          <a:ext cx="4537807" cy="162877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10952</xdr:colOff>
      <xdr:row>30</xdr:row>
      <xdr:rowOff>1621157</xdr:rowOff>
    </xdr:from>
    <xdr:to>
      <xdr:col>9</xdr:col>
      <xdr:colOff>4548759</xdr:colOff>
      <xdr:row>40</xdr:row>
      <xdr:rowOff>177061</xdr:rowOff>
    </xdr:to>
    <xdr:sp>
      <xdr:nvSpPr>
        <xdr:cNvPr id="437" name="ZoneTexte 1"/>
        <xdr:cNvSpPr/>
      </xdr:nvSpPr>
      <xdr:spPr>
        <a:xfrm>
          <a:off x="7630952" y="19838672"/>
          <a:ext cx="4537807" cy="1602000"/>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10952</xdr:colOff>
      <xdr:row>30</xdr:row>
      <xdr:rowOff>1621157</xdr:rowOff>
    </xdr:from>
    <xdr:to>
      <xdr:col>9</xdr:col>
      <xdr:colOff>4548759</xdr:colOff>
      <xdr:row>40</xdr:row>
      <xdr:rowOff>177060</xdr:rowOff>
    </xdr:to>
    <xdr:sp>
      <xdr:nvSpPr>
        <xdr:cNvPr id="438" name="ZoneTexte 1"/>
        <xdr:cNvSpPr/>
      </xdr:nvSpPr>
      <xdr:spPr>
        <a:xfrm>
          <a:off x="7630952" y="19838672"/>
          <a:ext cx="4537807" cy="1601999"/>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15716</xdr:colOff>
      <xdr:row>30</xdr:row>
      <xdr:rowOff>1621157</xdr:rowOff>
    </xdr:from>
    <xdr:to>
      <xdr:col>9</xdr:col>
      <xdr:colOff>4553522</xdr:colOff>
      <xdr:row>40</xdr:row>
      <xdr:rowOff>177060</xdr:rowOff>
    </xdr:to>
    <xdr:sp>
      <xdr:nvSpPr>
        <xdr:cNvPr id="439" name="ZoneTexte 1"/>
        <xdr:cNvSpPr/>
      </xdr:nvSpPr>
      <xdr:spPr>
        <a:xfrm>
          <a:off x="7635716" y="19838672"/>
          <a:ext cx="4537807" cy="1601999"/>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42</xdr:row>
      <xdr:rowOff>152405</xdr:rowOff>
    </xdr:from>
    <xdr:to>
      <xdr:col>9</xdr:col>
      <xdr:colOff>2636519</xdr:colOff>
      <xdr:row>43</xdr:row>
      <xdr:rowOff>1590680</xdr:rowOff>
    </xdr:to>
    <xdr:sp>
      <xdr:nvSpPr>
        <xdr:cNvPr id="440" name="ZoneTexte 1"/>
        <xdr:cNvSpPr/>
      </xdr:nvSpPr>
      <xdr:spPr>
        <a:xfrm>
          <a:off x="7648574" y="22025615"/>
          <a:ext cx="2607946" cy="162877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42</xdr:row>
      <xdr:rowOff>152405</xdr:rowOff>
    </xdr:from>
    <xdr:to>
      <xdr:col>9</xdr:col>
      <xdr:colOff>4542761</xdr:colOff>
      <xdr:row>43</xdr:row>
      <xdr:rowOff>1590680</xdr:rowOff>
    </xdr:to>
    <xdr:sp>
      <xdr:nvSpPr>
        <xdr:cNvPr id="441" name="ZoneTexte 1"/>
        <xdr:cNvSpPr/>
      </xdr:nvSpPr>
      <xdr:spPr>
        <a:xfrm>
          <a:off x="7648574" y="22025615"/>
          <a:ext cx="4514188" cy="162877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43</xdr:row>
      <xdr:rowOff>1647830</xdr:rowOff>
    </xdr:from>
    <xdr:to>
      <xdr:col>9</xdr:col>
      <xdr:colOff>4490003</xdr:colOff>
      <xdr:row>44</xdr:row>
      <xdr:rowOff>1844045</xdr:rowOff>
    </xdr:to>
    <xdr:sp>
      <xdr:nvSpPr>
        <xdr:cNvPr id="442" name="ZoneTexte 1"/>
        <xdr:cNvSpPr/>
      </xdr:nvSpPr>
      <xdr:spPr>
        <a:xfrm>
          <a:off x="7648574" y="23711540"/>
          <a:ext cx="4461430" cy="184785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44</xdr:row>
      <xdr:rowOff>1859720</xdr:rowOff>
    </xdr:from>
    <xdr:to>
      <xdr:col>9</xdr:col>
      <xdr:colOff>4542761</xdr:colOff>
      <xdr:row>45</xdr:row>
      <xdr:rowOff>1590679</xdr:rowOff>
    </xdr:to>
    <xdr:sp>
      <xdr:nvSpPr>
        <xdr:cNvPr id="443" name="ZoneTexte 1"/>
        <xdr:cNvSpPr/>
      </xdr:nvSpPr>
      <xdr:spPr>
        <a:xfrm>
          <a:off x="7648574" y="25575065"/>
          <a:ext cx="4514188" cy="1635960"/>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10635</xdr:colOff>
      <xdr:row>45</xdr:row>
      <xdr:rowOff>1613536</xdr:rowOff>
    </xdr:from>
    <xdr:to>
      <xdr:col>9</xdr:col>
      <xdr:colOff>4572000</xdr:colOff>
      <xdr:row>46</xdr:row>
      <xdr:rowOff>1463043</xdr:rowOff>
    </xdr:to>
    <xdr:sp>
      <xdr:nvSpPr>
        <xdr:cNvPr id="444" name="ZoneTexte 1"/>
        <xdr:cNvSpPr/>
      </xdr:nvSpPr>
      <xdr:spPr>
        <a:xfrm>
          <a:off x="7630635" y="27233881"/>
          <a:ext cx="4561365" cy="150114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58</xdr:row>
      <xdr:rowOff>121921</xdr:rowOff>
    </xdr:from>
    <xdr:to>
      <xdr:col>9</xdr:col>
      <xdr:colOff>4545724</xdr:colOff>
      <xdr:row>59</xdr:row>
      <xdr:rowOff>1560196</xdr:rowOff>
    </xdr:to>
    <xdr:sp>
      <xdr:nvSpPr>
        <xdr:cNvPr id="445" name="ZoneTexte 1"/>
        <xdr:cNvSpPr/>
      </xdr:nvSpPr>
      <xdr:spPr>
        <a:xfrm>
          <a:off x="7648574" y="32573596"/>
          <a:ext cx="4517151" cy="162877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59</xdr:row>
      <xdr:rowOff>1617346</xdr:rowOff>
    </xdr:from>
    <xdr:to>
      <xdr:col>9</xdr:col>
      <xdr:colOff>4492930</xdr:colOff>
      <xdr:row>60</xdr:row>
      <xdr:rowOff>1560196</xdr:rowOff>
    </xdr:to>
    <xdr:sp>
      <xdr:nvSpPr>
        <xdr:cNvPr id="446" name="ZoneTexte 1"/>
        <xdr:cNvSpPr/>
      </xdr:nvSpPr>
      <xdr:spPr>
        <a:xfrm>
          <a:off x="7648574" y="34259521"/>
          <a:ext cx="4464357" cy="159448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60</xdr:row>
      <xdr:rowOff>1575870</xdr:rowOff>
    </xdr:from>
    <xdr:to>
      <xdr:col>9</xdr:col>
      <xdr:colOff>4545724</xdr:colOff>
      <xdr:row>61</xdr:row>
      <xdr:rowOff>1560197</xdr:rowOff>
    </xdr:to>
    <xdr:sp>
      <xdr:nvSpPr>
        <xdr:cNvPr id="447" name="ZoneTexte 1"/>
        <xdr:cNvSpPr/>
      </xdr:nvSpPr>
      <xdr:spPr>
        <a:xfrm>
          <a:off x="7648574" y="35869680"/>
          <a:ext cx="4517151" cy="163596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10634</xdr:colOff>
      <xdr:row>61</xdr:row>
      <xdr:rowOff>1583055</xdr:rowOff>
    </xdr:from>
    <xdr:to>
      <xdr:col>9</xdr:col>
      <xdr:colOff>4574992</xdr:colOff>
      <xdr:row>67</xdr:row>
      <xdr:rowOff>76528</xdr:rowOff>
    </xdr:to>
    <xdr:sp>
      <xdr:nvSpPr>
        <xdr:cNvPr id="448" name="ZoneTexte 1"/>
        <xdr:cNvSpPr/>
      </xdr:nvSpPr>
      <xdr:spPr>
        <a:xfrm>
          <a:off x="7630634" y="37528499"/>
          <a:ext cx="4564359" cy="1987245"/>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10952</xdr:colOff>
      <xdr:row>62</xdr:row>
      <xdr:rowOff>1560198</xdr:rowOff>
    </xdr:from>
    <xdr:to>
      <xdr:col>9</xdr:col>
      <xdr:colOff>4575309</xdr:colOff>
      <xdr:row>73</xdr:row>
      <xdr:rowOff>24661</xdr:rowOff>
    </xdr:to>
    <xdr:sp>
      <xdr:nvSpPr>
        <xdr:cNvPr id="449" name="ZoneTexte 1"/>
        <xdr:cNvSpPr/>
      </xdr:nvSpPr>
      <xdr:spPr>
        <a:xfrm>
          <a:off x="7630952" y="39157278"/>
          <a:ext cx="4564358" cy="1601999"/>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10952</xdr:colOff>
      <xdr:row>62</xdr:row>
      <xdr:rowOff>1560198</xdr:rowOff>
    </xdr:from>
    <xdr:to>
      <xdr:col>9</xdr:col>
      <xdr:colOff>4571998</xdr:colOff>
      <xdr:row>73</xdr:row>
      <xdr:rowOff>24667</xdr:rowOff>
    </xdr:to>
    <xdr:sp>
      <xdr:nvSpPr>
        <xdr:cNvPr id="450" name="ZoneTexte 1"/>
        <xdr:cNvSpPr/>
      </xdr:nvSpPr>
      <xdr:spPr>
        <a:xfrm>
          <a:off x="7630952" y="39157278"/>
          <a:ext cx="4561047" cy="1602005"/>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76</xdr:row>
      <xdr:rowOff>91435</xdr:rowOff>
    </xdr:from>
    <xdr:to>
      <xdr:col>9</xdr:col>
      <xdr:colOff>4503756</xdr:colOff>
      <xdr:row>77</xdr:row>
      <xdr:rowOff>1529710</xdr:rowOff>
    </xdr:to>
    <xdr:sp>
      <xdr:nvSpPr>
        <xdr:cNvPr id="451" name="ZoneTexte 1"/>
        <xdr:cNvSpPr/>
      </xdr:nvSpPr>
      <xdr:spPr>
        <a:xfrm>
          <a:off x="7648574" y="41664250"/>
          <a:ext cx="4475183" cy="162877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77</xdr:row>
      <xdr:rowOff>1586860</xdr:rowOff>
    </xdr:from>
    <xdr:to>
      <xdr:col>9</xdr:col>
      <xdr:colOff>4451453</xdr:colOff>
      <xdr:row>78</xdr:row>
      <xdr:rowOff>1529710</xdr:rowOff>
    </xdr:to>
    <xdr:sp>
      <xdr:nvSpPr>
        <xdr:cNvPr id="452" name="ZoneTexte 1"/>
        <xdr:cNvSpPr/>
      </xdr:nvSpPr>
      <xdr:spPr>
        <a:xfrm>
          <a:off x="7648574" y="43350175"/>
          <a:ext cx="4422880" cy="159448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78</xdr:row>
      <xdr:rowOff>1545384</xdr:rowOff>
    </xdr:from>
    <xdr:to>
      <xdr:col>9</xdr:col>
      <xdr:colOff>4503756</xdr:colOff>
      <xdr:row>79</xdr:row>
      <xdr:rowOff>1529711</xdr:rowOff>
    </xdr:to>
    <xdr:sp>
      <xdr:nvSpPr>
        <xdr:cNvPr id="453" name="ZoneTexte 1"/>
        <xdr:cNvSpPr/>
      </xdr:nvSpPr>
      <xdr:spPr>
        <a:xfrm>
          <a:off x="7648574" y="44960334"/>
          <a:ext cx="4475183" cy="163596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10636</xdr:colOff>
      <xdr:row>79</xdr:row>
      <xdr:rowOff>1552572</xdr:rowOff>
    </xdr:from>
    <xdr:to>
      <xdr:col>9</xdr:col>
      <xdr:colOff>4532585</xdr:colOff>
      <xdr:row>81</xdr:row>
      <xdr:rowOff>262822</xdr:rowOff>
    </xdr:to>
    <xdr:sp>
      <xdr:nvSpPr>
        <xdr:cNvPr id="454" name="ZoneTexte 1"/>
        <xdr:cNvSpPr/>
      </xdr:nvSpPr>
      <xdr:spPr>
        <a:xfrm>
          <a:off x="7630636" y="46619157"/>
          <a:ext cx="4521950" cy="201352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10953</xdr:colOff>
      <xdr:row>80</xdr:row>
      <xdr:rowOff>1549451</xdr:rowOff>
    </xdr:from>
    <xdr:to>
      <xdr:col>9</xdr:col>
      <xdr:colOff>4532903</xdr:colOff>
      <xdr:row>81</xdr:row>
      <xdr:rowOff>1499816</xdr:rowOff>
    </xdr:to>
    <xdr:sp>
      <xdr:nvSpPr>
        <xdr:cNvPr id="455" name="ZoneTexte 1"/>
        <xdr:cNvSpPr/>
      </xdr:nvSpPr>
      <xdr:spPr>
        <a:xfrm>
          <a:off x="7630953" y="48267670"/>
          <a:ext cx="4521950" cy="1602002"/>
        </a:xfrm>
        <a:prstGeom prst="rect">
          <a:avLst/>
        </a:prstGeom>
        <a:solidFill>
          <a:srgbClr val="FFFFFF"/>
        </a:solidFill>
        <a:ln w="12700" cap="flat">
          <a:noFill/>
          <a:miter lim="400000"/>
        </a:ln>
        <a:effectLst/>
      </xdr:spPr>
      <xdr:txBody>
        <a:bodyPr/>
        <a:lstStyle/>
        <a:p>
          <a:pPr/>
        </a:p>
      </xdr:txBody>
    </xdr:sp>
    <xdr:clientData/>
  </xdr:twoCellAnchor>
  <xdr:twoCellAnchor>
    <xdr:from>
      <xdr:col>5</xdr:col>
      <xdr:colOff>11781</xdr:colOff>
      <xdr:row>8</xdr:row>
      <xdr:rowOff>167760</xdr:rowOff>
    </xdr:from>
    <xdr:to>
      <xdr:col>5</xdr:col>
      <xdr:colOff>464966</xdr:colOff>
      <xdr:row>10</xdr:row>
      <xdr:rowOff>2896</xdr:rowOff>
    </xdr:to>
    <xdr:grpSp>
      <xdr:nvGrpSpPr>
        <xdr:cNvPr id="458" name="Ellipse 59"/>
        <xdr:cNvGrpSpPr/>
      </xdr:nvGrpSpPr>
      <xdr:grpSpPr>
        <a:xfrm>
          <a:off x="532481" y="2758560"/>
          <a:ext cx="453185" cy="437117"/>
          <a:chOff x="0" y="0"/>
          <a:chExt cx="453184" cy="437115"/>
        </a:xfrm>
      </xdr:grpSpPr>
      <xdr:sp>
        <xdr:nvSpPr>
          <xdr:cNvPr id="456" name="Ovale"/>
          <xdr:cNvSpPr/>
        </xdr:nvSpPr>
        <xdr:spPr>
          <a:xfrm>
            <a:off x="-1" y="0"/>
            <a:ext cx="453186" cy="437116"/>
          </a:xfrm>
          <a:prstGeom prst="ellipse">
            <a:avLst/>
          </a:prstGeom>
          <a:noFill/>
          <a:ln w="28575" cap="flat">
            <a:solidFill>
              <a:srgbClr val="203B7D"/>
            </a:solidFill>
            <a:prstDash val="solid"/>
            <a:miter lim="800000"/>
          </a:ln>
          <a:effectLst/>
        </xdr:spPr>
        <xdr:txBody>
          <a:bodyPr/>
          <a:lstStyle/>
          <a:p>
            <a:pPr/>
          </a:p>
        </xdr:txBody>
      </xdr:sp>
      <xdr:sp>
        <xdr:nvSpPr>
          <xdr:cNvPr id="457" name="1"/>
          <xdr:cNvSpPr txBox="1"/>
        </xdr:nvSpPr>
        <xdr:spPr>
          <a:xfrm>
            <a:off x="116352" y="57263"/>
            <a:ext cx="220479" cy="322590"/>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203864"/>
                </a:solidFill>
                <a:uFillTx/>
                <a:latin typeface="Calibri"/>
                <a:ea typeface="Calibri"/>
                <a:cs typeface="Calibri"/>
                <a:sym typeface="Calibri"/>
              </a:defRPr>
            </a:pPr>
            <a:r>
              <a:rPr b="0" baseline="0" cap="none" i="0" spc="0" strike="noStrike" sz="2600" u="none">
                <a:solidFill>
                  <a:srgbClr val="203864"/>
                </a:solidFill>
                <a:uFillTx/>
                <a:latin typeface="Calibri"/>
                <a:ea typeface="Calibri"/>
                <a:cs typeface="Calibri"/>
                <a:sym typeface="Calibri"/>
              </a:rPr>
              <a:t>1</a:t>
            </a:r>
          </a:p>
        </xdr:txBody>
      </xdr:sp>
    </xdr:grpSp>
    <xdr:clientData/>
  </xdr:twoCellAnchor>
  <xdr:twoCellAnchor>
    <xdr:from>
      <xdr:col>1</xdr:col>
      <xdr:colOff>304800</xdr:colOff>
      <xdr:row>24</xdr:row>
      <xdr:rowOff>153556</xdr:rowOff>
    </xdr:from>
    <xdr:to>
      <xdr:col>5</xdr:col>
      <xdr:colOff>453184</xdr:colOff>
      <xdr:row>25</xdr:row>
      <xdr:rowOff>396304</xdr:rowOff>
    </xdr:to>
    <xdr:grpSp>
      <xdr:nvGrpSpPr>
        <xdr:cNvPr id="461" name="Ellipse 60"/>
        <xdr:cNvGrpSpPr/>
      </xdr:nvGrpSpPr>
      <xdr:grpSpPr>
        <a:xfrm>
          <a:off x="520699" y="12616066"/>
          <a:ext cx="453186" cy="433249"/>
          <a:chOff x="0" y="0"/>
          <a:chExt cx="453184" cy="433248"/>
        </a:xfrm>
      </xdr:grpSpPr>
      <xdr:sp>
        <xdr:nvSpPr>
          <xdr:cNvPr id="459" name="Ovale"/>
          <xdr:cNvSpPr/>
        </xdr:nvSpPr>
        <xdr:spPr>
          <a:xfrm>
            <a:off x="-1" y="-1"/>
            <a:ext cx="453186" cy="433250"/>
          </a:xfrm>
          <a:prstGeom prst="ellipse">
            <a:avLst/>
          </a:prstGeom>
          <a:noFill/>
          <a:ln w="28575" cap="flat">
            <a:solidFill>
              <a:srgbClr val="203B7D"/>
            </a:solidFill>
            <a:prstDash val="solid"/>
            <a:miter lim="800000"/>
          </a:ln>
          <a:effectLst/>
        </xdr:spPr>
        <xdr:txBody>
          <a:bodyPr/>
          <a:lstStyle/>
          <a:p>
            <a:pPr/>
          </a:p>
        </xdr:txBody>
      </xdr:sp>
      <xdr:sp>
        <xdr:nvSpPr>
          <xdr:cNvPr id="460" name="2"/>
          <xdr:cNvSpPr txBox="1"/>
        </xdr:nvSpPr>
        <xdr:spPr>
          <a:xfrm>
            <a:off x="116352" y="56902"/>
            <a:ext cx="220479" cy="319444"/>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203B7D"/>
                </a:solidFill>
                <a:uFillTx/>
                <a:latin typeface="Calibri"/>
                <a:ea typeface="Calibri"/>
                <a:cs typeface="Calibri"/>
                <a:sym typeface="Calibri"/>
              </a:defRPr>
            </a:pPr>
            <a:r>
              <a:rPr b="0" baseline="0" cap="none" i="0" spc="0" strike="noStrike" sz="2600" u="none">
                <a:solidFill>
                  <a:srgbClr val="203B7D"/>
                </a:solidFill>
                <a:uFillTx/>
                <a:latin typeface="Calibri"/>
                <a:ea typeface="Calibri"/>
                <a:cs typeface="Calibri"/>
                <a:sym typeface="Calibri"/>
              </a:rPr>
              <a:t>2</a:t>
            </a:r>
          </a:p>
        </xdr:txBody>
      </xdr:sp>
    </xdr:grpSp>
    <xdr:clientData/>
  </xdr:twoCellAnchor>
  <xdr:twoCellAnchor>
    <xdr:from>
      <xdr:col>5</xdr:col>
      <xdr:colOff>18362</xdr:colOff>
      <xdr:row>40</xdr:row>
      <xdr:rowOff>119534</xdr:rowOff>
    </xdr:from>
    <xdr:to>
      <xdr:col>5</xdr:col>
      <xdr:colOff>471546</xdr:colOff>
      <xdr:row>41</xdr:row>
      <xdr:rowOff>362286</xdr:rowOff>
    </xdr:to>
    <xdr:grpSp>
      <xdr:nvGrpSpPr>
        <xdr:cNvPr id="464" name="Ellipse 61"/>
        <xdr:cNvGrpSpPr/>
      </xdr:nvGrpSpPr>
      <xdr:grpSpPr>
        <a:xfrm>
          <a:off x="539062" y="21383144"/>
          <a:ext cx="453185" cy="433253"/>
          <a:chOff x="0" y="0"/>
          <a:chExt cx="453184" cy="433251"/>
        </a:xfrm>
      </xdr:grpSpPr>
      <xdr:sp>
        <xdr:nvSpPr>
          <xdr:cNvPr id="462" name="Ovale"/>
          <xdr:cNvSpPr/>
        </xdr:nvSpPr>
        <xdr:spPr>
          <a:xfrm>
            <a:off x="-1" y="0"/>
            <a:ext cx="453186" cy="433252"/>
          </a:xfrm>
          <a:prstGeom prst="ellipse">
            <a:avLst/>
          </a:prstGeom>
          <a:noFill/>
          <a:ln w="28575" cap="flat">
            <a:solidFill>
              <a:srgbClr val="203B7D"/>
            </a:solidFill>
            <a:prstDash val="solid"/>
            <a:miter lim="800000"/>
          </a:ln>
          <a:effectLst/>
        </xdr:spPr>
        <xdr:txBody>
          <a:bodyPr/>
          <a:lstStyle/>
          <a:p>
            <a:pPr/>
          </a:p>
        </xdr:txBody>
      </xdr:sp>
      <xdr:sp>
        <xdr:nvSpPr>
          <xdr:cNvPr id="463" name="3"/>
          <xdr:cNvSpPr txBox="1"/>
        </xdr:nvSpPr>
        <xdr:spPr>
          <a:xfrm>
            <a:off x="116352" y="56901"/>
            <a:ext cx="220479" cy="319449"/>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203B7D"/>
                </a:solidFill>
                <a:uFillTx/>
                <a:latin typeface="Calibri"/>
                <a:ea typeface="Calibri"/>
                <a:cs typeface="Calibri"/>
                <a:sym typeface="Calibri"/>
              </a:defRPr>
            </a:pPr>
            <a:r>
              <a:rPr b="0" baseline="0" cap="none" i="0" spc="0" strike="noStrike" sz="2600" u="none">
                <a:solidFill>
                  <a:srgbClr val="203B7D"/>
                </a:solidFill>
                <a:uFillTx/>
                <a:latin typeface="Calibri"/>
                <a:ea typeface="Calibri"/>
                <a:cs typeface="Calibri"/>
                <a:sym typeface="Calibri"/>
              </a:rPr>
              <a:t>3</a:t>
            </a:r>
          </a:p>
        </xdr:txBody>
      </xdr:sp>
    </xdr:grpSp>
    <xdr:clientData/>
  </xdr:twoCellAnchor>
  <xdr:twoCellAnchor>
    <xdr:from>
      <xdr:col>1</xdr:col>
      <xdr:colOff>304800</xdr:colOff>
      <xdr:row>56</xdr:row>
      <xdr:rowOff>89055</xdr:rowOff>
    </xdr:from>
    <xdr:to>
      <xdr:col>5</xdr:col>
      <xdr:colOff>453184</xdr:colOff>
      <xdr:row>57</xdr:row>
      <xdr:rowOff>331803</xdr:rowOff>
    </xdr:to>
    <xdr:grpSp>
      <xdr:nvGrpSpPr>
        <xdr:cNvPr id="467" name="Ellipse 62"/>
        <xdr:cNvGrpSpPr/>
      </xdr:nvGrpSpPr>
      <xdr:grpSpPr>
        <a:xfrm>
          <a:off x="520699" y="31931130"/>
          <a:ext cx="453186" cy="433249"/>
          <a:chOff x="0" y="0"/>
          <a:chExt cx="453184" cy="433248"/>
        </a:xfrm>
      </xdr:grpSpPr>
      <xdr:sp>
        <xdr:nvSpPr>
          <xdr:cNvPr id="465" name="Ovale"/>
          <xdr:cNvSpPr/>
        </xdr:nvSpPr>
        <xdr:spPr>
          <a:xfrm>
            <a:off x="-1" y="-1"/>
            <a:ext cx="453186" cy="433250"/>
          </a:xfrm>
          <a:prstGeom prst="ellipse">
            <a:avLst/>
          </a:prstGeom>
          <a:noFill/>
          <a:ln w="28575" cap="flat">
            <a:solidFill>
              <a:srgbClr val="203B7D"/>
            </a:solidFill>
            <a:prstDash val="solid"/>
            <a:miter lim="800000"/>
          </a:ln>
          <a:effectLst/>
        </xdr:spPr>
        <xdr:txBody>
          <a:bodyPr/>
          <a:lstStyle/>
          <a:p>
            <a:pPr/>
          </a:p>
        </xdr:txBody>
      </xdr:sp>
      <xdr:sp>
        <xdr:nvSpPr>
          <xdr:cNvPr id="466" name="4"/>
          <xdr:cNvSpPr txBox="1"/>
        </xdr:nvSpPr>
        <xdr:spPr>
          <a:xfrm>
            <a:off x="116352" y="56902"/>
            <a:ext cx="220479" cy="319443"/>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203B7D"/>
                </a:solidFill>
                <a:uFillTx/>
                <a:latin typeface="Calibri"/>
                <a:ea typeface="Calibri"/>
                <a:cs typeface="Calibri"/>
                <a:sym typeface="Calibri"/>
              </a:defRPr>
            </a:pPr>
            <a:r>
              <a:rPr b="0" baseline="0" cap="none" i="0" spc="0" strike="noStrike" sz="2600" u="none">
                <a:solidFill>
                  <a:srgbClr val="203B7D"/>
                </a:solidFill>
                <a:uFillTx/>
                <a:latin typeface="Calibri"/>
                <a:ea typeface="Calibri"/>
                <a:cs typeface="Calibri"/>
                <a:sym typeface="Calibri"/>
              </a:rPr>
              <a:t>4</a:t>
            </a:r>
          </a:p>
        </xdr:txBody>
      </xdr:sp>
    </xdr:grpSp>
    <xdr:clientData/>
  </xdr:twoCellAnchor>
  <xdr:twoCellAnchor>
    <xdr:from>
      <xdr:col>5</xdr:col>
      <xdr:colOff>9180</xdr:colOff>
      <xdr:row>74</xdr:row>
      <xdr:rowOff>58569</xdr:rowOff>
    </xdr:from>
    <xdr:to>
      <xdr:col>5</xdr:col>
      <xdr:colOff>462365</xdr:colOff>
      <xdr:row>75</xdr:row>
      <xdr:rowOff>301317</xdr:rowOff>
    </xdr:to>
    <xdr:grpSp>
      <xdr:nvGrpSpPr>
        <xdr:cNvPr id="470" name="Ellipse 155647"/>
        <xdr:cNvGrpSpPr/>
      </xdr:nvGrpSpPr>
      <xdr:grpSpPr>
        <a:xfrm>
          <a:off x="529880" y="41021784"/>
          <a:ext cx="453185" cy="433249"/>
          <a:chOff x="0" y="0"/>
          <a:chExt cx="453184" cy="433248"/>
        </a:xfrm>
      </xdr:grpSpPr>
      <xdr:sp>
        <xdr:nvSpPr>
          <xdr:cNvPr id="468" name="Ovale"/>
          <xdr:cNvSpPr/>
        </xdr:nvSpPr>
        <xdr:spPr>
          <a:xfrm>
            <a:off x="-1" y="-1"/>
            <a:ext cx="453186" cy="433250"/>
          </a:xfrm>
          <a:prstGeom prst="ellipse">
            <a:avLst/>
          </a:prstGeom>
          <a:noFill/>
          <a:ln w="28575" cap="flat">
            <a:solidFill>
              <a:srgbClr val="203B7D"/>
            </a:solidFill>
            <a:prstDash val="solid"/>
            <a:miter lim="800000"/>
          </a:ln>
          <a:effectLst/>
        </xdr:spPr>
        <xdr:txBody>
          <a:bodyPr/>
          <a:lstStyle/>
          <a:p>
            <a:pPr/>
          </a:p>
        </xdr:txBody>
      </xdr:sp>
      <xdr:sp>
        <xdr:nvSpPr>
          <xdr:cNvPr id="469" name="5"/>
          <xdr:cNvSpPr txBox="1"/>
        </xdr:nvSpPr>
        <xdr:spPr>
          <a:xfrm>
            <a:off x="116352" y="56902"/>
            <a:ext cx="220479" cy="319443"/>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203B7D"/>
                </a:solidFill>
                <a:uFillTx/>
                <a:latin typeface="Calibri"/>
                <a:ea typeface="Calibri"/>
                <a:cs typeface="Calibri"/>
                <a:sym typeface="Calibri"/>
              </a:defRPr>
            </a:pPr>
            <a:r>
              <a:rPr b="0" baseline="0" cap="none" i="0" spc="0" strike="noStrike" sz="2600" u="none">
                <a:solidFill>
                  <a:srgbClr val="203B7D"/>
                </a:solidFill>
                <a:uFillTx/>
                <a:latin typeface="Calibri"/>
                <a:ea typeface="Calibri"/>
                <a:cs typeface="Calibri"/>
                <a:sym typeface="Calibri"/>
              </a:rPr>
              <a:t>5</a:t>
            </a:r>
          </a:p>
        </xdr:txBody>
      </xdr:sp>
    </xdr:grpSp>
    <xdr:clientData/>
  </xdr:twoCellAnchor>
  <xdr:twoCellAnchor>
    <xdr:from>
      <xdr:col>9</xdr:col>
      <xdr:colOff>10634</xdr:colOff>
      <xdr:row>62</xdr:row>
      <xdr:rowOff>1560198</xdr:rowOff>
    </xdr:from>
    <xdr:to>
      <xdr:col>9</xdr:col>
      <xdr:colOff>4574992</xdr:colOff>
      <xdr:row>74</xdr:row>
      <xdr:rowOff>181309</xdr:rowOff>
    </xdr:to>
    <xdr:sp>
      <xdr:nvSpPr>
        <xdr:cNvPr id="471" name="ZoneTexte 1"/>
        <xdr:cNvSpPr/>
      </xdr:nvSpPr>
      <xdr:spPr>
        <a:xfrm>
          <a:off x="7630634" y="39157278"/>
          <a:ext cx="4564359" cy="1987247"/>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10952</xdr:colOff>
      <xdr:row>62</xdr:row>
      <xdr:rowOff>1560198</xdr:rowOff>
    </xdr:from>
    <xdr:to>
      <xdr:col>9</xdr:col>
      <xdr:colOff>4575309</xdr:colOff>
      <xdr:row>73</xdr:row>
      <xdr:rowOff>24661</xdr:rowOff>
    </xdr:to>
    <xdr:sp>
      <xdr:nvSpPr>
        <xdr:cNvPr id="472" name="ZoneTexte 1"/>
        <xdr:cNvSpPr/>
      </xdr:nvSpPr>
      <xdr:spPr>
        <a:xfrm>
          <a:off x="7630952" y="39157278"/>
          <a:ext cx="4564358" cy="1601999"/>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46</xdr:row>
      <xdr:rowOff>1478717</xdr:rowOff>
    </xdr:from>
    <xdr:to>
      <xdr:col>9</xdr:col>
      <xdr:colOff>4542761</xdr:colOff>
      <xdr:row>47</xdr:row>
      <xdr:rowOff>1590679</xdr:rowOff>
    </xdr:to>
    <xdr:sp>
      <xdr:nvSpPr>
        <xdr:cNvPr id="473" name="ZoneTexte 1"/>
        <xdr:cNvSpPr/>
      </xdr:nvSpPr>
      <xdr:spPr>
        <a:xfrm>
          <a:off x="7648574" y="28750697"/>
          <a:ext cx="4514188" cy="163596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10635</xdr:colOff>
      <xdr:row>47</xdr:row>
      <xdr:rowOff>1590680</xdr:rowOff>
    </xdr:from>
    <xdr:to>
      <xdr:col>9</xdr:col>
      <xdr:colOff>4572000</xdr:colOff>
      <xdr:row>56</xdr:row>
      <xdr:rowOff>45726</xdr:rowOff>
    </xdr:to>
    <xdr:sp>
      <xdr:nvSpPr>
        <xdr:cNvPr id="474" name="ZoneTexte 1"/>
        <xdr:cNvSpPr/>
      </xdr:nvSpPr>
      <xdr:spPr>
        <a:xfrm>
          <a:off x="7630635" y="30386659"/>
          <a:ext cx="4561365" cy="150114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47</xdr:row>
      <xdr:rowOff>1590680</xdr:rowOff>
    </xdr:from>
    <xdr:to>
      <xdr:col>9</xdr:col>
      <xdr:colOff>4542761</xdr:colOff>
      <xdr:row>56</xdr:row>
      <xdr:rowOff>180546</xdr:rowOff>
    </xdr:to>
    <xdr:sp>
      <xdr:nvSpPr>
        <xdr:cNvPr id="475" name="ZoneTexte 1"/>
        <xdr:cNvSpPr/>
      </xdr:nvSpPr>
      <xdr:spPr>
        <a:xfrm>
          <a:off x="7648574" y="30386659"/>
          <a:ext cx="4514188" cy="163596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10636</xdr:colOff>
      <xdr:row>81</xdr:row>
      <xdr:rowOff>1552573</xdr:rowOff>
    </xdr:from>
    <xdr:to>
      <xdr:col>9</xdr:col>
      <xdr:colOff>4532585</xdr:colOff>
      <xdr:row>85</xdr:row>
      <xdr:rowOff>79943</xdr:rowOff>
    </xdr:to>
    <xdr:sp>
      <xdr:nvSpPr>
        <xdr:cNvPr id="476" name="ZoneTexte 1"/>
        <xdr:cNvSpPr/>
      </xdr:nvSpPr>
      <xdr:spPr>
        <a:xfrm>
          <a:off x="7630636" y="49922428"/>
          <a:ext cx="4521950" cy="201352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10953</xdr:colOff>
      <xdr:row>82</xdr:row>
      <xdr:rowOff>1529713</xdr:rowOff>
    </xdr:from>
    <xdr:to>
      <xdr:col>9</xdr:col>
      <xdr:colOff>4532903</xdr:colOff>
      <xdr:row>90</xdr:row>
      <xdr:rowOff>138956</xdr:rowOff>
    </xdr:to>
    <xdr:sp>
      <xdr:nvSpPr>
        <xdr:cNvPr id="477" name="ZoneTexte 1"/>
        <xdr:cNvSpPr/>
      </xdr:nvSpPr>
      <xdr:spPr>
        <a:xfrm>
          <a:off x="7630953" y="51551203"/>
          <a:ext cx="4521950" cy="1601999"/>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92</xdr:row>
      <xdr:rowOff>68567</xdr:rowOff>
    </xdr:from>
    <xdr:to>
      <xdr:col>9</xdr:col>
      <xdr:colOff>4503756</xdr:colOff>
      <xdr:row>93</xdr:row>
      <xdr:rowOff>1506842</xdr:rowOff>
    </xdr:to>
    <xdr:sp>
      <xdr:nvSpPr>
        <xdr:cNvPr id="478" name="ZoneTexte 1"/>
        <xdr:cNvSpPr/>
      </xdr:nvSpPr>
      <xdr:spPr>
        <a:xfrm>
          <a:off x="7648574" y="53692412"/>
          <a:ext cx="4475183" cy="162877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93</xdr:row>
      <xdr:rowOff>1563992</xdr:rowOff>
    </xdr:from>
    <xdr:to>
      <xdr:col>9</xdr:col>
      <xdr:colOff>4451453</xdr:colOff>
      <xdr:row>94</xdr:row>
      <xdr:rowOff>1554464</xdr:rowOff>
    </xdr:to>
    <xdr:sp>
      <xdr:nvSpPr>
        <xdr:cNvPr id="479" name="ZoneTexte 1"/>
        <xdr:cNvSpPr/>
      </xdr:nvSpPr>
      <xdr:spPr>
        <a:xfrm>
          <a:off x="7648574" y="55378337"/>
          <a:ext cx="4422880" cy="1642108"/>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94</xdr:row>
      <xdr:rowOff>1570141</xdr:rowOff>
    </xdr:from>
    <xdr:to>
      <xdr:col>9</xdr:col>
      <xdr:colOff>4503756</xdr:colOff>
      <xdr:row>95</xdr:row>
      <xdr:rowOff>1506837</xdr:rowOff>
    </xdr:to>
    <xdr:sp>
      <xdr:nvSpPr>
        <xdr:cNvPr id="480" name="ZoneTexte 1"/>
        <xdr:cNvSpPr/>
      </xdr:nvSpPr>
      <xdr:spPr>
        <a:xfrm>
          <a:off x="7648574" y="57036121"/>
          <a:ext cx="4475183" cy="1635957"/>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10636</xdr:colOff>
      <xdr:row>95</xdr:row>
      <xdr:rowOff>1529695</xdr:rowOff>
    </xdr:from>
    <xdr:to>
      <xdr:col>9</xdr:col>
      <xdr:colOff>4532585</xdr:colOff>
      <xdr:row>97</xdr:row>
      <xdr:rowOff>239945</xdr:rowOff>
    </xdr:to>
    <xdr:sp>
      <xdr:nvSpPr>
        <xdr:cNvPr id="481" name="ZoneTexte 1"/>
        <xdr:cNvSpPr/>
      </xdr:nvSpPr>
      <xdr:spPr>
        <a:xfrm>
          <a:off x="7630636" y="58694935"/>
          <a:ext cx="4521950" cy="201352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10953</xdr:colOff>
      <xdr:row>96</xdr:row>
      <xdr:rowOff>1526573</xdr:rowOff>
    </xdr:from>
    <xdr:to>
      <xdr:col>9</xdr:col>
      <xdr:colOff>4532903</xdr:colOff>
      <xdr:row>97</xdr:row>
      <xdr:rowOff>1476936</xdr:rowOff>
    </xdr:to>
    <xdr:sp>
      <xdr:nvSpPr>
        <xdr:cNvPr id="482" name="ZoneTexte 1"/>
        <xdr:cNvSpPr/>
      </xdr:nvSpPr>
      <xdr:spPr>
        <a:xfrm>
          <a:off x="7630953" y="60343448"/>
          <a:ext cx="4521950" cy="1601999"/>
        </a:xfrm>
        <a:prstGeom prst="rect">
          <a:avLst/>
        </a:prstGeom>
        <a:solidFill>
          <a:srgbClr val="FFFFFF"/>
        </a:solidFill>
        <a:ln w="12700" cap="flat">
          <a:noFill/>
          <a:miter lim="400000"/>
        </a:ln>
        <a:effectLst/>
      </xdr:spPr>
      <xdr:txBody>
        <a:bodyPr/>
        <a:lstStyle/>
        <a:p>
          <a:pPr/>
        </a:p>
      </xdr:txBody>
    </xdr:sp>
    <xdr:clientData/>
  </xdr:twoCellAnchor>
  <xdr:twoCellAnchor>
    <xdr:from>
      <xdr:col>5</xdr:col>
      <xdr:colOff>9180</xdr:colOff>
      <xdr:row>90</xdr:row>
      <xdr:rowOff>35701</xdr:rowOff>
    </xdr:from>
    <xdr:to>
      <xdr:col>5</xdr:col>
      <xdr:colOff>462365</xdr:colOff>
      <xdr:row>91</xdr:row>
      <xdr:rowOff>278453</xdr:rowOff>
    </xdr:to>
    <xdr:grpSp>
      <xdr:nvGrpSpPr>
        <xdr:cNvPr id="485" name="Ellipse 155870"/>
        <xdr:cNvGrpSpPr/>
      </xdr:nvGrpSpPr>
      <xdr:grpSpPr>
        <a:xfrm>
          <a:off x="529880" y="53049946"/>
          <a:ext cx="453185" cy="433253"/>
          <a:chOff x="0" y="0"/>
          <a:chExt cx="453184" cy="433251"/>
        </a:xfrm>
      </xdr:grpSpPr>
      <xdr:sp>
        <xdr:nvSpPr>
          <xdr:cNvPr id="483" name="Ovale"/>
          <xdr:cNvSpPr/>
        </xdr:nvSpPr>
        <xdr:spPr>
          <a:xfrm>
            <a:off x="-1" y="0"/>
            <a:ext cx="453186" cy="433252"/>
          </a:xfrm>
          <a:prstGeom prst="ellipse">
            <a:avLst/>
          </a:prstGeom>
          <a:noFill/>
          <a:ln w="28575" cap="flat">
            <a:solidFill>
              <a:srgbClr val="203B7D"/>
            </a:solidFill>
            <a:prstDash val="solid"/>
            <a:miter lim="800000"/>
          </a:ln>
          <a:effectLst/>
        </xdr:spPr>
        <xdr:txBody>
          <a:bodyPr/>
          <a:lstStyle/>
          <a:p>
            <a:pPr/>
          </a:p>
        </xdr:txBody>
      </xdr:sp>
      <xdr:sp>
        <xdr:nvSpPr>
          <xdr:cNvPr id="484" name="6"/>
          <xdr:cNvSpPr txBox="1"/>
        </xdr:nvSpPr>
        <xdr:spPr>
          <a:xfrm>
            <a:off x="116352" y="56901"/>
            <a:ext cx="220479" cy="319449"/>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203B7D"/>
                </a:solidFill>
                <a:uFillTx/>
                <a:latin typeface="Calibri"/>
                <a:ea typeface="Calibri"/>
                <a:cs typeface="Calibri"/>
                <a:sym typeface="Calibri"/>
              </a:defRPr>
            </a:pPr>
            <a:r>
              <a:rPr b="0" baseline="0" cap="none" i="0" spc="0" strike="noStrike" sz="2600" u="none">
                <a:solidFill>
                  <a:srgbClr val="203B7D"/>
                </a:solidFill>
                <a:uFillTx/>
                <a:latin typeface="Calibri"/>
                <a:ea typeface="Calibri"/>
                <a:cs typeface="Calibri"/>
                <a:sym typeface="Calibri"/>
              </a:rPr>
              <a:t>6</a:t>
            </a:r>
          </a:p>
        </xdr:txBody>
      </xdr:sp>
    </xdr:grpSp>
    <xdr:clientData/>
  </xdr:twoCellAnchor>
  <xdr:twoCellAnchor>
    <xdr:from>
      <xdr:col>9</xdr:col>
      <xdr:colOff>10636</xdr:colOff>
      <xdr:row>97</xdr:row>
      <xdr:rowOff>1529690</xdr:rowOff>
    </xdr:from>
    <xdr:to>
      <xdr:col>9</xdr:col>
      <xdr:colOff>4532585</xdr:colOff>
      <xdr:row>99</xdr:row>
      <xdr:rowOff>239940</xdr:rowOff>
    </xdr:to>
    <xdr:sp>
      <xdr:nvSpPr>
        <xdr:cNvPr id="486" name="ZoneTexte 1"/>
        <xdr:cNvSpPr/>
      </xdr:nvSpPr>
      <xdr:spPr>
        <a:xfrm>
          <a:off x="7630636" y="61998200"/>
          <a:ext cx="4521950" cy="201352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10953</xdr:colOff>
      <xdr:row>98</xdr:row>
      <xdr:rowOff>1526568</xdr:rowOff>
    </xdr:from>
    <xdr:to>
      <xdr:col>9</xdr:col>
      <xdr:colOff>4532903</xdr:colOff>
      <xdr:row>99</xdr:row>
      <xdr:rowOff>1476931</xdr:rowOff>
    </xdr:to>
    <xdr:sp>
      <xdr:nvSpPr>
        <xdr:cNvPr id="487" name="ZoneTexte 1"/>
        <xdr:cNvSpPr/>
      </xdr:nvSpPr>
      <xdr:spPr>
        <a:xfrm>
          <a:off x="7630953" y="63646713"/>
          <a:ext cx="4521950" cy="1601999"/>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100</xdr:row>
      <xdr:rowOff>38071</xdr:rowOff>
    </xdr:from>
    <xdr:to>
      <xdr:col>9</xdr:col>
      <xdr:colOff>4503756</xdr:colOff>
      <xdr:row>124</xdr:row>
      <xdr:rowOff>20926</xdr:rowOff>
    </xdr:to>
    <xdr:sp>
      <xdr:nvSpPr>
        <xdr:cNvPr id="488" name="ZoneTexte 1"/>
        <xdr:cNvSpPr/>
      </xdr:nvSpPr>
      <xdr:spPr>
        <a:xfrm>
          <a:off x="7648574" y="65461486"/>
          <a:ext cx="4475183" cy="162877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100</xdr:row>
      <xdr:rowOff>38071</xdr:rowOff>
    </xdr:from>
    <xdr:to>
      <xdr:col>9</xdr:col>
      <xdr:colOff>4451453</xdr:colOff>
      <xdr:row>123</xdr:row>
      <xdr:rowOff>169513</xdr:rowOff>
    </xdr:to>
    <xdr:sp>
      <xdr:nvSpPr>
        <xdr:cNvPr id="489" name="ZoneTexte 1"/>
        <xdr:cNvSpPr/>
      </xdr:nvSpPr>
      <xdr:spPr>
        <a:xfrm>
          <a:off x="7648574" y="65461486"/>
          <a:ext cx="4422880" cy="159448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100</xdr:row>
      <xdr:rowOff>38071</xdr:rowOff>
    </xdr:from>
    <xdr:to>
      <xdr:col>9</xdr:col>
      <xdr:colOff>4503756</xdr:colOff>
      <xdr:row>124</xdr:row>
      <xdr:rowOff>28107</xdr:rowOff>
    </xdr:to>
    <xdr:sp>
      <xdr:nvSpPr>
        <xdr:cNvPr id="490" name="ZoneTexte 1"/>
        <xdr:cNvSpPr/>
      </xdr:nvSpPr>
      <xdr:spPr>
        <a:xfrm>
          <a:off x="7648574" y="65461486"/>
          <a:ext cx="4475183" cy="1635957"/>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10636</xdr:colOff>
      <xdr:row>100</xdr:row>
      <xdr:rowOff>38071</xdr:rowOff>
    </xdr:from>
    <xdr:to>
      <xdr:col>9</xdr:col>
      <xdr:colOff>4532585</xdr:colOff>
      <xdr:row>126</xdr:row>
      <xdr:rowOff>39911</xdr:rowOff>
    </xdr:to>
    <xdr:sp>
      <xdr:nvSpPr>
        <xdr:cNvPr id="491" name="ZoneTexte 1"/>
        <xdr:cNvSpPr/>
      </xdr:nvSpPr>
      <xdr:spPr>
        <a:xfrm>
          <a:off x="7630636" y="65461486"/>
          <a:ext cx="4521950" cy="201352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10953</xdr:colOff>
      <xdr:row>100</xdr:row>
      <xdr:rowOff>38071</xdr:rowOff>
    </xdr:from>
    <xdr:to>
      <xdr:col>9</xdr:col>
      <xdr:colOff>4532903</xdr:colOff>
      <xdr:row>123</xdr:row>
      <xdr:rowOff>177029</xdr:rowOff>
    </xdr:to>
    <xdr:sp>
      <xdr:nvSpPr>
        <xdr:cNvPr id="492" name="ZoneTexte 1"/>
        <xdr:cNvSpPr/>
      </xdr:nvSpPr>
      <xdr:spPr>
        <a:xfrm>
          <a:off x="7630953" y="65461486"/>
          <a:ext cx="4521950" cy="1601999"/>
        </a:xfrm>
        <a:prstGeom prst="rect">
          <a:avLst/>
        </a:prstGeom>
        <a:solidFill>
          <a:srgbClr val="FFFFFF"/>
        </a:solidFill>
        <a:ln w="12700" cap="flat">
          <a:noFill/>
          <a:miter lim="400000"/>
        </a:ln>
        <a:effectLst/>
      </xdr:spPr>
      <xdr:txBody>
        <a:bodyPr/>
        <a:lstStyle/>
        <a:p>
          <a:pPr/>
        </a:p>
      </xdr:txBody>
    </xdr:sp>
    <xdr:clientData/>
  </xdr:twoCellAnchor>
  <xdr:twoCellAnchor>
    <xdr:from>
      <xdr:col>5</xdr:col>
      <xdr:colOff>9180</xdr:colOff>
      <xdr:row>100</xdr:row>
      <xdr:rowOff>38071</xdr:rowOff>
    </xdr:from>
    <xdr:to>
      <xdr:col>5</xdr:col>
      <xdr:colOff>462365</xdr:colOff>
      <xdr:row>117</xdr:row>
      <xdr:rowOff>105563</xdr:rowOff>
    </xdr:to>
    <xdr:grpSp>
      <xdr:nvGrpSpPr>
        <xdr:cNvPr id="495" name="Ellipse 155920"/>
        <xdr:cNvGrpSpPr/>
      </xdr:nvGrpSpPr>
      <xdr:grpSpPr>
        <a:xfrm>
          <a:off x="529880" y="65461486"/>
          <a:ext cx="453185" cy="433253"/>
          <a:chOff x="0" y="0"/>
          <a:chExt cx="453184" cy="433251"/>
        </a:xfrm>
      </xdr:grpSpPr>
      <xdr:sp>
        <xdr:nvSpPr>
          <xdr:cNvPr id="493" name="Ovale"/>
          <xdr:cNvSpPr/>
        </xdr:nvSpPr>
        <xdr:spPr>
          <a:xfrm>
            <a:off x="-1" y="0"/>
            <a:ext cx="453186" cy="433252"/>
          </a:xfrm>
          <a:prstGeom prst="ellipse">
            <a:avLst/>
          </a:prstGeom>
          <a:noFill/>
          <a:ln w="28575" cap="flat">
            <a:solidFill>
              <a:srgbClr val="203B7D"/>
            </a:solidFill>
            <a:prstDash val="solid"/>
            <a:miter lim="800000"/>
          </a:ln>
          <a:effectLst/>
        </xdr:spPr>
        <xdr:txBody>
          <a:bodyPr/>
          <a:lstStyle/>
          <a:p>
            <a:pPr/>
          </a:p>
        </xdr:txBody>
      </xdr:sp>
      <xdr:sp>
        <xdr:nvSpPr>
          <xdr:cNvPr id="494" name="7"/>
          <xdr:cNvSpPr txBox="1"/>
        </xdr:nvSpPr>
        <xdr:spPr>
          <a:xfrm>
            <a:off x="116352" y="56901"/>
            <a:ext cx="220479" cy="319449"/>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203B7D"/>
                </a:solidFill>
                <a:uFillTx/>
                <a:latin typeface="Calibri"/>
                <a:ea typeface="Calibri"/>
                <a:cs typeface="Calibri"/>
                <a:sym typeface="Calibri"/>
              </a:defRPr>
            </a:pPr>
            <a:r>
              <a:rPr b="0" baseline="0" cap="none" i="0" spc="0" strike="noStrike" sz="2600" u="none">
                <a:solidFill>
                  <a:srgbClr val="203B7D"/>
                </a:solidFill>
                <a:uFillTx/>
                <a:latin typeface="Calibri"/>
                <a:ea typeface="Calibri"/>
                <a:cs typeface="Calibri"/>
                <a:sym typeface="Calibri"/>
              </a:rPr>
              <a:t>7</a:t>
            </a:r>
          </a:p>
        </xdr:txBody>
      </xdr:sp>
    </xdr:grpSp>
    <xdr:clientData/>
  </xdr:twoCellAnchor>
  <xdr:twoCellAnchor>
    <xdr:from>
      <xdr:col>9</xdr:col>
      <xdr:colOff>10636</xdr:colOff>
      <xdr:row>100</xdr:row>
      <xdr:rowOff>38071</xdr:rowOff>
    </xdr:from>
    <xdr:to>
      <xdr:col>9</xdr:col>
      <xdr:colOff>4532585</xdr:colOff>
      <xdr:row>126</xdr:row>
      <xdr:rowOff>39911</xdr:rowOff>
    </xdr:to>
    <xdr:sp>
      <xdr:nvSpPr>
        <xdr:cNvPr id="496" name="ZoneTexte 1"/>
        <xdr:cNvSpPr/>
      </xdr:nvSpPr>
      <xdr:spPr>
        <a:xfrm>
          <a:off x="7630636" y="65461486"/>
          <a:ext cx="4521950" cy="201352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10953</xdr:colOff>
      <xdr:row>100</xdr:row>
      <xdr:rowOff>38071</xdr:rowOff>
    </xdr:from>
    <xdr:to>
      <xdr:col>9</xdr:col>
      <xdr:colOff>4532903</xdr:colOff>
      <xdr:row>123</xdr:row>
      <xdr:rowOff>177029</xdr:rowOff>
    </xdr:to>
    <xdr:sp>
      <xdr:nvSpPr>
        <xdr:cNvPr id="497" name="ZoneTexte 1"/>
        <xdr:cNvSpPr/>
      </xdr:nvSpPr>
      <xdr:spPr>
        <a:xfrm>
          <a:off x="7630953" y="65461486"/>
          <a:ext cx="4521950" cy="1601999"/>
        </a:xfrm>
        <a:prstGeom prst="rect">
          <a:avLst/>
        </a:prstGeom>
        <a:solidFill>
          <a:srgbClr val="FFFFFF"/>
        </a:solidFill>
        <a:ln w="12700" cap="flat">
          <a:noFill/>
          <a:miter lim="400000"/>
        </a:ln>
        <a:effectLst/>
      </xdr:spPr>
      <xdr:txBody>
        <a:bodyPr/>
        <a:lstStyle/>
        <a:p>
          <a:pPr/>
        </a:p>
      </xdr:txBody>
    </xdr:sp>
    <xdr:clientData/>
  </xdr:twoCellAnchor>
</xdr:wsDr>
</file>

<file path=xl/drawings/drawing16.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6</xdr:col>
      <xdr:colOff>1021079</xdr:colOff>
      <xdr:row>21</xdr:row>
      <xdr:rowOff>137159</xdr:rowOff>
    </xdr:from>
    <xdr:to>
      <xdr:col>6</xdr:col>
      <xdr:colOff>4084955</xdr:colOff>
      <xdr:row>22</xdr:row>
      <xdr:rowOff>169602</xdr:rowOff>
    </xdr:to>
    <xdr:grpSp>
      <xdr:nvGrpSpPr>
        <xdr:cNvPr id="501" name="Rectangle : coins arrondis 1"/>
        <xdr:cNvGrpSpPr/>
      </xdr:nvGrpSpPr>
      <xdr:grpSpPr>
        <a:xfrm>
          <a:off x="3853179" y="9128759"/>
          <a:ext cx="3063877" cy="672524"/>
          <a:chOff x="0" y="0"/>
          <a:chExt cx="3063875" cy="672522"/>
        </a:xfrm>
      </xdr:grpSpPr>
      <xdr:sp>
        <xdr:nvSpPr>
          <xdr:cNvPr id="499" name="Rectangle aux angles arrondis"/>
          <xdr:cNvSpPr/>
        </xdr:nvSpPr>
        <xdr:spPr>
          <a:xfrm>
            <a:off x="0" y="0"/>
            <a:ext cx="3063876" cy="672523"/>
          </a:xfrm>
          <a:prstGeom prst="roundRect">
            <a:avLst>
              <a:gd name="adj" fmla="val 16667"/>
            </a:avLst>
          </a:prstGeom>
          <a:solidFill>
            <a:srgbClr val="DEEBF7"/>
          </a:solidFill>
          <a:ln w="28575" cap="flat">
            <a:solidFill>
              <a:srgbClr val="C00000"/>
            </a:solidFill>
            <a:prstDash val="solid"/>
            <a:miter lim="800000"/>
          </a:ln>
          <a:effectLst>
            <a:outerShdw sx="100000" sy="100000" kx="0" ky="0" algn="b" rotWithShape="0" blurRad="63500" dist="0" dir="0">
              <a:srgbClr val="000000">
                <a:alpha val="40000"/>
              </a:srgbClr>
            </a:outerShdw>
          </a:effectLst>
        </xdr:spPr>
        <xdr:txBody>
          <a:bodyPr/>
          <a:lstStyle/>
          <a:p>
            <a:pPr/>
          </a:p>
        </xdr:txBody>
      </xdr:sp>
      <xdr:sp>
        <xdr:nvSpPr>
          <xdr:cNvPr id="500" name="Calculer la maturité"/>
          <xdr:cNvSpPr txBox="1"/>
        </xdr:nvSpPr>
        <xdr:spPr>
          <a:xfrm>
            <a:off x="73787" y="3745"/>
            <a:ext cx="2916301" cy="665032"/>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1" baseline="0" cap="none" i="0" spc="0" strike="noStrike" sz="1800" u="none">
                <a:solidFill>
                  <a:srgbClr val="C00000"/>
                </a:solidFill>
                <a:uFillTx/>
                <a:latin typeface="Aptos Light"/>
                <a:ea typeface="Aptos Light"/>
                <a:cs typeface="Aptos Light"/>
                <a:sym typeface="Aptos Light"/>
              </a:defRPr>
            </a:pPr>
            <a:r>
              <a:rPr b="1" baseline="0" cap="none" i="0" spc="0" strike="noStrike" sz="1800" u="none">
                <a:solidFill>
                  <a:srgbClr val="C00000"/>
                </a:solidFill>
                <a:uFillTx/>
                <a:latin typeface="Aptos Light"/>
                <a:ea typeface="Aptos Light"/>
                <a:cs typeface="Aptos Light"/>
                <a:sym typeface="Aptos Light"/>
              </a:rPr>
              <a:t>Calculer la maturité</a:t>
            </a:r>
          </a:p>
        </xdr:txBody>
      </xdr:sp>
    </xdr:grpSp>
    <xdr:clientData/>
  </xdr:twoCellAnchor>
</xdr:wsDr>
</file>

<file path=xl/drawings/drawing17.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9</xdr:col>
      <xdr:colOff>28574</xdr:colOff>
      <xdr:row>11</xdr:row>
      <xdr:rowOff>22859</xdr:rowOff>
    </xdr:from>
    <xdr:to>
      <xdr:col>9</xdr:col>
      <xdr:colOff>4500553</xdr:colOff>
      <xdr:row>11</xdr:row>
      <xdr:rowOff>1651634</xdr:rowOff>
    </xdr:to>
    <xdr:sp>
      <xdr:nvSpPr>
        <xdr:cNvPr id="503" name="ZoneTexte 1"/>
        <xdr:cNvSpPr/>
      </xdr:nvSpPr>
      <xdr:spPr>
        <a:xfrm>
          <a:off x="7648574" y="3398519"/>
          <a:ext cx="4471980" cy="162877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12</xdr:row>
      <xdr:rowOff>57149</xdr:rowOff>
    </xdr:from>
    <xdr:to>
      <xdr:col>9</xdr:col>
      <xdr:colOff>4529666</xdr:colOff>
      <xdr:row>12</xdr:row>
      <xdr:rowOff>3954779</xdr:rowOff>
    </xdr:to>
    <xdr:sp>
      <xdr:nvSpPr>
        <xdr:cNvPr id="504" name="ZoneTexte 1"/>
        <xdr:cNvSpPr/>
      </xdr:nvSpPr>
      <xdr:spPr>
        <a:xfrm>
          <a:off x="7648574" y="5084444"/>
          <a:ext cx="4501093" cy="389763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13</xdr:row>
      <xdr:rowOff>15674</xdr:rowOff>
    </xdr:from>
    <xdr:to>
      <xdr:col>9</xdr:col>
      <xdr:colOff>4500553</xdr:colOff>
      <xdr:row>13</xdr:row>
      <xdr:rowOff>1651634</xdr:rowOff>
    </xdr:to>
    <xdr:sp>
      <xdr:nvSpPr>
        <xdr:cNvPr id="505" name="ZoneTexte 1"/>
        <xdr:cNvSpPr/>
      </xdr:nvSpPr>
      <xdr:spPr>
        <a:xfrm>
          <a:off x="7648574" y="8997749"/>
          <a:ext cx="4471980" cy="163596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10635</xdr:colOff>
      <xdr:row>14</xdr:row>
      <xdr:rowOff>22858</xdr:rowOff>
    </xdr:from>
    <xdr:to>
      <xdr:col>9</xdr:col>
      <xdr:colOff>4529350</xdr:colOff>
      <xdr:row>20</xdr:row>
      <xdr:rowOff>3595</xdr:rowOff>
    </xdr:to>
    <xdr:sp>
      <xdr:nvSpPr>
        <xdr:cNvPr id="506" name="ZoneTexte 1"/>
        <xdr:cNvSpPr/>
      </xdr:nvSpPr>
      <xdr:spPr>
        <a:xfrm>
          <a:off x="7630635" y="10656568"/>
          <a:ext cx="4518715" cy="205147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10952</xdr:colOff>
      <xdr:row>14</xdr:row>
      <xdr:rowOff>1651634</xdr:rowOff>
    </xdr:from>
    <xdr:to>
      <xdr:col>9</xdr:col>
      <xdr:colOff>4529667</xdr:colOff>
      <xdr:row>25</xdr:row>
      <xdr:rowOff>17038</xdr:rowOff>
    </xdr:to>
    <xdr:sp>
      <xdr:nvSpPr>
        <xdr:cNvPr id="507" name="ZoneTexte 1"/>
        <xdr:cNvSpPr/>
      </xdr:nvSpPr>
      <xdr:spPr>
        <a:xfrm>
          <a:off x="7630952" y="12285344"/>
          <a:ext cx="4518715" cy="1602000"/>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10952</xdr:colOff>
      <xdr:row>14</xdr:row>
      <xdr:rowOff>1651634</xdr:rowOff>
    </xdr:from>
    <xdr:to>
      <xdr:col>9</xdr:col>
      <xdr:colOff>4529667</xdr:colOff>
      <xdr:row>25</xdr:row>
      <xdr:rowOff>17040</xdr:rowOff>
    </xdr:to>
    <xdr:sp>
      <xdr:nvSpPr>
        <xdr:cNvPr id="508" name="ZoneTexte 1"/>
        <xdr:cNvSpPr/>
      </xdr:nvSpPr>
      <xdr:spPr>
        <a:xfrm>
          <a:off x="7630952" y="12285344"/>
          <a:ext cx="4518715" cy="1602002"/>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15715</xdr:colOff>
      <xdr:row>14</xdr:row>
      <xdr:rowOff>1651634</xdr:rowOff>
    </xdr:from>
    <xdr:to>
      <xdr:col>9</xdr:col>
      <xdr:colOff>4534430</xdr:colOff>
      <xdr:row>25</xdr:row>
      <xdr:rowOff>17038</xdr:rowOff>
    </xdr:to>
    <xdr:sp>
      <xdr:nvSpPr>
        <xdr:cNvPr id="509" name="ZoneTexte 1"/>
        <xdr:cNvSpPr/>
      </xdr:nvSpPr>
      <xdr:spPr>
        <a:xfrm>
          <a:off x="7635715" y="12285344"/>
          <a:ext cx="4518716" cy="1602000"/>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26</xdr:row>
      <xdr:rowOff>182882</xdr:rowOff>
    </xdr:from>
    <xdr:to>
      <xdr:col>9</xdr:col>
      <xdr:colOff>4519448</xdr:colOff>
      <xdr:row>27</xdr:row>
      <xdr:rowOff>2644141</xdr:rowOff>
    </xdr:to>
    <xdr:sp>
      <xdr:nvSpPr>
        <xdr:cNvPr id="510" name="ZoneTexte 1"/>
        <xdr:cNvSpPr/>
      </xdr:nvSpPr>
      <xdr:spPr>
        <a:xfrm>
          <a:off x="7648574" y="14472287"/>
          <a:ext cx="4490875" cy="2651760"/>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28</xdr:row>
      <xdr:rowOff>26671</xdr:rowOff>
    </xdr:from>
    <xdr:to>
      <xdr:col>9</xdr:col>
      <xdr:colOff>4466961</xdr:colOff>
      <xdr:row>28</xdr:row>
      <xdr:rowOff>1621156</xdr:rowOff>
    </xdr:to>
    <xdr:sp>
      <xdr:nvSpPr>
        <xdr:cNvPr id="511" name="ZoneTexte 1"/>
        <xdr:cNvSpPr/>
      </xdr:nvSpPr>
      <xdr:spPr>
        <a:xfrm>
          <a:off x="7648574" y="17181196"/>
          <a:ext cx="4438388" cy="159448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28</xdr:row>
      <xdr:rowOff>1636831</xdr:rowOff>
    </xdr:from>
    <xdr:to>
      <xdr:col>9</xdr:col>
      <xdr:colOff>4519448</xdr:colOff>
      <xdr:row>29</xdr:row>
      <xdr:rowOff>1621156</xdr:rowOff>
    </xdr:to>
    <xdr:sp>
      <xdr:nvSpPr>
        <xdr:cNvPr id="512" name="ZoneTexte 1"/>
        <xdr:cNvSpPr/>
      </xdr:nvSpPr>
      <xdr:spPr>
        <a:xfrm>
          <a:off x="7648574" y="18791356"/>
          <a:ext cx="4490875" cy="163596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10635</xdr:colOff>
      <xdr:row>29</xdr:row>
      <xdr:rowOff>1644018</xdr:rowOff>
    </xdr:from>
    <xdr:to>
      <xdr:col>9</xdr:col>
      <xdr:colOff>4548441</xdr:colOff>
      <xdr:row>30</xdr:row>
      <xdr:rowOff>1623745</xdr:rowOff>
    </xdr:to>
    <xdr:sp>
      <xdr:nvSpPr>
        <xdr:cNvPr id="513" name="ZoneTexte 1"/>
        <xdr:cNvSpPr/>
      </xdr:nvSpPr>
      <xdr:spPr>
        <a:xfrm>
          <a:off x="7630635" y="20450178"/>
          <a:ext cx="4537807" cy="163136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10952</xdr:colOff>
      <xdr:row>30</xdr:row>
      <xdr:rowOff>1640896</xdr:rowOff>
    </xdr:from>
    <xdr:to>
      <xdr:col>9</xdr:col>
      <xdr:colOff>4548759</xdr:colOff>
      <xdr:row>31</xdr:row>
      <xdr:rowOff>1591262</xdr:rowOff>
    </xdr:to>
    <xdr:sp>
      <xdr:nvSpPr>
        <xdr:cNvPr id="514" name="ZoneTexte 1"/>
        <xdr:cNvSpPr/>
      </xdr:nvSpPr>
      <xdr:spPr>
        <a:xfrm>
          <a:off x="7630952" y="22098691"/>
          <a:ext cx="4537807" cy="1602002"/>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10952</xdr:colOff>
      <xdr:row>32</xdr:row>
      <xdr:rowOff>7991</xdr:rowOff>
    </xdr:from>
    <xdr:to>
      <xdr:col>9</xdr:col>
      <xdr:colOff>4548759</xdr:colOff>
      <xdr:row>32</xdr:row>
      <xdr:rowOff>1609990</xdr:rowOff>
    </xdr:to>
    <xdr:sp>
      <xdr:nvSpPr>
        <xdr:cNvPr id="515" name="ZoneTexte 1"/>
        <xdr:cNvSpPr/>
      </xdr:nvSpPr>
      <xdr:spPr>
        <a:xfrm>
          <a:off x="7630952" y="23769056"/>
          <a:ext cx="4537807" cy="1602000"/>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15716</xdr:colOff>
      <xdr:row>32</xdr:row>
      <xdr:rowOff>1621159</xdr:rowOff>
    </xdr:from>
    <xdr:to>
      <xdr:col>9</xdr:col>
      <xdr:colOff>4553522</xdr:colOff>
      <xdr:row>40</xdr:row>
      <xdr:rowOff>177062</xdr:rowOff>
    </xdr:to>
    <xdr:sp>
      <xdr:nvSpPr>
        <xdr:cNvPr id="516" name="ZoneTexte 1"/>
        <xdr:cNvSpPr/>
      </xdr:nvSpPr>
      <xdr:spPr>
        <a:xfrm>
          <a:off x="7635716" y="25382224"/>
          <a:ext cx="4537807" cy="1601999"/>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42</xdr:row>
      <xdr:rowOff>152400</xdr:rowOff>
    </xdr:from>
    <xdr:to>
      <xdr:col>9</xdr:col>
      <xdr:colOff>2636519</xdr:colOff>
      <xdr:row>43</xdr:row>
      <xdr:rowOff>1590675</xdr:rowOff>
    </xdr:to>
    <xdr:sp>
      <xdr:nvSpPr>
        <xdr:cNvPr id="517" name="ZoneTexte 1"/>
        <xdr:cNvSpPr/>
      </xdr:nvSpPr>
      <xdr:spPr>
        <a:xfrm>
          <a:off x="7648574" y="27569160"/>
          <a:ext cx="2607946" cy="162877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42</xdr:row>
      <xdr:rowOff>152400</xdr:rowOff>
    </xdr:from>
    <xdr:to>
      <xdr:col>9</xdr:col>
      <xdr:colOff>4542761</xdr:colOff>
      <xdr:row>43</xdr:row>
      <xdr:rowOff>1590675</xdr:rowOff>
    </xdr:to>
    <xdr:sp>
      <xdr:nvSpPr>
        <xdr:cNvPr id="518" name="ZoneTexte 1"/>
        <xdr:cNvSpPr/>
      </xdr:nvSpPr>
      <xdr:spPr>
        <a:xfrm>
          <a:off x="7648574" y="27569160"/>
          <a:ext cx="4514188" cy="162877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43</xdr:row>
      <xdr:rowOff>1647825</xdr:rowOff>
    </xdr:from>
    <xdr:to>
      <xdr:col>9</xdr:col>
      <xdr:colOff>4490003</xdr:colOff>
      <xdr:row>44</xdr:row>
      <xdr:rowOff>1590675</xdr:rowOff>
    </xdr:to>
    <xdr:sp>
      <xdr:nvSpPr>
        <xdr:cNvPr id="519" name="ZoneTexte 1"/>
        <xdr:cNvSpPr/>
      </xdr:nvSpPr>
      <xdr:spPr>
        <a:xfrm>
          <a:off x="7648574" y="29255085"/>
          <a:ext cx="4461430" cy="159448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44</xdr:row>
      <xdr:rowOff>1590676</xdr:rowOff>
    </xdr:from>
    <xdr:to>
      <xdr:col>9</xdr:col>
      <xdr:colOff>4542761</xdr:colOff>
      <xdr:row>56</xdr:row>
      <xdr:rowOff>180543</xdr:rowOff>
    </xdr:to>
    <xdr:sp>
      <xdr:nvSpPr>
        <xdr:cNvPr id="520" name="ZoneTexte 1"/>
        <xdr:cNvSpPr/>
      </xdr:nvSpPr>
      <xdr:spPr>
        <a:xfrm>
          <a:off x="7648574" y="30849571"/>
          <a:ext cx="4514188" cy="163596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10635</xdr:colOff>
      <xdr:row>44</xdr:row>
      <xdr:rowOff>1590676</xdr:rowOff>
    </xdr:from>
    <xdr:to>
      <xdr:col>9</xdr:col>
      <xdr:colOff>4572000</xdr:colOff>
      <xdr:row>56</xdr:row>
      <xdr:rowOff>45723</xdr:rowOff>
    </xdr:to>
    <xdr:sp>
      <xdr:nvSpPr>
        <xdr:cNvPr id="521" name="ZoneTexte 1"/>
        <xdr:cNvSpPr/>
      </xdr:nvSpPr>
      <xdr:spPr>
        <a:xfrm>
          <a:off x="7630635" y="30849571"/>
          <a:ext cx="4561365" cy="150114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58</xdr:row>
      <xdr:rowOff>121917</xdr:rowOff>
    </xdr:from>
    <xdr:to>
      <xdr:col>9</xdr:col>
      <xdr:colOff>4545724</xdr:colOff>
      <xdr:row>59</xdr:row>
      <xdr:rowOff>1560192</xdr:rowOff>
    </xdr:to>
    <xdr:sp>
      <xdr:nvSpPr>
        <xdr:cNvPr id="522" name="ZoneTexte 1"/>
        <xdr:cNvSpPr/>
      </xdr:nvSpPr>
      <xdr:spPr>
        <a:xfrm>
          <a:off x="7648574" y="33036507"/>
          <a:ext cx="4517151" cy="162877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59</xdr:row>
      <xdr:rowOff>1617342</xdr:rowOff>
    </xdr:from>
    <xdr:to>
      <xdr:col>9</xdr:col>
      <xdr:colOff>4492930</xdr:colOff>
      <xdr:row>60</xdr:row>
      <xdr:rowOff>1560192</xdr:rowOff>
    </xdr:to>
    <xdr:sp>
      <xdr:nvSpPr>
        <xdr:cNvPr id="523" name="ZoneTexte 1"/>
        <xdr:cNvSpPr/>
      </xdr:nvSpPr>
      <xdr:spPr>
        <a:xfrm>
          <a:off x="7648574" y="34722432"/>
          <a:ext cx="4464357" cy="159448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60</xdr:row>
      <xdr:rowOff>1575866</xdr:rowOff>
    </xdr:from>
    <xdr:to>
      <xdr:col>9</xdr:col>
      <xdr:colOff>4545724</xdr:colOff>
      <xdr:row>61</xdr:row>
      <xdr:rowOff>1560193</xdr:rowOff>
    </xdr:to>
    <xdr:sp>
      <xdr:nvSpPr>
        <xdr:cNvPr id="524" name="ZoneTexte 1"/>
        <xdr:cNvSpPr/>
      </xdr:nvSpPr>
      <xdr:spPr>
        <a:xfrm>
          <a:off x="7648574" y="36332591"/>
          <a:ext cx="4517151" cy="163596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10634</xdr:colOff>
      <xdr:row>61</xdr:row>
      <xdr:rowOff>1583051</xdr:rowOff>
    </xdr:from>
    <xdr:to>
      <xdr:col>9</xdr:col>
      <xdr:colOff>4574992</xdr:colOff>
      <xdr:row>63</xdr:row>
      <xdr:rowOff>267024</xdr:rowOff>
    </xdr:to>
    <xdr:sp>
      <xdr:nvSpPr>
        <xdr:cNvPr id="525" name="ZoneTexte 1"/>
        <xdr:cNvSpPr/>
      </xdr:nvSpPr>
      <xdr:spPr>
        <a:xfrm>
          <a:off x="7630634" y="37991411"/>
          <a:ext cx="4564359" cy="1987244"/>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10952</xdr:colOff>
      <xdr:row>62</xdr:row>
      <xdr:rowOff>1579932</xdr:rowOff>
    </xdr:from>
    <xdr:to>
      <xdr:col>9</xdr:col>
      <xdr:colOff>4575309</xdr:colOff>
      <xdr:row>63</xdr:row>
      <xdr:rowOff>1530298</xdr:rowOff>
    </xdr:to>
    <xdr:sp>
      <xdr:nvSpPr>
        <xdr:cNvPr id="526" name="ZoneTexte 1"/>
        <xdr:cNvSpPr/>
      </xdr:nvSpPr>
      <xdr:spPr>
        <a:xfrm>
          <a:off x="7630952" y="39639927"/>
          <a:ext cx="4564358" cy="1602002"/>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10952</xdr:colOff>
      <xdr:row>63</xdr:row>
      <xdr:rowOff>1560195</xdr:rowOff>
    </xdr:from>
    <xdr:to>
      <xdr:col>9</xdr:col>
      <xdr:colOff>4571998</xdr:colOff>
      <xdr:row>73</xdr:row>
      <xdr:rowOff>24664</xdr:rowOff>
    </xdr:to>
    <xdr:sp>
      <xdr:nvSpPr>
        <xdr:cNvPr id="527" name="ZoneTexte 1"/>
        <xdr:cNvSpPr/>
      </xdr:nvSpPr>
      <xdr:spPr>
        <a:xfrm>
          <a:off x="7630952" y="41271824"/>
          <a:ext cx="4561047" cy="160200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76</xdr:row>
      <xdr:rowOff>91432</xdr:rowOff>
    </xdr:from>
    <xdr:to>
      <xdr:col>9</xdr:col>
      <xdr:colOff>4503756</xdr:colOff>
      <xdr:row>77</xdr:row>
      <xdr:rowOff>1529707</xdr:rowOff>
    </xdr:to>
    <xdr:sp>
      <xdr:nvSpPr>
        <xdr:cNvPr id="528" name="ZoneTexte 1"/>
        <xdr:cNvSpPr/>
      </xdr:nvSpPr>
      <xdr:spPr>
        <a:xfrm>
          <a:off x="7648574" y="43778797"/>
          <a:ext cx="4475183" cy="162877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77</xdr:row>
      <xdr:rowOff>1586857</xdr:rowOff>
    </xdr:from>
    <xdr:to>
      <xdr:col>9</xdr:col>
      <xdr:colOff>4451453</xdr:colOff>
      <xdr:row>78</xdr:row>
      <xdr:rowOff>1529707</xdr:rowOff>
    </xdr:to>
    <xdr:sp>
      <xdr:nvSpPr>
        <xdr:cNvPr id="529" name="ZoneTexte 1"/>
        <xdr:cNvSpPr/>
      </xdr:nvSpPr>
      <xdr:spPr>
        <a:xfrm>
          <a:off x="7648574" y="45464722"/>
          <a:ext cx="4422880" cy="159448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78</xdr:row>
      <xdr:rowOff>1545381</xdr:rowOff>
    </xdr:from>
    <xdr:to>
      <xdr:col>9</xdr:col>
      <xdr:colOff>4503756</xdr:colOff>
      <xdr:row>79</xdr:row>
      <xdr:rowOff>1529708</xdr:rowOff>
    </xdr:to>
    <xdr:sp>
      <xdr:nvSpPr>
        <xdr:cNvPr id="530" name="ZoneTexte 1"/>
        <xdr:cNvSpPr/>
      </xdr:nvSpPr>
      <xdr:spPr>
        <a:xfrm>
          <a:off x="7648574" y="47074881"/>
          <a:ext cx="4475183" cy="163596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10636</xdr:colOff>
      <xdr:row>79</xdr:row>
      <xdr:rowOff>1552569</xdr:rowOff>
    </xdr:from>
    <xdr:to>
      <xdr:col>9</xdr:col>
      <xdr:colOff>4532585</xdr:colOff>
      <xdr:row>85</xdr:row>
      <xdr:rowOff>79939</xdr:rowOff>
    </xdr:to>
    <xdr:sp>
      <xdr:nvSpPr>
        <xdr:cNvPr id="531" name="ZoneTexte 1"/>
        <xdr:cNvSpPr/>
      </xdr:nvSpPr>
      <xdr:spPr>
        <a:xfrm>
          <a:off x="7630636" y="48733704"/>
          <a:ext cx="4521950" cy="201352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10953</xdr:colOff>
      <xdr:row>80</xdr:row>
      <xdr:rowOff>1529709</xdr:rowOff>
    </xdr:from>
    <xdr:to>
      <xdr:col>9</xdr:col>
      <xdr:colOff>4532903</xdr:colOff>
      <xdr:row>90</xdr:row>
      <xdr:rowOff>138952</xdr:rowOff>
    </xdr:to>
    <xdr:sp>
      <xdr:nvSpPr>
        <xdr:cNvPr id="532" name="ZoneTexte 1"/>
        <xdr:cNvSpPr/>
      </xdr:nvSpPr>
      <xdr:spPr>
        <a:xfrm>
          <a:off x="7630953" y="50362479"/>
          <a:ext cx="4521950" cy="1601999"/>
        </a:xfrm>
        <a:prstGeom prst="rect">
          <a:avLst/>
        </a:prstGeom>
        <a:solidFill>
          <a:srgbClr val="FFFFFF"/>
        </a:solidFill>
        <a:ln w="12700" cap="flat">
          <a:noFill/>
          <a:miter lim="400000"/>
        </a:ln>
        <a:effectLst/>
      </xdr:spPr>
      <xdr:txBody>
        <a:bodyPr/>
        <a:lstStyle/>
        <a:p>
          <a:pPr/>
        </a:p>
      </xdr:txBody>
    </xdr:sp>
    <xdr:clientData/>
  </xdr:twoCellAnchor>
  <xdr:twoCellAnchor>
    <xdr:from>
      <xdr:col>5</xdr:col>
      <xdr:colOff>11781</xdr:colOff>
      <xdr:row>8</xdr:row>
      <xdr:rowOff>167760</xdr:rowOff>
    </xdr:from>
    <xdr:to>
      <xdr:col>5</xdr:col>
      <xdr:colOff>464966</xdr:colOff>
      <xdr:row>10</xdr:row>
      <xdr:rowOff>2896</xdr:rowOff>
    </xdr:to>
    <xdr:grpSp>
      <xdr:nvGrpSpPr>
        <xdr:cNvPr id="535" name="Ellipse 59"/>
        <xdr:cNvGrpSpPr/>
      </xdr:nvGrpSpPr>
      <xdr:grpSpPr>
        <a:xfrm>
          <a:off x="532481" y="2758560"/>
          <a:ext cx="453185" cy="437117"/>
          <a:chOff x="0" y="0"/>
          <a:chExt cx="453184" cy="437115"/>
        </a:xfrm>
      </xdr:grpSpPr>
      <xdr:sp>
        <xdr:nvSpPr>
          <xdr:cNvPr id="533" name="Ovale"/>
          <xdr:cNvSpPr/>
        </xdr:nvSpPr>
        <xdr:spPr>
          <a:xfrm>
            <a:off x="-1" y="0"/>
            <a:ext cx="453186" cy="437116"/>
          </a:xfrm>
          <a:prstGeom prst="ellipse">
            <a:avLst/>
          </a:prstGeom>
          <a:noFill/>
          <a:ln w="28575" cap="flat">
            <a:solidFill>
              <a:srgbClr val="203B7D"/>
            </a:solidFill>
            <a:prstDash val="solid"/>
            <a:miter lim="800000"/>
          </a:ln>
          <a:effectLst/>
        </xdr:spPr>
        <xdr:txBody>
          <a:bodyPr/>
          <a:lstStyle/>
          <a:p>
            <a:pPr/>
          </a:p>
        </xdr:txBody>
      </xdr:sp>
      <xdr:sp>
        <xdr:nvSpPr>
          <xdr:cNvPr id="534" name="1"/>
          <xdr:cNvSpPr txBox="1"/>
        </xdr:nvSpPr>
        <xdr:spPr>
          <a:xfrm>
            <a:off x="116352" y="57263"/>
            <a:ext cx="220479" cy="322590"/>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203864"/>
                </a:solidFill>
                <a:uFillTx/>
                <a:latin typeface="Calibri"/>
                <a:ea typeface="Calibri"/>
                <a:cs typeface="Calibri"/>
                <a:sym typeface="Calibri"/>
              </a:defRPr>
            </a:pPr>
            <a:r>
              <a:rPr b="0" baseline="0" cap="none" i="0" spc="0" strike="noStrike" sz="2600" u="none">
                <a:solidFill>
                  <a:srgbClr val="203864"/>
                </a:solidFill>
                <a:uFillTx/>
                <a:latin typeface="Calibri"/>
                <a:ea typeface="Calibri"/>
                <a:cs typeface="Calibri"/>
                <a:sym typeface="Calibri"/>
              </a:rPr>
              <a:t>1</a:t>
            </a:r>
          </a:p>
        </xdr:txBody>
      </xdr:sp>
    </xdr:grpSp>
    <xdr:clientData/>
  </xdr:twoCellAnchor>
  <xdr:twoCellAnchor>
    <xdr:from>
      <xdr:col>1</xdr:col>
      <xdr:colOff>304800</xdr:colOff>
      <xdr:row>24</xdr:row>
      <xdr:rowOff>153556</xdr:rowOff>
    </xdr:from>
    <xdr:to>
      <xdr:col>5</xdr:col>
      <xdr:colOff>453184</xdr:colOff>
      <xdr:row>25</xdr:row>
      <xdr:rowOff>396306</xdr:rowOff>
    </xdr:to>
    <xdr:grpSp>
      <xdr:nvGrpSpPr>
        <xdr:cNvPr id="538" name="Ellipse 60"/>
        <xdr:cNvGrpSpPr/>
      </xdr:nvGrpSpPr>
      <xdr:grpSpPr>
        <a:xfrm>
          <a:off x="520699" y="13833361"/>
          <a:ext cx="453186" cy="433251"/>
          <a:chOff x="0" y="0"/>
          <a:chExt cx="453184" cy="433250"/>
        </a:xfrm>
      </xdr:grpSpPr>
      <xdr:sp>
        <xdr:nvSpPr>
          <xdr:cNvPr id="536" name="Ovale"/>
          <xdr:cNvSpPr/>
        </xdr:nvSpPr>
        <xdr:spPr>
          <a:xfrm>
            <a:off x="-1" y="-1"/>
            <a:ext cx="453186" cy="433252"/>
          </a:xfrm>
          <a:prstGeom prst="ellipse">
            <a:avLst/>
          </a:prstGeom>
          <a:noFill/>
          <a:ln w="28575" cap="flat">
            <a:solidFill>
              <a:srgbClr val="203B7D"/>
            </a:solidFill>
            <a:prstDash val="solid"/>
            <a:miter lim="800000"/>
          </a:ln>
          <a:effectLst/>
        </xdr:spPr>
        <xdr:txBody>
          <a:bodyPr/>
          <a:lstStyle/>
          <a:p>
            <a:pPr/>
          </a:p>
        </xdr:txBody>
      </xdr:sp>
      <xdr:sp>
        <xdr:nvSpPr>
          <xdr:cNvPr id="537" name="2"/>
          <xdr:cNvSpPr txBox="1"/>
        </xdr:nvSpPr>
        <xdr:spPr>
          <a:xfrm>
            <a:off x="116352" y="56902"/>
            <a:ext cx="220479" cy="319445"/>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203B7D"/>
                </a:solidFill>
                <a:uFillTx/>
                <a:latin typeface="Calibri"/>
                <a:ea typeface="Calibri"/>
                <a:cs typeface="Calibri"/>
                <a:sym typeface="Calibri"/>
              </a:defRPr>
            </a:pPr>
            <a:r>
              <a:rPr b="0" baseline="0" cap="none" i="0" spc="0" strike="noStrike" sz="2600" u="none">
                <a:solidFill>
                  <a:srgbClr val="203B7D"/>
                </a:solidFill>
                <a:uFillTx/>
                <a:latin typeface="Calibri"/>
                <a:ea typeface="Calibri"/>
                <a:cs typeface="Calibri"/>
                <a:sym typeface="Calibri"/>
              </a:rPr>
              <a:t>2</a:t>
            </a:r>
          </a:p>
        </xdr:txBody>
      </xdr:sp>
    </xdr:grpSp>
    <xdr:clientData/>
  </xdr:twoCellAnchor>
  <xdr:twoCellAnchor>
    <xdr:from>
      <xdr:col>5</xdr:col>
      <xdr:colOff>18362</xdr:colOff>
      <xdr:row>40</xdr:row>
      <xdr:rowOff>119534</xdr:rowOff>
    </xdr:from>
    <xdr:to>
      <xdr:col>5</xdr:col>
      <xdr:colOff>471546</xdr:colOff>
      <xdr:row>41</xdr:row>
      <xdr:rowOff>362282</xdr:rowOff>
    </xdr:to>
    <xdr:grpSp>
      <xdr:nvGrpSpPr>
        <xdr:cNvPr id="541" name="Ellipse 61"/>
        <xdr:cNvGrpSpPr/>
      </xdr:nvGrpSpPr>
      <xdr:grpSpPr>
        <a:xfrm>
          <a:off x="539062" y="26926694"/>
          <a:ext cx="453185" cy="433249"/>
          <a:chOff x="0" y="0"/>
          <a:chExt cx="453184" cy="433248"/>
        </a:xfrm>
      </xdr:grpSpPr>
      <xdr:sp>
        <xdr:nvSpPr>
          <xdr:cNvPr id="539" name="Ovale"/>
          <xdr:cNvSpPr/>
        </xdr:nvSpPr>
        <xdr:spPr>
          <a:xfrm>
            <a:off x="-1" y="-1"/>
            <a:ext cx="453186" cy="433250"/>
          </a:xfrm>
          <a:prstGeom prst="ellipse">
            <a:avLst/>
          </a:prstGeom>
          <a:noFill/>
          <a:ln w="28575" cap="flat">
            <a:solidFill>
              <a:srgbClr val="203B7D"/>
            </a:solidFill>
            <a:prstDash val="solid"/>
            <a:miter lim="800000"/>
          </a:ln>
          <a:effectLst/>
        </xdr:spPr>
        <xdr:txBody>
          <a:bodyPr/>
          <a:lstStyle/>
          <a:p>
            <a:pPr/>
          </a:p>
        </xdr:txBody>
      </xdr:sp>
      <xdr:sp>
        <xdr:nvSpPr>
          <xdr:cNvPr id="540" name="3"/>
          <xdr:cNvSpPr txBox="1"/>
        </xdr:nvSpPr>
        <xdr:spPr>
          <a:xfrm>
            <a:off x="116352" y="56902"/>
            <a:ext cx="220479" cy="319443"/>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203B7D"/>
                </a:solidFill>
                <a:uFillTx/>
                <a:latin typeface="Calibri"/>
                <a:ea typeface="Calibri"/>
                <a:cs typeface="Calibri"/>
                <a:sym typeface="Calibri"/>
              </a:defRPr>
            </a:pPr>
            <a:r>
              <a:rPr b="0" baseline="0" cap="none" i="0" spc="0" strike="noStrike" sz="2600" u="none">
                <a:solidFill>
                  <a:srgbClr val="203B7D"/>
                </a:solidFill>
                <a:uFillTx/>
                <a:latin typeface="Calibri"/>
                <a:ea typeface="Calibri"/>
                <a:cs typeface="Calibri"/>
                <a:sym typeface="Calibri"/>
              </a:rPr>
              <a:t>3</a:t>
            </a:r>
          </a:p>
        </xdr:txBody>
      </xdr:sp>
    </xdr:grpSp>
    <xdr:clientData/>
  </xdr:twoCellAnchor>
  <xdr:twoCellAnchor>
    <xdr:from>
      <xdr:col>1</xdr:col>
      <xdr:colOff>304800</xdr:colOff>
      <xdr:row>56</xdr:row>
      <xdr:rowOff>89051</xdr:rowOff>
    </xdr:from>
    <xdr:to>
      <xdr:col>5</xdr:col>
      <xdr:colOff>453184</xdr:colOff>
      <xdr:row>57</xdr:row>
      <xdr:rowOff>331799</xdr:rowOff>
    </xdr:to>
    <xdr:grpSp>
      <xdr:nvGrpSpPr>
        <xdr:cNvPr id="544" name="Ellipse 62"/>
        <xdr:cNvGrpSpPr/>
      </xdr:nvGrpSpPr>
      <xdr:grpSpPr>
        <a:xfrm>
          <a:off x="520699" y="32394041"/>
          <a:ext cx="453186" cy="433249"/>
          <a:chOff x="0" y="0"/>
          <a:chExt cx="453184" cy="433248"/>
        </a:xfrm>
      </xdr:grpSpPr>
      <xdr:sp>
        <xdr:nvSpPr>
          <xdr:cNvPr id="542" name="Ovale"/>
          <xdr:cNvSpPr/>
        </xdr:nvSpPr>
        <xdr:spPr>
          <a:xfrm>
            <a:off x="-1" y="-1"/>
            <a:ext cx="453186" cy="433250"/>
          </a:xfrm>
          <a:prstGeom prst="ellipse">
            <a:avLst/>
          </a:prstGeom>
          <a:noFill/>
          <a:ln w="28575" cap="flat">
            <a:solidFill>
              <a:srgbClr val="203B7D"/>
            </a:solidFill>
            <a:prstDash val="solid"/>
            <a:miter lim="800000"/>
          </a:ln>
          <a:effectLst/>
        </xdr:spPr>
        <xdr:txBody>
          <a:bodyPr/>
          <a:lstStyle/>
          <a:p>
            <a:pPr/>
          </a:p>
        </xdr:txBody>
      </xdr:sp>
      <xdr:sp>
        <xdr:nvSpPr>
          <xdr:cNvPr id="543" name="4"/>
          <xdr:cNvSpPr txBox="1"/>
        </xdr:nvSpPr>
        <xdr:spPr>
          <a:xfrm>
            <a:off x="116352" y="56902"/>
            <a:ext cx="220479" cy="319443"/>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203B7D"/>
                </a:solidFill>
                <a:uFillTx/>
                <a:latin typeface="Calibri"/>
                <a:ea typeface="Calibri"/>
                <a:cs typeface="Calibri"/>
                <a:sym typeface="Calibri"/>
              </a:defRPr>
            </a:pPr>
            <a:r>
              <a:rPr b="0" baseline="0" cap="none" i="0" spc="0" strike="noStrike" sz="2600" u="none">
                <a:solidFill>
                  <a:srgbClr val="203B7D"/>
                </a:solidFill>
                <a:uFillTx/>
                <a:latin typeface="Calibri"/>
                <a:ea typeface="Calibri"/>
                <a:cs typeface="Calibri"/>
                <a:sym typeface="Calibri"/>
              </a:rPr>
              <a:t>4</a:t>
            </a:r>
          </a:p>
        </xdr:txBody>
      </xdr:sp>
    </xdr:grpSp>
    <xdr:clientData/>
  </xdr:twoCellAnchor>
  <xdr:twoCellAnchor>
    <xdr:from>
      <xdr:col>5</xdr:col>
      <xdr:colOff>9180</xdr:colOff>
      <xdr:row>74</xdr:row>
      <xdr:rowOff>58566</xdr:rowOff>
    </xdr:from>
    <xdr:to>
      <xdr:col>5</xdr:col>
      <xdr:colOff>462365</xdr:colOff>
      <xdr:row>75</xdr:row>
      <xdr:rowOff>301314</xdr:rowOff>
    </xdr:to>
    <xdr:grpSp>
      <xdr:nvGrpSpPr>
        <xdr:cNvPr id="547" name="Ellipse 156816"/>
        <xdr:cNvGrpSpPr/>
      </xdr:nvGrpSpPr>
      <xdr:grpSpPr>
        <a:xfrm>
          <a:off x="529880" y="43136331"/>
          <a:ext cx="453185" cy="433249"/>
          <a:chOff x="0" y="0"/>
          <a:chExt cx="453184" cy="433248"/>
        </a:xfrm>
      </xdr:grpSpPr>
      <xdr:sp>
        <xdr:nvSpPr>
          <xdr:cNvPr id="545" name="Ovale"/>
          <xdr:cNvSpPr/>
        </xdr:nvSpPr>
        <xdr:spPr>
          <a:xfrm>
            <a:off x="-1" y="-1"/>
            <a:ext cx="453186" cy="433250"/>
          </a:xfrm>
          <a:prstGeom prst="ellipse">
            <a:avLst/>
          </a:prstGeom>
          <a:noFill/>
          <a:ln w="28575" cap="flat">
            <a:solidFill>
              <a:srgbClr val="203B7D"/>
            </a:solidFill>
            <a:prstDash val="solid"/>
            <a:miter lim="800000"/>
          </a:ln>
          <a:effectLst/>
        </xdr:spPr>
        <xdr:txBody>
          <a:bodyPr/>
          <a:lstStyle/>
          <a:p>
            <a:pPr/>
          </a:p>
        </xdr:txBody>
      </xdr:sp>
      <xdr:sp>
        <xdr:nvSpPr>
          <xdr:cNvPr id="546" name="5"/>
          <xdr:cNvSpPr txBox="1"/>
        </xdr:nvSpPr>
        <xdr:spPr>
          <a:xfrm>
            <a:off x="116352" y="56902"/>
            <a:ext cx="220479" cy="319443"/>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203B7D"/>
                </a:solidFill>
                <a:uFillTx/>
                <a:latin typeface="Calibri"/>
                <a:ea typeface="Calibri"/>
                <a:cs typeface="Calibri"/>
                <a:sym typeface="Calibri"/>
              </a:defRPr>
            </a:pPr>
            <a:r>
              <a:rPr b="0" baseline="0" cap="none" i="0" spc="0" strike="noStrike" sz="2600" u="none">
                <a:solidFill>
                  <a:srgbClr val="203B7D"/>
                </a:solidFill>
                <a:uFillTx/>
                <a:latin typeface="Calibri"/>
                <a:ea typeface="Calibri"/>
                <a:cs typeface="Calibri"/>
                <a:sym typeface="Calibri"/>
              </a:rPr>
              <a:t>5</a:t>
            </a:r>
          </a:p>
        </xdr:txBody>
      </xdr:sp>
    </xdr:grpSp>
    <xdr:clientData/>
  </xdr:twoCellAnchor>
  <xdr:twoCellAnchor>
    <xdr:from>
      <xdr:col>9</xdr:col>
      <xdr:colOff>10634</xdr:colOff>
      <xdr:row>63</xdr:row>
      <xdr:rowOff>1560195</xdr:rowOff>
    </xdr:from>
    <xdr:to>
      <xdr:col>9</xdr:col>
      <xdr:colOff>4574992</xdr:colOff>
      <xdr:row>74</xdr:row>
      <xdr:rowOff>181305</xdr:rowOff>
    </xdr:to>
    <xdr:sp>
      <xdr:nvSpPr>
        <xdr:cNvPr id="548" name="ZoneTexte 1"/>
        <xdr:cNvSpPr/>
      </xdr:nvSpPr>
      <xdr:spPr>
        <a:xfrm>
          <a:off x="7630634" y="41271825"/>
          <a:ext cx="4564359" cy="198724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10952</xdr:colOff>
      <xdr:row>63</xdr:row>
      <xdr:rowOff>1560195</xdr:rowOff>
    </xdr:from>
    <xdr:to>
      <xdr:col>9</xdr:col>
      <xdr:colOff>4575309</xdr:colOff>
      <xdr:row>73</xdr:row>
      <xdr:rowOff>24658</xdr:rowOff>
    </xdr:to>
    <xdr:sp>
      <xdr:nvSpPr>
        <xdr:cNvPr id="549" name="ZoneTexte 1"/>
        <xdr:cNvSpPr/>
      </xdr:nvSpPr>
      <xdr:spPr>
        <a:xfrm>
          <a:off x="7630952" y="41271824"/>
          <a:ext cx="4564358" cy="1602000"/>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44</xdr:row>
      <xdr:rowOff>1590676</xdr:rowOff>
    </xdr:from>
    <xdr:to>
      <xdr:col>9</xdr:col>
      <xdr:colOff>4542761</xdr:colOff>
      <xdr:row>56</xdr:row>
      <xdr:rowOff>180543</xdr:rowOff>
    </xdr:to>
    <xdr:sp>
      <xdr:nvSpPr>
        <xdr:cNvPr id="550" name="ZoneTexte 1"/>
        <xdr:cNvSpPr/>
      </xdr:nvSpPr>
      <xdr:spPr>
        <a:xfrm>
          <a:off x="7648574" y="30849571"/>
          <a:ext cx="4514188" cy="163596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10635</xdr:colOff>
      <xdr:row>44</xdr:row>
      <xdr:rowOff>1590676</xdr:rowOff>
    </xdr:from>
    <xdr:to>
      <xdr:col>9</xdr:col>
      <xdr:colOff>4572000</xdr:colOff>
      <xdr:row>56</xdr:row>
      <xdr:rowOff>45723</xdr:rowOff>
    </xdr:to>
    <xdr:sp>
      <xdr:nvSpPr>
        <xdr:cNvPr id="551" name="ZoneTexte 1"/>
        <xdr:cNvSpPr/>
      </xdr:nvSpPr>
      <xdr:spPr>
        <a:xfrm>
          <a:off x="7630635" y="30849571"/>
          <a:ext cx="4561365" cy="150114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44</xdr:row>
      <xdr:rowOff>1590676</xdr:rowOff>
    </xdr:from>
    <xdr:to>
      <xdr:col>9</xdr:col>
      <xdr:colOff>4542761</xdr:colOff>
      <xdr:row>56</xdr:row>
      <xdr:rowOff>180543</xdr:rowOff>
    </xdr:to>
    <xdr:sp>
      <xdr:nvSpPr>
        <xdr:cNvPr id="552" name="ZoneTexte 1"/>
        <xdr:cNvSpPr/>
      </xdr:nvSpPr>
      <xdr:spPr>
        <a:xfrm>
          <a:off x="7648574" y="30849571"/>
          <a:ext cx="4514188" cy="163596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10636</xdr:colOff>
      <xdr:row>80</xdr:row>
      <xdr:rowOff>1529709</xdr:rowOff>
    </xdr:from>
    <xdr:to>
      <xdr:col>9</xdr:col>
      <xdr:colOff>4532585</xdr:colOff>
      <xdr:row>91</xdr:row>
      <xdr:rowOff>359974</xdr:rowOff>
    </xdr:to>
    <xdr:sp>
      <xdr:nvSpPr>
        <xdr:cNvPr id="553" name="ZoneTexte 1"/>
        <xdr:cNvSpPr/>
      </xdr:nvSpPr>
      <xdr:spPr>
        <a:xfrm>
          <a:off x="7630636" y="50362479"/>
          <a:ext cx="4521950" cy="201352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10953</xdr:colOff>
      <xdr:row>80</xdr:row>
      <xdr:rowOff>1529709</xdr:rowOff>
    </xdr:from>
    <xdr:to>
      <xdr:col>9</xdr:col>
      <xdr:colOff>4532903</xdr:colOff>
      <xdr:row>90</xdr:row>
      <xdr:rowOff>138952</xdr:rowOff>
    </xdr:to>
    <xdr:sp>
      <xdr:nvSpPr>
        <xdr:cNvPr id="554" name="ZoneTexte 1"/>
        <xdr:cNvSpPr/>
      </xdr:nvSpPr>
      <xdr:spPr>
        <a:xfrm>
          <a:off x="7630953" y="50362479"/>
          <a:ext cx="4521950" cy="1601999"/>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92</xdr:row>
      <xdr:rowOff>68566</xdr:rowOff>
    </xdr:from>
    <xdr:to>
      <xdr:col>9</xdr:col>
      <xdr:colOff>4503756</xdr:colOff>
      <xdr:row>93</xdr:row>
      <xdr:rowOff>1506841</xdr:rowOff>
    </xdr:to>
    <xdr:sp>
      <xdr:nvSpPr>
        <xdr:cNvPr id="555" name="ZoneTexte 1"/>
        <xdr:cNvSpPr/>
      </xdr:nvSpPr>
      <xdr:spPr>
        <a:xfrm>
          <a:off x="7648574" y="52503691"/>
          <a:ext cx="4475183" cy="162877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93</xdr:row>
      <xdr:rowOff>1563991</xdr:rowOff>
    </xdr:from>
    <xdr:to>
      <xdr:col>9</xdr:col>
      <xdr:colOff>4451453</xdr:colOff>
      <xdr:row>94</xdr:row>
      <xdr:rowOff>1506838</xdr:rowOff>
    </xdr:to>
    <xdr:sp>
      <xdr:nvSpPr>
        <xdr:cNvPr id="556" name="ZoneTexte 1"/>
        <xdr:cNvSpPr/>
      </xdr:nvSpPr>
      <xdr:spPr>
        <a:xfrm>
          <a:off x="7648574" y="54189616"/>
          <a:ext cx="4422880" cy="159448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94</xdr:row>
      <xdr:rowOff>1522515</xdr:rowOff>
    </xdr:from>
    <xdr:to>
      <xdr:col>9</xdr:col>
      <xdr:colOff>4503756</xdr:colOff>
      <xdr:row>95</xdr:row>
      <xdr:rowOff>1506836</xdr:rowOff>
    </xdr:to>
    <xdr:sp>
      <xdr:nvSpPr>
        <xdr:cNvPr id="557" name="ZoneTexte 1"/>
        <xdr:cNvSpPr/>
      </xdr:nvSpPr>
      <xdr:spPr>
        <a:xfrm>
          <a:off x="7648574" y="55799775"/>
          <a:ext cx="4475183" cy="1635957"/>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10636</xdr:colOff>
      <xdr:row>95</xdr:row>
      <xdr:rowOff>1529693</xdr:rowOff>
    </xdr:from>
    <xdr:to>
      <xdr:col>9</xdr:col>
      <xdr:colOff>4532585</xdr:colOff>
      <xdr:row>97</xdr:row>
      <xdr:rowOff>239943</xdr:rowOff>
    </xdr:to>
    <xdr:sp>
      <xdr:nvSpPr>
        <xdr:cNvPr id="558" name="ZoneTexte 1"/>
        <xdr:cNvSpPr/>
      </xdr:nvSpPr>
      <xdr:spPr>
        <a:xfrm>
          <a:off x="7630636" y="57458588"/>
          <a:ext cx="4521950" cy="201352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10953</xdr:colOff>
      <xdr:row>96</xdr:row>
      <xdr:rowOff>1526572</xdr:rowOff>
    </xdr:from>
    <xdr:to>
      <xdr:col>9</xdr:col>
      <xdr:colOff>4532903</xdr:colOff>
      <xdr:row>97</xdr:row>
      <xdr:rowOff>1476935</xdr:rowOff>
    </xdr:to>
    <xdr:sp>
      <xdr:nvSpPr>
        <xdr:cNvPr id="559" name="ZoneTexte 1"/>
        <xdr:cNvSpPr/>
      </xdr:nvSpPr>
      <xdr:spPr>
        <a:xfrm>
          <a:off x="7630953" y="59107102"/>
          <a:ext cx="4521950" cy="1601999"/>
        </a:xfrm>
        <a:prstGeom prst="rect">
          <a:avLst/>
        </a:prstGeom>
        <a:solidFill>
          <a:srgbClr val="FFFFFF"/>
        </a:solidFill>
        <a:ln w="12700" cap="flat">
          <a:noFill/>
          <a:miter lim="400000"/>
        </a:ln>
        <a:effectLst/>
      </xdr:spPr>
      <xdr:txBody>
        <a:bodyPr/>
        <a:lstStyle/>
        <a:p>
          <a:pPr/>
        </a:p>
      </xdr:txBody>
    </xdr:sp>
    <xdr:clientData/>
  </xdr:twoCellAnchor>
  <xdr:twoCellAnchor>
    <xdr:from>
      <xdr:col>5</xdr:col>
      <xdr:colOff>9180</xdr:colOff>
      <xdr:row>90</xdr:row>
      <xdr:rowOff>35703</xdr:rowOff>
    </xdr:from>
    <xdr:to>
      <xdr:col>5</xdr:col>
      <xdr:colOff>462365</xdr:colOff>
      <xdr:row>91</xdr:row>
      <xdr:rowOff>278451</xdr:rowOff>
    </xdr:to>
    <xdr:grpSp>
      <xdr:nvGrpSpPr>
        <xdr:cNvPr id="562" name="Ellipse 156894"/>
        <xdr:cNvGrpSpPr/>
      </xdr:nvGrpSpPr>
      <xdr:grpSpPr>
        <a:xfrm>
          <a:off x="529880" y="51861228"/>
          <a:ext cx="453185" cy="433249"/>
          <a:chOff x="0" y="0"/>
          <a:chExt cx="453184" cy="433248"/>
        </a:xfrm>
      </xdr:grpSpPr>
      <xdr:sp>
        <xdr:nvSpPr>
          <xdr:cNvPr id="560" name="Ovale"/>
          <xdr:cNvSpPr/>
        </xdr:nvSpPr>
        <xdr:spPr>
          <a:xfrm>
            <a:off x="-1" y="-1"/>
            <a:ext cx="453186" cy="433250"/>
          </a:xfrm>
          <a:prstGeom prst="ellipse">
            <a:avLst/>
          </a:prstGeom>
          <a:noFill/>
          <a:ln w="28575" cap="flat">
            <a:solidFill>
              <a:srgbClr val="203B7D"/>
            </a:solidFill>
            <a:prstDash val="solid"/>
            <a:miter lim="800000"/>
          </a:ln>
          <a:effectLst/>
        </xdr:spPr>
        <xdr:txBody>
          <a:bodyPr/>
          <a:lstStyle/>
          <a:p>
            <a:pPr/>
          </a:p>
        </xdr:txBody>
      </xdr:sp>
      <xdr:sp>
        <xdr:nvSpPr>
          <xdr:cNvPr id="561" name="6"/>
          <xdr:cNvSpPr txBox="1"/>
        </xdr:nvSpPr>
        <xdr:spPr>
          <a:xfrm>
            <a:off x="116352" y="56902"/>
            <a:ext cx="220479" cy="319443"/>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203B7D"/>
                </a:solidFill>
                <a:uFillTx/>
                <a:latin typeface="Calibri"/>
                <a:ea typeface="Calibri"/>
                <a:cs typeface="Calibri"/>
                <a:sym typeface="Calibri"/>
              </a:defRPr>
            </a:pPr>
            <a:r>
              <a:rPr b="0" baseline="0" cap="none" i="0" spc="0" strike="noStrike" sz="2600" u="none">
                <a:solidFill>
                  <a:srgbClr val="203B7D"/>
                </a:solidFill>
                <a:uFillTx/>
                <a:latin typeface="Calibri"/>
                <a:ea typeface="Calibri"/>
                <a:cs typeface="Calibri"/>
                <a:sym typeface="Calibri"/>
              </a:rPr>
              <a:t>6</a:t>
            </a:r>
          </a:p>
        </xdr:txBody>
      </xdr:sp>
    </xdr:grpSp>
    <xdr:clientData/>
  </xdr:twoCellAnchor>
  <xdr:twoCellAnchor>
    <xdr:from>
      <xdr:col>9</xdr:col>
      <xdr:colOff>10636</xdr:colOff>
      <xdr:row>97</xdr:row>
      <xdr:rowOff>1506831</xdr:rowOff>
    </xdr:from>
    <xdr:to>
      <xdr:col>9</xdr:col>
      <xdr:colOff>4532585</xdr:colOff>
      <xdr:row>126</xdr:row>
      <xdr:rowOff>39916</xdr:rowOff>
    </xdr:to>
    <xdr:sp>
      <xdr:nvSpPr>
        <xdr:cNvPr id="563" name="ZoneTexte 1"/>
        <xdr:cNvSpPr/>
      </xdr:nvSpPr>
      <xdr:spPr>
        <a:xfrm>
          <a:off x="7630636" y="60738996"/>
          <a:ext cx="4521950" cy="201352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10953</xdr:colOff>
      <xdr:row>97</xdr:row>
      <xdr:rowOff>1506831</xdr:rowOff>
    </xdr:from>
    <xdr:to>
      <xdr:col>9</xdr:col>
      <xdr:colOff>4532903</xdr:colOff>
      <xdr:row>123</xdr:row>
      <xdr:rowOff>177034</xdr:rowOff>
    </xdr:to>
    <xdr:sp>
      <xdr:nvSpPr>
        <xdr:cNvPr id="564" name="ZoneTexte 1"/>
        <xdr:cNvSpPr/>
      </xdr:nvSpPr>
      <xdr:spPr>
        <a:xfrm>
          <a:off x="7630953" y="60738996"/>
          <a:ext cx="4521950" cy="1601999"/>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97</xdr:row>
      <xdr:rowOff>1506831</xdr:rowOff>
    </xdr:from>
    <xdr:to>
      <xdr:col>9</xdr:col>
      <xdr:colOff>4503756</xdr:colOff>
      <xdr:row>124</xdr:row>
      <xdr:rowOff>20931</xdr:rowOff>
    </xdr:to>
    <xdr:sp>
      <xdr:nvSpPr>
        <xdr:cNvPr id="565" name="ZoneTexte 1"/>
        <xdr:cNvSpPr/>
      </xdr:nvSpPr>
      <xdr:spPr>
        <a:xfrm>
          <a:off x="7648574" y="60738996"/>
          <a:ext cx="4475183" cy="162877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97</xdr:row>
      <xdr:rowOff>1506831</xdr:rowOff>
    </xdr:from>
    <xdr:to>
      <xdr:col>9</xdr:col>
      <xdr:colOff>4451453</xdr:colOff>
      <xdr:row>123</xdr:row>
      <xdr:rowOff>169518</xdr:rowOff>
    </xdr:to>
    <xdr:sp>
      <xdr:nvSpPr>
        <xdr:cNvPr id="566" name="ZoneTexte 1"/>
        <xdr:cNvSpPr/>
      </xdr:nvSpPr>
      <xdr:spPr>
        <a:xfrm>
          <a:off x="7648574" y="60738996"/>
          <a:ext cx="4422880" cy="159448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97</xdr:row>
      <xdr:rowOff>1506831</xdr:rowOff>
    </xdr:from>
    <xdr:to>
      <xdr:col>9</xdr:col>
      <xdr:colOff>4503756</xdr:colOff>
      <xdr:row>124</xdr:row>
      <xdr:rowOff>28112</xdr:rowOff>
    </xdr:to>
    <xdr:sp>
      <xdr:nvSpPr>
        <xdr:cNvPr id="567" name="ZoneTexte 1"/>
        <xdr:cNvSpPr/>
      </xdr:nvSpPr>
      <xdr:spPr>
        <a:xfrm>
          <a:off x="7648574" y="60738996"/>
          <a:ext cx="4475183" cy="1635957"/>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10636</xdr:colOff>
      <xdr:row>97</xdr:row>
      <xdr:rowOff>1506831</xdr:rowOff>
    </xdr:from>
    <xdr:to>
      <xdr:col>9</xdr:col>
      <xdr:colOff>4532585</xdr:colOff>
      <xdr:row>126</xdr:row>
      <xdr:rowOff>39916</xdr:rowOff>
    </xdr:to>
    <xdr:sp>
      <xdr:nvSpPr>
        <xdr:cNvPr id="568" name="ZoneTexte 1"/>
        <xdr:cNvSpPr/>
      </xdr:nvSpPr>
      <xdr:spPr>
        <a:xfrm>
          <a:off x="7630636" y="60738996"/>
          <a:ext cx="4521950" cy="201352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10953</xdr:colOff>
      <xdr:row>97</xdr:row>
      <xdr:rowOff>1506831</xdr:rowOff>
    </xdr:from>
    <xdr:to>
      <xdr:col>9</xdr:col>
      <xdr:colOff>4532903</xdr:colOff>
      <xdr:row>123</xdr:row>
      <xdr:rowOff>177034</xdr:rowOff>
    </xdr:to>
    <xdr:sp>
      <xdr:nvSpPr>
        <xdr:cNvPr id="569" name="ZoneTexte 1"/>
        <xdr:cNvSpPr/>
      </xdr:nvSpPr>
      <xdr:spPr>
        <a:xfrm>
          <a:off x="7630953" y="60738996"/>
          <a:ext cx="4521950" cy="1601999"/>
        </a:xfrm>
        <a:prstGeom prst="rect">
          <a:avLst/>
        </a:prstGeom>
        <a:solidFill>
          <a:srgbClr val="FFFFFF"/>
        </a:solidFill>
        <a:ln w="12700" cap="flat">
          <a:noFill/>
          <a:miter lim="400000"/>
        </a:ln>
        <a:effectLst/>
      </xdr:spPr>
      <xdr:txBody>
        <a:bodyPr/>
        <a:lstStyle/>
        <a:p>
          <a:pPr/>
        </a:p>
      </xdr:txBody>
    </xdr:sp>
    <xdr:clientData/>
  </xdr:twoCellAnchor>
  <xdr:twoCellAnchor>
    <xdr:from>
      <xdr:col>5</xdr:col>
      <xdr:colOff>9180</xdr:colOff>
      <xdr:row>97</xdr:row>
      <xdr:rowOff>1506831</xdr:rowOff>
    </xdr:from>
    <xdr:to>
      <xdr:col>5</xdr:col>
      <xdr:colOff>462365</xdr:colOff>
      <xdr:row>117</xdr:row>
      <xdr:rowOff>105568</xdr:rowOff>
    </xdr:to>
    <xdr:grpSp>
      <xdr:nvGrpSpPr>
        <xdr:cNvPr id="572" name="Ellipse 156944"/>
        <xdr:cNvGrpSpPr/>
      </xdr:nvGrpSpPr>
      <xdr:grpSpPr>
        <a:xfrm>
          <a:off x="529880" y="60738996"/>
          <a:ext cx="453185" cy="433253"/>
          <a:chOff x="0" y="0"/>
          <a:chExt cx="453184" cy="433251"/>
        </a:xfrm>
      </xdr:grpSpPr>
      <xdr:sp>
        <xdr:nvSpPr>
          <xdr:cNvPr id="570" name="Ovale"/>
          <xdr:cNvSpPr/>
        </xdr:nvSpPr>
        <xdr:spPr>
          <a:xfrm>
            <a:off x="-1" y="0"/>
            <a:ext cx="453186" cy="433252"/>
          </a:xfrm>
          <a:prstGeom prst="ellipse">
            <a:avLst/>
          </a:prstGeom>
          <a:noFill/>
          <a:ln w="28575" cap="flat">
            <a:solidFill>
              <a:srgbClr val="203B7D"/>
            </a:solidFill>
            <a:prstDash val="solid"/>
            <a:miter lim="800000"/>
          </a:ln>
          <a:effectLst/>
        </xdr:spPr>
        <xdr:txBody>
          <a:bodyPr/>
          <a:lstStyle/>
          <a:p>
            <a:pPr/>
          </a:p>
        </xdr:txBody>
      </xdr:sp>
      <xdr:sp>
        <xdr:nvSpPr>
          <xdr:cNvPr id="571" name="7"/>
          <xdr:cNvSpPr txBox="1"/>
        </xdr:nvSpPr>
        <xdr:spPr>
          <a:xfrm>
            <a:off x="116352" y="56901"/>
            <a:ext cx="220479" cy="319449"/>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203B7D"/>
                </a:solidFill>
                <a:uFillTx/>
                <a:latin typeface="Calibri"/>
                <a:ea typeface="Calibri"/>
                <a:cs typeface="Calibri"/>
                <a:sym typeface="Calibri"/>
              </a:defRPr>
            </a:pPr>
            <a:r>
              <a:rPr b="0" baseline="0" cap="none" i="0" spc="0" strike="noStrike" sz="2600" u="none">
                <a:solidFill>
                  <a:srgbClr val="203B7D"/>
                </a:solidFill>
                <a:uFillTx/>
                <a:latin typeface="Calibri"/>
                <a:ea typeface="Calibri"/>
                <a:cs typeface="Calibri"/>
                <a:sym typeface="Calibri"/>
              </a:rPr>
              <a:t>7</a:t>
            </a:r>
          </a:p>
        </xdr:txBody>
      </xdr:sp>
    </xdr:grpSp>
    <xdr:clientData/>
  </xdr:twoCellAnchor>
  <xdr:twoCellAnchor>
    <xdr:from>
      <xdr:col>9</xdr:col>
      <xdr:colOff>10636</xdr:colOff>
      <xdr:row>97</xdr:row>
      <xdr:rowOff>1506831</xdr:rowOff>
    </xdr:from>
    <xdr:to>
      <xdr:col>9</xdr:col>
      <xdr:colOff>4532585</xdr:colOff>
      <xdr:row>126</xdr:row>
      <xdr:rowOff>39916</xdr:rowOff>
    </xdr:to>
    <xdr:sp>
      <xdr:nvSpPr>
        <xdr:cNvPr id="573" name="ZoneTexte 1"/>
        <xdr:cNvSpPr/>
      </xdr:nvSpPr>
      <xdr:spPr>
        <a:xfrm>
          <a:off x="7630636" y="60738996"/>
          <a:ext cx="4521950" cy="201352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10953</xdr:colOff>
      <xdr:row>97</xdr:row>
      <xdr:rowOff>1506831</xdr:rowOff>
    </xdr:from>
    <xdr:to>
      <xdr:col>9</xdr:col>
      <xdr:colOff>4532903</xdr:colOff>
      <xdr:row>123</xdr:row>
      <xdr:rowOff>177034</xdr:rowOff>
    </xdr:to>
    <xdr:sp>
      <xdr:nvSpPr>
        <xdr:cNvPr id="574" name="ZoneTexte 1"/>
        <xdr:cNvSpPr/>
      </xdr:nvSpPr>
      <xdr:spPr>
        <a:xfrm>
          <a:off x="7630953" y="60738996"/>
          <a:ext cx="4521950" cy="1601999"/>
        </a:xfrm>
        <a:prstGeom prst="rect">
          <a:avLst/>
        </a:prstGeom>
        <a:solidFill>
          <a:srgbClr val="FFFFFF"/>
        </a:solidFill>
        <a:ln w="12700" cap="flat">
          <a:noFill/>
          <a:miter lim="400000"/>
        </a:ln>
        <a:effectLst/>
      </xdr:spPr>
      <xdr:txBody>
        <a:bodyPr/>
        <a:lstStyle/>
        <a:p>
          <a:pPr/>
        </a:p>
      </xdr:txBody>
    </xdr:sp>
    <xdr:clientData/>
  </xdr:twoCellAnchor>
</xdr:wsDr>
</file>

<file path=xl/drawings/drawing18.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6</xdr:col>
      <xdr:colOff>1006416</xdr:colOff>
      <xdr:row>21</xdr:row>
      <xdr:rowOff>129396</xdr:rowOff>
    </xdr:from>
    <xdr:to>
      <xdr:col>6</xdr:col>
      <xdr:colOff>4070291</xdr:colOff>
      <xdr:row>22</xdr:row>
      <xdr:rowOff>154937</xdr:rowOff>
    </xdr:to>
    <xdr:grpSp>
      <xdr:nvGrpSpPr>
        <xdr:cNvPr id="578" name="Rectangle : coins arrondis 1"/>
        <xdr:cNvGrpSpPr/>
      </xdr:nvGrpSpPr>
      <xdr:grpSpPr>
        <a:xfrm>
          <a:off x="3851216" y="8191356"/>
          <a:ext cx="3063876" cy="665622"/>
          <a:chOff x="0" y="0"/>
          <a:chExt cx="3063875" cy="665621"/>
        </a:xfrm>
      </xdr:grpSpPr>
      <xdr:sp>
        <xdr:nvSpPr>
          <xdr:cNvPr id="576" name="Rectangle aux angles arrondis"/>
          <xdr:cNvSpPr/>
        </xdr:nvSpPr>
        <xdr:spPr>
          <a:xfrm>
            <a:off x="0" y="0"/>
            <a:ext cx="3063875" cy="665622"/>
          </a:xfrm>
          <a:prstGeom prst="roundRect">
            <a:avLst>
              <a:gd name="adj" fmla="val 16667"/>
            </a:avLst>
          </a:prstGeom>
          <a:solidFill>
            <a:srgbClr val="DEEBF7"/>
          </a:solidFill>
          <a:ln w="28575" cap="flat">
            <a:solidFill>
              <a:srgbClr val="C00000"/>
            </a:solidFill>
            <a:prstDash val="solid"/>
            <a:miter lim="800000"/>
          </a:ln>
          <a:effectLst>
            <a:outerShdw sx="100000" sy="100000" kx="0" ky="0" algn="b" rotWithShape="0" blurRad="63500" dist="0" dir="0">
              <a:srgbClr val="000000">
                <a:alpha val="40000"/>
              </a:srgbClr>
            </a:outerShdw>
          </a:effectLst>
        </xdr:spPr>
        <xdr:txBody>
          <a:bodyPr/>
          <a:lstStyle/>
          <a:p>
            <a:pPr/>
          </a:p>
        </xdr:txBody>
      </xdr:sp>
      <xdr:sp>
        <xdr:nvSpPr>
          <xdr:cNvPr id="577" name="Calculer la maturité"/>
          <xdr:cNvSpPr txBox="1"/>
        </xdr:nvSpPr>
        <xdr:spPr>
          <a:xfrm>
            <a:off x="73450" y="3876"/>
            <a:ext cx="2916975" cy="657869"/>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1" baseline="0" cap="none" i="0" spc="0" strike="noStrike" sz="1800" u="none">
                <a:solidFill>
                  <a:srgbClr val="C00000"/>
                </a:solidFill>
                <a:uFillTx/>
                <a:latin typeface="Aptos Light"/>
                <a:ea typeface="Aptos Light"/>
                <a:cs typeface="Aptos Light"/>
                <a:sym typeface="Aptos Light"/>
              </a:defRPr>
            </a:pPr>
            <a:r>
              <a:rPr b="1" baseline="0" cap="none" i="0" spc="0" strike="noStrike" sz="1800" u="none">
                <a:solidFill>
                  <a:srgbClr val="C00000"/>
                </a:solidFill>
                <a:uFillTx/>
                <a:latin typeface="Aptos Light"/>
                <a:ea typeface="Aptos Light"/>
                <a:cs typeface="Aptos Light"/>
                <a:sym typeface="Aptos Light"/>
              </a:rPr>
              <a:t>Calculer la maturité</a:t>
            </a:r>
          </a:p>
        </xdr:txBody>
      </xdr:sp>
    </xdr:grpSp>
    <xdr:clientData/>
  </xdr:twoCellAnchor>
</xdr:wsDr>
</file>

<file path=xl/drawings/drawing19.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9</xdr:col>
      <xdr:colOff>28574</xdr:colOff>
      <xdr:row>11</xdr:row>
      <xdr:rowOff>22859</xdr:rowOff>
    </xdr:from>
    <xdr:to>
      <xdr:col>9</xdr:col>
      <xdr:colOff>4500553</xdr:colOff>
      <xdr:row>11</xdr:row>
      <xdr:rowOff>1651634</xdr:rowOff>
    </xdr:to>
    <xdr:sp>
      <xdr:nvSpPr>
        <xdr:cNvPr id="580" name="ZoneTexte 1"/>
        <xdr:cNvSpPr/>
      </xdr:nvSpPr>
      <xdr:spPr>
        <a:xfrm>
          <a:off x="7648574" y="3398519"/>
          <a:ext cx="4471980" cy="162877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12</xdr:row>
      <xdr:rowOff>57149</xdr:rowOff>
    </xdr:from>
    <xdr:to>
      <xdr:col>9</xdr:col>
      <xdr:colOff>4529666</xdr:colOff>
      <xdr:row>12</xdr:row>
      <xdr:rowOff>1651633</xdr:rowOff>
    </xdr:to>
    <xdr:sp>
      <xdr:nvSpPr>
        <xdr:cNvPr id="581" name="ZoneTexte 1"/>
        <xdr:cNvSpPr/>
      </xdr:nvSpPr>
      <xdr:spPr>
        <a:xfrm>
          <a:off x="7648574" y="5084444"/>
          <a:ext cx="4501093" cy="1594485"/>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12</xdr:row>
      <xdr:rowOff>1651634</xdr:rowOff>
    </xdr:from>
    <xdr:to>
      <xdr:col>9</xdr:col>
      <xdr:colOff>4500553</xdr:colOff>
      <xdr:row>25</xdr:row>
      <xdr:rowOff>50998</xdr:rowOff>
    </xdr:to>
    <xdr:sp>
      <xdr:nvSpPr>
        <xdr:cNvPr id="582" name="ZoneTexte 1"/>
        <xdr:cNvSpPr/>
      </xdr:nvSpPr>
      <xdr:spPr>
        <a:xfrm>
          <a:off x="7648574" y="6678929"/>
          <a:ext cx="4471980" cy="1635960"/>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10635</xdr:colOff>
      <xdr:row>12</xdr:row>
      <xdr:rowOff>1651634</xdr:rowOff>
    </xdr:from>
    <xdr:to>
      <xdr:col>9</xdr:col>
      <xdr:colOff>4529350</xdr:colOff>
      <xdr:row>26</xdr:row>
      <xdr:rowOff>47412</xdr:rowOff>
    </xdr:to>
    <xdr:sp>
      <xdr:nvSpPr>
        <xdr:cNvPr id="583" name="ZoneTexte 1"/>
        <xdr:cNvSpPr/>
      </xdr:nvSpPr>
      <xdr:spPr>
        <a:xfrm>
          <a:off x="7630635" y="6678929"/>
          <a:ext cx="4518715" cy="2051474"/>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10952</xdr:colOff>
      <xdr:row>12</xdr:row>
      <xdr:rowOff>1651634</xdr:rowOff>
    </xdr:from>
    <xdr:to>
      <xdr:col>9</xdr:col>
      <xdr:colOff>4529667</xdr:colOff>
      <xdr:row>25</xdr:row>
      <xdr:rowOff>17038</xdr:rowOff>
    </xdr:to>
    <xdr:sp>
      <xdr:nvSpPr>
        <xdr:cNvPr id="584" name="ZoneTexte 1"/>
        <xdr:cNvSpPr/>
      </xdr:nvSpPr>
      <xdr:spPr>
        <a:xfrm>
          <a:off x="7630952" y="6678929"/>
          <a:ext cx="4518715" cy="1602000"/>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10952</xdr:colOff>
      <xdr:row>12</xdr:row>
      <xdr:rowOff>1651634</xdr:rowOff>
    </xdr:from>
    <xdr:to>
      <xdr:col>9</xdr:col>
      <xdr:colOff>4529667</xdr:colOff>
      <xdr:row>25</xdr:row>
      <xdr:rowOff>17039</xdr:rowOff>
    </xdr:to>
    <xdr:sp>
      <xdr:nvSpPr>
        <xdr:cNvPr id="585" name="ZoneTexte 1"/>
        <xdr:cNvSpPr/>
      </xdr:nvSpPr>
      <xdr:spPr>
        <a:xfrm>
          <a:off x="7630952" y="6678929"/>
          <a:ext cx="4518715" cy="160200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15715</xdr:colOff>
      <xdr:row>12</xdr:row>
      <xdr:rowOff>1651634</xdr:rowOff>
    </xdr:from>
    <xdr:to>
      <xdr:col>9</xdr:col>
      <xdr:colOff>4534430</xdr:colOff>
      <xdr:row>25</xdr:row>
      <xdr:rowOff>17038</xdr:rowOff>
    </xdr:to>
    <xdr:sp>
      <xdr:nvSpPr>
        <xdr:cNvPr id="586" name="ZoneTexte 1"/>
        <xdr:cNvSpPr/>
      </xdr:nvSpPr>
      <xdr:spPr>
        <a:xfrm>
          <a:off x="7635715" y="6678929"/>
          <a:ext cx="4518716" cy="1602000"/>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26</xdr:row>
      <xdr:rowOff>182880</xdr:rowOff>
    </xdr:from>
    <xdr:to>
      <xdr:col>9</xdr:col>
      <xdr:colOff>4519448</xdr:colOff>
      <xdr:row>27</xdr:row>
      <xdr:rowOff>1621155</xdr:rowOff>
    </xdr:to>
    <xdr:sp>
      <xdr:nvSpPr>
        <xdr:cNvPr id="587" name="ZoneTexte 1"/>
        <xdr:cNvSpPr/>
      </xdr:nvSpPr>
      <xdr:spPr>
        <a:xfrm>
          <a:off x="7648574" y="8865870"/>
          <a:ext cx="4490875" cy="162877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28</xdr:row>
      <xdr:rowOff>26670</xdr:rowOff>
    </xdr:from>
    <xdr:to>
      <xdr:col>9</xdr:col>
      <xdr:colOff>4466961</xdr:colOff>
      <xdr:row>28</xdr:row>
      <xdr:rowOff>1621154</xdr:rowOff>
    </xdr:to>
    <xdr:sp>
      <xdr:nvSpPr>
        <xdr:cNvPr id="588" name="ZoneTexte 1"/>
        <xdr:cNvSpPr/>
      </xdr:nvSpPr>
      <xdr:spPr>
        <a:xfrm>
          <a:off x="7648574" y="10551795"/>
          <a:ext cx="4438388" cy="1594485"/>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28</xdr:row>
      <xdr:rowOff>1636830</xdr:rowOff>
    </xdr:from>
    <xdr:to>
      <xdr:col>9</xdr:col>
      <xdr:colOff>4519448</xdr:colOff>
      <xdr:row>29</xdr:row>
      <xdr:rowOff>1621155</xdr:rowOff>
    </xdr:to>
    <xdr:sp>
      <xdr:nvSpPr>
        <xdr:cNvPr id="589" name="ZoneTexte 1"/>
        <xdr:cNvSpPr/>
      </xdr:nvSpPr>
      <xdr:spPr>
        <a:xfrm>
          <a:off x="7648574" y="12161955"/>
          <a:ext cx="4490875" cy="163596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10635</xdr:colOff>
      <xdr:row>29</xdr:row>
      <xdr:rowOff>1644016</xdr:rowOff>
    </xdr:from>
    <xdr:to>
      <xdr:col>9</xdr:col>
      <xdr:colOff>4548441</xdr:colOff>
      <xdr:row>30</xdr:row>
      <xdr:rowOff>1623743</xdr:rowOff>
    </xdr:to>
    <xdr:sp>
      <xdr:nvSpPr>
        <xdr:cNvPr id="590" name="ZoneTexte 1"/>
        <xdr:cNvSpPr/>
      </xdr:nvSpPr>
      <xdr:spPr>
        <a:xfrm>
          <a:off x="7630635" y="13820776"/>
          <a:ext cx="4537807" cy="163136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10952</xdr:colOff>
      <xdr:row>30</xdr:row>
      <xdr:rowOff>1640894</xdr:rowOff>
    </xdr:from>
    <xdr:to>
      <xdr:col>9</xdr:col>
      <xdr:colOff>4548759</xdr:colOff>
      <xdr:row>31</xdr:row>
      <xdr:rowOff>1591258</xdr:rowOff>
    </xdr:to>
    <xdr:sp>
      <xdr:nvSpPr>
        <xdr:cNvPr id="591" name="ZoneTexte 1"/>
        <xdr:cNvSpPr/>
      </xdr:nvSpPr>
      <xdr:spPr>
        <a:xfrm>
          <a:off x="7630952" y="15469289"/>
          <a:ext cx="4537807" cy="1602000"/>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10952</xdr:colOff>
      <xdr:row>32</xdr:row>
      <xdr:rowOff>7989</xdr:rowOff>
    </xdr:from>
    <xdr:to>
      <xdr:col>9</xdr:col>
      <xdr:colOff>4548759</xdr:colOff>
      <xdr:row>32</xdr:row>
      <xdr:rowOff>1609990</xdr:rowOff>
    </xdr:to>
    <xdr:sp>
      <xdr:nvSpPr>
        <xdr:cNvPr id="592" name="ZoneTexte 1"/>
        <xdr:cNvSpPr/>
      </xdr:nvSpPr>
      <xdr:spPr>
        <a:xfrm>
          <a:off x="7630952" y="17139654"/>
          <a:ext cx="4537807" cy="1602002"/>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15716</xdr:colOff>
      <xdr:row>32</xdr:row>
      <xdr:rowOff>1621157</xdr:rowOff>
    </xdr:from>
    <xdr:to>
      <xdr:col>9</xdr:col>
      <xdr:colOff>4553522</xdr:colOff>
      <xdr:row>40</xdr:row>
      <xdr:rowOff>177060</xdr:rowOff>
    </xdr:to>
    <xdr:sp>
      <xdr:nvSpPr>
        <xdr:cNvPr id="593" name="ZoneTexte 1"/>
        <xdr:cNvSpPr/>
      </xdr:nvSpPr>
      <xdr:spPr>
        <a:xfrm>
          <a:off x="7635716" y="18752822"/>
          <a:ext cx="4537807" cy="1601999"/>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42</xdr:row>
      <xdr:rowOff>152405</xdr:rowOff>
    </xdr:from>
    <xdr:to>
      <xdr:col>9</xdr:col>
      <xdr:colOff>2636519</xdr:colOff>
      <xdr:row>43</xdr:row>
      <xdr:rowOff>1590680</xdr:rowOff>
    </xdr:to>
    <xdr:sp>
      <xdr:nvSpPr>
        <xdr:cNvPr id="594" name="ZoneTexte 1"/>
        <xdr:cNvSpPr/>
      </xdr:nvSpPr>
      <xdr:spPr>
        <a:xfrm>
          <a:off x="7648574" y="20939765"/>
          <a:ext cx="2607946" cy="162877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42</xdr:row>
      <xdr:rowOff>152405</xdr:rowOff>
    </xdr:from>
    <xdr:to>
      <xdr:col>9</xdr:col>
      <xdr:colOff>4542761</xdr:colOff>
      <xdr:row>43</xdr:row>
      <xdr:rowOff>1590680</xdr:rowOff>
    </xdr:to>
    <xdr:sp>
      <xdr:nvSpPr>
        <xdr:cNvPr id="595" name="ZoneTexte 1"/>
        <xdr:cNvSpPr/>
      </xdr:nvSpPr>
      <xdr:spPr>
        <a:xfrm>
          <a:off x="7648574" y="20939765"/>
          <a:ext cx="4514188" cy="162877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43</xdr:row>
      <xdr:rowOff>1647830</xdr:rowOff>
    </xdr:from>
    <xdr:to>
      <xdr:col>9</xdr:col>
      <xdr:colOff>4490003</xdr:colOff>
      <xdr:row>44</xdr:row>
      <xdr:rowOff>1844045</xdr:rowOff>
    </xdr:to>
    <xdr:sp>
      <xdr:nvSpPr>
        <xdr:cNvPr id="596" name="ZoneTexte 1"/>
        <xdr:cNvSpPr/>
      </xdr:nvSpPr>
      <xdr:spPr>
        <a:xfrm>
          <a:off x="7648574" y="22625690"/>
          <a:ext cx="4461430" cy="184785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44</xdr:row>
      <xdr:rowOff>1859720</xdr:rowOff>
    </xdr:from>
    <xdr:to>
      <xdr:col>9</xdr:col>
      <xdr:colOff>4542761</xdr:colOff>
      <xdr:row>45</xdr:row>
      <xdr:rowOff>1590679</xdr:rowOff>
    </xdr:to>
    <xdr:sp>
      <xdr:nvSpPr>
        <xdr:cNvPr id="597" name="ZoneTexte 1"/>
        <xdr:cNvSpPr/>
      </xdr:nvSpPr>
      <xdr:spPr>
        <a:xfrm>
          <a:off x="7648574" y="24489215"/>
          <a:ext cx="4514188" cy="1635960"/>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10635</xdr:colOff>
      <xdr:row>45</xdr:row>
      <xdr:rowOff>1613536</xdr:rowOff>
    </xdr:from>
    <xdr:to>
      <xdr:col>9</xdr:col>
      <xdr:colOff>4572000</xdr:colOff>
      <xdr:row>46</xdr:row>
      <xdr:rowOff>1463043</xdr:rowOff>
    </xdr:to>
    <xdr:sp>
      <xdr:nvSpPr>
        <xdr:cNvPr id="598" name="ZoneTexte 1"/>
        <xdr:cNvSpPr/>
      </xdr:nvSpPr>
      <xdr:spPr>
        <a:xfrm>
          <a:off x="7630635" y="26148031"/>
          <a:ext cx="4561365" cy="150114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58</xdr:row>
      <xdr:rowOff>121921</xdr:rowOff>
    </xdr:from>
    <xdr:to>
      <xdr:col>9</xdr:col>
      <xdr:colOff>4545724</xdr:colOff>
      <xdr:row>59</xdr:row>
      <xdr:rowOff>1560196</xdr:rowOff>
    </xdr:to>
    <xdr:sp>
      <xdr:nvSpPr>
        <xdr:cNvPr id="599" name="ZoneTexte 1"/>
        <xdr:cNvSpPr/>
      </xdr:nvSpPr>
      <xdr:spPr>
        <a:xfrm>
          <a:off x="7648574" y="31487746"/>
          <a:ext cx="4517151" cy="162877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59</xdr:row>
      <xdr:rowOff>1617346</xdr:rowOff>
    </xdr:from>
    <xdr:to>
      <xdr:col>9</xdr:col>
      <xdr:colOff>4492930</xdr:colOff>
      <xdr:row>60</xdr:row>
      <xdr:rowOff>1560196</xdr:rowOff>
    </xdr:to>
    <xdr:sp>
      <xdr:nvSpPr>
        <xdr:cNvPr id="600" name="ZoneTexte 1"/>
        <xdr:cNvSpPr/>
      </xdr:nvSpPr>
      <xdr:spPr>
        <a:xfrm>
          <a:off x="7648574" y="33173671"/>
          <a:ext cx="4464357" cy="159448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60</xdr:row>
      <xdr:rowOff>1575870</xdr:rowOff>
    </xdr:from>
    <xdr:to>
      <xdr:col>9</xdr:col>
      <xdr:colOff>4545724</xdr:colOff>
      <xdr:row>61</xdr:row>
      <xdr:rowOff>1560197</xdr:rowOff>
    </xdr:to>
    <xdr:sp>
      <xdr:nvSpPr>
        <xdr:cNvPr id="601" name="ZoneTexte 1"/>
        <xdr:cNvSpPr/>
      </xdr:nvSpPr>
      <xdr:spPr>
        <a:xfrm>
          <a:off x="7648574" y="34783830"/>
          <a:ext cx="4517151" cy="163596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10634</xdr:colOff>
      <xdr:row>61</xdr:row>
      <xdr:rowOff>1583055</xdr:rowOff>
    </xdr:from>
    <xdr:to>
      <xdr:col>9</xdr:col>
      <xdr:colOff>4574992</xdr:colOff>
      <xdr:row>67</xdr:row>
      <xdr:rowOff>76528</xdr:rowOff>
    </xdr:to>
    <xdr:sp>
      <xdr:nvSpPr>
        <xdr:cNvPr id="602" name="ZoneTexte 1"/>
        <xdr:cNvSpPr/>
      </xdr:nvSpPr>
      <xdr:spPr>
        <a:xfrm>
          <a:off x="7630634" y="36442649"/>
          <a:ext cx="4564359" cy="1987245"/>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10952</xdr:colOff>
      <xdr:row>62</xdr:row>
      <xdr:rowOff>1560198</xdr:rowOff>
    </xdr:from>
    <xdr:to>
      <xdr:col>9</xdr:col>
      <xdr:colOff>4575309</xdr:colOff>
      <xdr:row>73</xdr:row>
      <xdr:rowOff>24661</xdr:rowOff>
    </xdr:to>
    <xdr:sp>
      <xdr:nvSpPr>
        <xdr:cNvPr id="603" name="ZoneTexte 1"/>
        <xdr:cNvSpPr/>
      </xdr:nvSpPr>
      <xdr:spPr>
        <a:xfrm>
          <a:off x="7630952" y="38071428"/>
          <a:ext cx="4564358" cy="1601999"/>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10952</xdr:colOff>
      <xdr:row>62</xdr:row>
      <xdr:rowOff>1560198</xdr:rowOff>
    </xdr:from>
    <xdr:to>
      <xdr:col>9</xdr:col>
      <xdr:colOff>4571998</xdr:colOff>
      <xdr:row>73</xdr:row>
      <xdr:rowOff>24667</xdr:rowOff>
    </xdr:to>
    <xdr:sp>
      <xdr:nvSpPr>
        <xdr:cNvPr id="604" name="ZoneTexte 1"/>
        <xdr:cNvSpPr/>
      </xdr:nvSpPr>
      <xdr:spPr>
        <a:xfrm>
          <a:off x="7630952" y="38071428"/>
          <a:ext cx="4561047" cy="1602005"/>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76</xdr:row>
      <xdr:rowOff>91435</xdr:rowOff>
    </xdr:from>
    <xdr:to>
      <xdr:col>9</xdr:col>
      <xdr:colOff>4503756</xdr:colOff>
      <xdr:row>77</xdr:row>
      <xdr:rowOff>1529710</xdr:rowOff>
    </xdr:to>
    <xdr:sp>
      <xdr:nvSpPr>
        <xdr:cNvPr id="605" name="ZoneTexte 1"/>
        <xdr:cNvSpPr/>
      </xdr:nvSpPr>
      <xdr:spPr>
        <a:xfrm>
          <a:off x="7648574" y="40578400"/>
          <a:ext cx="4475183" cy="162877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77</xdr:row>
      <xdr:rowOff>1586860</xdr:rowOff>
    </xdr:from>
    <xdr:to>
      <xdr:col>9</xdr:col>
      <xdr:colOff>4451453</xdr:colOff>
      <xdr:row>78</xdr:row>
      <xdr:rowOff>1529710</xdr:rowOff>
    </xdr:to>
    <xdr:sp>
      <xdr:nvSpPr>
        <xdr:cNvPr id="606" name="ZoneTexte 1"/>
        <xdr:cNvSpPr/>
      </xdr:nvSpPr>
      <xdr:spPr>
        <a:xfrm>
          <a:off x="7648574" y="42264325"/>
          <a:ext cx="4422880" cy="159448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78</xdr:row>
      <xdr:rowOff>1545384</xdr:rowOff>
    </xdr:from>
    <xdr:to>
      <xdr:col>9</xdr:col>
      <xdr:colOff>4503756</xdr:colOff>
      <xdr:row>79</xdr:row>
      <xdr:rowOff>1529711</xdr:rowOff>
    </xdr:to>
    <xdr:sp>
      <xdr:nvSpPr>
        <xdr:cNvPr id="607" name="ZoneTexte 1"/>
        <xdr:cNvSpPr/>
      </xdr:nvSpPr>
      <xdr:spPr>
        <a:xfrm>
          <a:off x="7648574" y="43874484"/>
          <a:ext cx="4475183" cy="163596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10636</xdr:colOff>
      <xdr:row>79</xdr:row>
      <xdr:rowOff>1552572</xdr:rowOff>
    </xdr:from>
    <xdr:to>
      <xdr:col>9</xdr:col>
      <xdr:colOff>4532585</xdr:colOff>
      <xdr:row>81</xdr:row>
      <xdr:rowOff>262822</xdr:rowOff>
    </xdr:to>
    <xdr:sp>
      <xdr:nvSpPr>
        <xdr:cNvPr id="608" name="ZoneTexte 1"/>
        <xdr:cNvSpPr/>
      </xdr:nvSpPr>
      <xdr:spPr>
        <a:xfrm>
          <a:off x="7630636" y="45533307"/>
          <a:ext cx="4521950" cy="201352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10953</xdr:colOff>
      <xdr:row>80</xdr:row>
      <xdr:rowOff>1549451</xdr:rowOff>
    </xdr:from>
    <xdr:to>
      <xdr:col>9</xdr:col>
      <xdr:colOff>4532903</xdr:colOff>
      <xdr:row>81</xdr:row>
      <xdr:rowOff>1499816</xdr:rowOff>
    </xdr:to>
    <xdr:sp>
      <xdr:nvSpPr>
        <xdr:cNvPr id="609" name="ZoneTexte 1"/>
        <xdr:cNvSpPr/>
      </xdr:nvSpPr>
      <xdr:spPr>
        <a:xfrm>
          <a:off x="7630953" y="47181820"/>
          <a:ext cx="4521950" cy="1602002"/>
        </a:xfrm>
        <a:prstGeom prst="rect">
          <a:avLst/>
        </a:prstGeom>
        <a:solidFill>
          <a:srgbClr val="FFFFFF"/>
        </a:solidFill>
        <a:ln w="12700" cap="flat">
          <a:noFill/>
          <a:miter lim="400000"/>
        </a:ln>
        <a:effectLst/>
      </xdr:spPr>
      <xdr:txBody>
        <a:bodyPr/>
        <a:lstStyle/>
        <a:p>
          <a:pPr/>
        </a:p>
      </xdr:txBody>
    </xdr:sp>
    <xdr:clientData/>
  </xdr:twoCellAnchor>
  <xdr:twoCellAnchor>
    <xdr:from>
      <xdr:col>5</xdr:col>
      <xdr:colOff>11781</xdr:colOff>
      <xdr:row>8</xdr:row>
      <xdr:rowOff>167760</xdr:rowOff>
    </xdr:from>
    <xdr:to>
      <xdr:col>5</xdr:col>
      <xdr:colOff>464966</xdr:colOff>
      <xdr:row>10</xdr:row>
      <xdr:rowOff>2896</xdr:rowOff>
    </xdr:to>
    <xdr:grpSp>
      <xdr:nvGrpSpPr>
        <xdr:cNvPr id="612" name="Ellipse 59"/>
        <xdr:cNvGrpSpPr/>
      </xdr:nvGrpSpPr>
      <xdr:grpSpPr>
        <a:xfrm>
          <a:off x="532481" y="2758560"/>
          <a:ext cx="453185" cy="437117"/>
          <a:chOff x="0" y="0"/>
          <a:chExt cx="453184" cy="437115"/>
        </a:xfrm>
      </xdr:grpSpPr>
      <xdr:sp>
        <xdr:nvSpPr>
          <xdr:cNvPr id="610" name="Ovale"/>
          <xdr:cNvSpPr/>
        </xdr:nvSpPr>
        <xdr:spPr>
          <a:xfrm>
            <a:off x="-1" y="0"/>
            <a:ext cx="453186" cy="437116"/>
          </a:xfrm>
          <a:prstGeom prst="ellipse">
            <a:avLst/>
          </a:prstGeom>
          <a:noFill/>
          <a:ln w="28575" cap="flat">
            <a:solidFill>
              <a:srgbClr val="203B7D"/>
            </a:solidFill>
            <a:prstDash val="solid"/>
            <a:miter lim="800000"/>
          </a:ln>
          <a:effectLst/>
        </xdr:spPr>
        <xdr:txBody>
          <a:bodyPr/>
          <a:lstStyle/>
          <a:p>
            <a:pPr/>
          </a:p>
        </xdr:txBody>
      </xdr:sp>
      <xdr:sp>
        <xdr:nvSpPr>
          <xdr:cNvPr id="611" name="1"/>
          <xdr:cNvSpPr txBox="1"/>
        </xdr:nvSpPr>
        <xdr:spPr>
          <a:xfrm>
            <a:off x="116352" y="57263"/>
            <a:ext cx="220479" cy="322590"/>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203864"/>
                </a:solidFill>
                <a:uFillTx/>
                <a:latin typeface="Calibri"/>
                <a:ea typeface="Calibri"/>
                <a:cs typeface="Calibri"/>
                <a:sym typeface="Calibri"/>
              </a:defRPr>
            </a:pPr>
            <a:r>
              <a:rPr b="0" baseline="0" cap="none" i="0" spc="0" strike="noStrike" sz="2600" u="none">
                <a:solidFill>
                  <a:srgbClr val="203864"/>
                </a:solidFill>
                <a:uFillTx/>
                <a:latin typeface="Calibri"/>
                <a:ea typeface="Calibri"/>
                <a:cs typeface="Calibri"/>
                <a:sym typeface="Calibri"/>
              </a:rPr>
              <a:t>1</a:t>
            </a:r>
          </a:p>
        </xdr:txBody>
      </xdr:sp>
    </xdr:grpSp>
    <xdr:clientData/>
  </xdr:twoCellAnchor>
  <xdr:twoCellAnchor>
    <xdr:from>
      <xdr:col>1</xdr:col>
      <xdr:colOff>304800</xdr:colOff>
      <xdr:row>24</xdr:row>
      <xdr:rowOff>153555</xdr:rowOff>
    </xdr:from>
    <xdr:to>
      <xdr:col>5</xdr:col>
      <xdr:colOff>453184</xdr:colOff>
      <xdr:row>25</xdr:row>
      <xdr:rowOff>396305</xdr:rowOff>
    </xdr:to>
    <xdr:grpSp>
      <xdr:nvGrpSpPr>
        <xdr:cNvPr id="615" name="Ellipse 60"/>
        <xdr:cNvGrpSpPr/>
      </xdr:nvGrpSpPr>
      <xdr:grpSpPr>
        <a:xfrm>
          <a:off x="520699" y="8226945"/>
          <a:ext cx="453186" cy="433251"/>
          <a:chOff x="0" y="0"/>
          <a:chExt cx="453184" cy="433250"/>
        </a:xfrm>
      </xdr:grpSpPr>
      <xdr:sp>
        <xdr:nvSpPr>
          <xdr:cNvPr id="613" name="Ovale"/>
          <xdr:cNvSpPr/>
        </xdr:nvSpPr>
        <xdr:spPr>
          <a:xfrm>
            <a:off x="-1" y="-1"/>
            <a:ext cx="453186" cy="433252"/>
          </a:xfrm>
          <a:prstGeom prst="ellipse">
            <a:avLst/>
          </a:prstGeom>
          <a:noFill/>
          <a:ln w="28575" cap="flat">
            <a:solidFill>
              <a:srgbClr val="203B7D"/>
            </a:solidFill>
            <a:prstDash val="solid"/>
            <a:miter lim="800000"/>
          </a:ln>
          <a:effectLst/>
        </xdr:spPr>
        <xdr:txBody>
          <a:bodyPr/>
          <a:lstStyle/>
          <a:p>
            <a:pPr/>
          </a:p>
        </xdr:txBody>
      </xdr:sp>
      <xdr:sp>
        <xdr:nvSpPr>
          <xdr:cNvPr id="614" name="2"/>
          <xdr:cNvSpPr txBox="1"/>
        </xdr:nvSpPr>
        <xdr:spPr>
          <a:xfrm>
            <a:off x="116352" y="56902"/>
            <a:ext cx="220479" cy="319445"/>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203B7D"/>
                </a:solidFill>
                <a:uFillTx/>
                <a:latin typeface="Calibri"/>
                <a:ea typeface="Calibri"/>
                <a:cs typeface="Calibri"/>
                <a:sym typeface="Calibri"/>
              </a:defRPr>
            </a:pPr>
            <a:r>
              <a:rPr b="0" baseline="0" cap="none" i="0" spc="0" strike="noStrike" sz="2600" u="none">
                <a:solidFill>
                  <a:srgbClr val="203B7D"/>
                </a:solidFill>
                <a:uFillTx/>
                <a:latin typeface="Calibri"/>
                <a:ea typeface="Calibri"/>
                <a:cs typeface="Calibri"/>
                <a:sym typeface="Calibri"/>
              </a:rPr>
              <a:t>2</a:t>
            </a:r>
          </a:p>
        </xdr:txBody>
      </xdr:sp>
    </xdr:grpSp>
    <xdr:clientData/>
  </xdr:twoCellAnchor>
  <xdr:twoCellAnchor>
    <xdr:from>
      <xdr:col>5</xdr:col>
      <xdr:colOff>18362</xdr:colOff>
      <xdr:row>40</xdr:row>
      <xdr:rowOff>119534</xdr:rowOff>
    </xdr:from>
    <xdr:to>
      <xdr:col>5</xdr:col>
      <xdr:colOff>471546</xdr:colOff>
      <xdr:row>41</xdr:row>
      <xdr:rowOff>362286</xdr:rowOff>
    </xdr:to>
    <xdr:grpSp>
      <xdr:nvGrpSpPr>
        <xdr:cNvPr id="618" name="Ellipse 61"/>
        <xdr:cNvGrpSpPr/>
      </xdr:nvGrpSpPr>
      <xdr:grpSpPr>
        <a:xfrm>
          <a:off x="539062" y="20297294"/>
          <a:ext cx="453185" cy="433253"/>
          <a:chOff x="0" y="0"/>
          <a:chExt cx="453184" cy="433251"/>
        </a:xfrm>
      </xdr:grpSpPr>
      <xdr:sp>
        <xdr:nvSpPr>
          <xdr:cNvPr id="616" name="Ovale"/>
          <xdr:cNvSpPr/>
        </xdr:nvSpPr>
        <xdr:spPr>
          <a:xfrm>
            <a:off x="-1" y="0"/>
            <a:ext cx="453186" cy="433252"/>
          </a:xfrm>
          <a:prstGeom prst="ellipse">
            <a:avLst/>
          </a:prstGeom>
          <a:noFill/>
          <a:ln w="28575" cap="flat">
            <a:solidFill>
              <a:srgbClr val="203B7D"/>
            </a:solidFill>
            <a:prstDash val="solid"/>
            <a:miter lim="800000"/>
          </a:ln>
          <a:effectLst/>
        </xdr:spPr>
        <xdr:txBody>
          <a:bodyPr/>
          <a:lstStyle/>
          <a:p>
            <a:pPr/>
          </a:p>
        </xdr:txBody>
      </xdr:sp>
      <xdr:sp>
        <xdr:nvSpPr>
          <xdr:cNvPr id="617" name="3"/>
          <xdr:cNvSpPr txBox="1"/>
        </xdr:nvSpPr>
        <xdr:spPr>
          <a:xfrm>
            <a:off x="116352" y="56901"/>
            <a:ext cx="220479" cy="319449"/>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203B7D"/>
                </a:solidFill>
                <a:uFillTx/>
                <a:latin typeface="Calibri"/>
                <a:ea typeface="Calibri"/>
                <a:cs typeface="Calibri"/>
                <a:sym typeface="Calibri"/>
              </a:defRPr>
            </a:pPr>
            <a:r>
              <a:rPr b="0" baseline="0" cap="none" i="0" spc="0" strike="noStrike" sz="2600" u="none">
                <a:solidFill>
                  <a:srgbClr val="203B7D"/>
                </a:solidFill>
                <a:uFillTx/>
                <a:latin typeface="Calibri"/>
                <a:ea typeface="Calibri"/>
                <a:cs typeface="Calibri"/>
                <a:sym typeface="Calibri"/>
              </a:rPr>
              <a:t>3</a:t>
            </a:r>
          </a:p>
        </xdr:txBody>
      </xdr:sp>
    </xdr:grpSp>
    <xdr:clientData/>
  </xdr:twoCellAnchor>
  <xdr:twoCellAnchor>
    <xdr:from>
      <xdr:col>1</xdr:col>
      <xdr:colOff>304800</xdr:colOff>
      <xdr:row>56</xdr:row>
      <xdr:rowOff>89055</xdr:rowOff>
    </xdr:from>
    <xdr:to>
      <xdr:col>5</xdr:col>
      <xdr:colOff>453184</xdr:colOff>
      <xdr:row>57</xdr:row>
      <xdr:rowOff>331803</xdr:rowOff>
    </xdr:to>
    <xdr:grpSp>
      <xdr:nvGrpSpPr>
        <xdr:cNvPr id="621" name="Ellipse 62"/>
        <xdr:cNvGrpSpPr/>
      </xdr:nvGrpSpPr>
      <xdr:grpSpPr>
        <a:xfrm>
          <a:off x="520699" y="30845280"/>
          <a:ext cx="453186" cy="433249"/>
          <a:chOff x="0" y="0"/>
          <a:chExt cx="453184" cy="433248"/>
        </a:xfrm>
      </xdr:grpSpPr>
      <xdr:sp>
        <xdr:nvSpPr>
          <xdr:cNvPr id="619" name="Ovale"/>
          <xdr:cNvSpPr/>
        </xdr:nvSpPr>
        <xdr:spPr>
          <a:xfrm>
            <a:off x="-1" y="-1"/>
            <a:ext cx="453186" cy="433250"/>
          </a:xfrm>
          <a:prstGeom prst="ellipse">
            <a:avLst/>
          </a:prstGeom>
          <a:noFill/>
          <a:ln w="28575" cap="flat">
            <a:solidFill>
              <a:srgbClr val="203B7D"/>
            </a:solidFill>
            <a:prstDash val="solid"/>
            <a:miter lim="800000"/>
          </a:ln>
          <a:effectLst/>
        </xdr:spPr>
        <xdr:txBody>
          <a:bodyPr/>
          <a:lstStyle/>
          <a:p>
            <a:pPr/>
          </a:p>
        </xdr:txBody>
      </xdr:sp>
      <xdr:sp>
        <xdr:nvSpPr>
          <xdr:cNvPr id="620" name="4"/>
          <xdr:cNvSpPr txBox="1"/>
        </xdr:nvSpPr>
        <xdr:spPr>
          <a:xfrm>
            <a:off x="116352" y="56902"/>
            <a:ext cx="220479" cy="319443"/>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203B7D"/>
                </a:solidFill>
                <a:uFillTx/>
                <a:latin typeface="Calibri"/>
                <a:ea typeface="Calibri"/>
                <a:cs typeface="Calibri"/>
                <a:sym typeface="Calibri"/>
              </a:defRPr>
            </a:pPr>
            <a:r>
              <a:rPr b="0" baseline="0" cap="none" i="0" spc="0" strike="noStrike" sz="2600" u="none">
                <a:solidFill>
                  <a:srgbClr val="203B7D"/>
                </a:solidFill>
                <a:uFillTx/>
                <a:latin typeface="Calibri"/>
                <a:ea typeface="Calibri"/>
                <a:cs typeface="Calibri"/>
                <a:sym typeface="Calibri"/>
              </a:rPr>
              <a:t>4</a:t>
            </a:r>
          </a:p>
        </xdr:txBody>
      </xdr:sp>
    </xdr:grpSp>
    <xdr:clientData/>
  </xdr:twoCellAnchor>
  <xdr:twoCellAnchor>
    <xdr:from>
      <xdr:col>5</xdr:col>
      <xdr:colOff>9180</xdr:colOff>
      <xdr:row>74</xdr:row>
      <xdr:rowOff>58569</xdr:rowOff>
    </xdr:from>
    <xdr:to>
      <xdr:col>5</xdr:col>
      <xdr:colOff>462365</xdr:colOff>
      <xdr:row>75</xdr:row>
      <xdr:rowOff>301317</xdr:rowOff>
    </xdr:to>
    <xdr:grpSp>
      <xdr:nvGrpSpPr>
        <xdr:cNvPr id="624" name="Ellipse 224255"/>
        <xdr:cNvGrpSpPr/>
      </xdr:nvGrpSpPr>
      <xdr:grpSpPr>
        <a:xfrm>
          <a:off x="529880" y="39935934"/>
          <a:ext cx="453185" cy="433249"/>
          <a:chOff x="0" y="0"/>
          <a:chExt cx="453184" cy="433248"/>
        </a:xfrm>
      </xdr:grpSpPr>
      <xdr:sp>
        <xdr:nvSpPr>
          <xdr:cNvPr id="622" name="Ovale"/>
          <xdr:cNvSpPr/>
        </xdr:nvSpPr>
        <xdr:spPr>
          <a:xfrm>
            <a:off x="-1" y="-1"/>
            <a:ext cx="453186" cy="433250"/>
          </a:xfrm>
          <a:prstGeom prst="ellipse">
            <a:avLst/>
          </a:prstGeom>
          <a:noFill/>
          <a:ln w="28575" cap="flat">
            <a:solidFill>
              <a:srgbClr val="203B7D"/>
            </a:solidFill>
            <a:prstDash val="solid"/>
            <a:miter lim="800000"/>
          </a:ln>
          <a:effectLst/>
        </xdr:spPr>
        <xdr:txBody>
          <a:bodyPr/>
          <a:lstStyle/>
          <a:p>
            <a:pPr/>
          </a:p>
        </xdr:txBody>
      </xdr:sp>
      <xdr:sp>
        <xdr:nvSpPr>
          <xdr:cNvPr id="623" name="5"/>
          <xdr:cNvSpPr txBox="1"/>
        </xdr:nvSpPr>
        <xdr:spPr>
          <a:xfrm>
            <a:off x="116352" y="56902"/>
            <a:ext cx="220479" cy="319443"/>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203B7D"/>
                </a:solidFill>
                <a:uFillTx/>
                <a:latin typeface="Calibri"/>
                <a:ea typeface="Calibri"/>
                <a:cs typeface="Calibri"/>
                <a:sym typeface="Calibri"/>
              </a:defRPr>
            </a:pPr>
            <a:r>
              <a:rPr b="0" baseline="0" cap="none" i="0" spc="0" strike="noStrike" sz="2600" u="none">
                <a:solidFill>
                  <a:srgbClr val="203B7D"/>
                </a:solidFill>
                <a:uFillTx/>
                <a:latin typeface="Calibri"/>
                <a:ea typeface="Calibri"/>
                <a:cs typeface="Calibri"/>
                <a:sym typeface="Calibri"/>
              </a:rPr>
              <a:t>5</a:t>
            </a:r>
          </a:p>
        </xdr:txBody>
      </xdr:sp>
    </xdr:grpSp>
    <xdr:clientData/>
  </xdr:twoCellAnchor>
  <xdr:twoCellAnchor>
    <xdr:from>
      <xdr:col>9</xdr:col>
      <xdr:colOff>10634</xdr:colOff>
      <xdr:row>62</xdr:row>
      <xdr:rowOff>1560198</xdr:rowOff>
    </xdr:from>
    <xdr:to>
      <xdr:col>9</xdr:col>
      <xdr:colOff>4574992</xdr:colOff>
      <xdr:row>74</xdr:row>
      <xdr:rowOff>181309</xdr:rowOff>
    </xdr:to>
    <xdr:sp>
      <xdr:nvSpPr>
        <xdr:cNvPr id="625" name="ZoneTexte 1"/>
        <xdr:cNvSpPr/>
      </xdr:nvSpPr>
      <xdr:spPr>
        <a:xfrm>
          <a:off x="7630634" y="38071428"/>
          <a:ext cx="4564359" cy="1987247"/>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10952</xdr:colOff>
      <xdr:row>62</xdr:row>
      <xdr:rowOff>1560198</xdr:rowOff>
    </xdr:from>
    <xdr:to>
      <xdr:col>9</xdr:col>
      <xdr:colOff>4575309</xdr:colOff>
      <xdr:row>73</xdr:row>
      <xdr:rowOff>24661</xdr:rowOff>
    </xdr:to>
    <xdr:sp>
      <xdr:nvSpPr>
        <xdr:cNvPr id="626" name="ZoneTexte 1"/>
        <xdr:cNvSpPr/>
      </xdr:nvSpPr>
      <xdr:spPr>
        <a:xfrm>
          <a:off x="7630952" y="38071428"/>
          <a:ext cx="4564358" cy="1601999"/>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46</xdr:row>
      <xdr:rowOff>1478717</xdr:rowOff>
    </xdr:from>
    <xdr:to>
      <xdr:col>9</xdr:col>
      <xdr:colOff>4542761</xdr:colOff>
      <xdr:row>47</xdr:row>
      <xdr:rowOff>1590679</xdr:rowOff>
    </xdr:to>
    <xdr:sp>
      <xdr:nvSpPr>
        <xdr:cNvPr id="627" name="ZoneTexte 1"/>
        <xdr:cNvSpPr/>
      </xdr:nvSpPr>
      <xdr:spPr>
        <a:xfrm>
          <a:off x="7648574" y="27664847"/>
          <a:ext cx="4514188" cy="163596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10635</xdr:colOff>
      <xdr:row>47</xdr:row>
      <xdr:rowOff>1590680</xdr:rowOff>
    </xdr:from>
    <xdr:to>
      <xdr:col>9</xdr:col>
      <xdr:colOff>4572000</xdr:colOff>
      <xdr:row>56</xdr:row>
      <xdr:rowOff>45726</xdr:rowOff>
    </xdr:to>
    <xdr:sp>
      <xdr:nvSpPr>
        <xdr:cNvPr id="628" name="ZoneTexte 1"/>
        <xdr:cNvSpPr/>
      </xdr:nvSpPr>
      <xdr:spPr>
        <a:xfrm>
          <a:off x="7630635" y="29300809"/>
          <a:ext cx="4561365" cy="150114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47</xdr:row>
      <xdr:rowOff>1590680</xdr:rowOff>
    </xdr:from>
    <xdr:to>
      <xdr:col>9</xdr:col>
      <xdr:colOff>4542761</xdr:colOff>
      <xdr:row>56</xdr:row>
      <xdr:rowOff>180546</xdr:rowOff>
    </xdr:to>
    <xdr:sp>
      <xdr:nvSpPr>
        <xdr:cNvPr id="629" name="ZoneTexte 1"/>
        <xdr:cNvSpPr/>
      </xdr:nvSpPr>
      <xdr:spPr>
        <a:xfrm>
          <a:off x="7648574" y="29300809"/>
          <a:ext cx="4514188" cy="163596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10636</xdr:colOff>
      <xdr:row>81</xdr:row>
      <xdr:rowOff>1529713</xdr:rowOff>
    </xdr:from>
    <xdr:to>
      <xdr:col>9</xdr:col>
      <xdr:colOff>4532585</xdr:colOff>
      <xdr:row>91</xdr:row>
      <xdr:rowOff>359978</xdr:rowOff>
    </xdr:to>
    <xdr:sp>
      <xdr:nvSpPr>
        <xdr:cNvPr id="630" name="ZoneTexte 1"/>
        <xdr:cNvSpPr/>
      </xdr:nvSpPr>
      <xdr:spPr>
        <a:xfrm>
          <a:off x="7630636" y="48813718"/>
          <a:ext cx="4521950" cy="201352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10953</xdr:colOff>
      <xdr:row>81</xdr:row>
      <xdr:rowOff>1529713</xdr:rowOff>
    </xdr:from>
    <xdr:to>
      <xdr:col>9</xdr:col>
      <xdr:colOff>4532903</xdr:colOff>
      <xdr:row>90</xdr:row>
      <xdr:rowOff>138956</xdr:rowOff>
    </xdr:to>
    <xdr:sp>
      <xdr:nvSpPr>
        <xdr:cNvPr id="631" name="ZoneTexte 1"/>
        <xdr:cNvSpPr/>
      </xdr:nvSpPr>
      <xdr:spPr>
        <a:xfrm>
          <a:off x="7630953" y="48813718"/>
          <a:ext cx="4521950" cy="1601999"/>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92</xdr:row>
      <xdr:rowOff>68573</xdr:rowOff>
    </xdr:from>
    <xdr:to>
      <xdr:col>9</xdr:col>
      <xdr:colOff>4503756</xdr:colOff>
      <xdr:row>93</xdr:row>
      <xdr:rowOff>1506844</xdr:rowOff>
    </xdr:to>
    <xdr:sp>
      <xdr:nvSpPr>
        <xdr:cNvPr id="632" name="ZoneTexte 1"/>
        <xdr:cNvSpPr/>
      </xdr:nvSpPr>
      <xdr:spPr>
        <a:xfrm>
          <a:off x="7648574" y="50954933"/>
          <a:ext cx="4475183" cy="1628772"/>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93</xdr:row>
      <xdr:rowOff>1563995</xdr:rowOff>
    </xdr:from>
    <xdr:to>
      <xdr:col>9</xdr:col>
      <xdr:colOff>4451453</xdr:colOff>
      <xdr:row>94</xdr:row>
      <xdr:rowOff>1506842</xdr:rowOff>
    </xdr:to>
    <xdr:sp>
      <xdr:nvSpPr>
        <xdr:cNvPr id="633" name="ZoneTexte 1"/>
        <xdr:cNvSpPr/>
      </xdr:nvSpPr>
      <xdr:spPr>
        <a:xfrm>
          <a:off x="7648574" y="52640855"/>
          <a:ext cx="4422880" cy="159448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94</xdr:row>
      <xdr:rowOff>1522519</xdr:rowOff>
    </xdr:from>
    <xdr:to>
      <xdr:col>9</xdr:col>
      <xdr:colOff>4503756</xdr:colOff>
      <xdr:row>95</xdr:row>
      <xdr:rowOff>1506840</xdr:rowOff>
    </xdr:to>
    <xdr:sp>
      <xdr:nvSpPr>
        <xdr:cNvPr id="634" name="ZoneTexte 1"/>
        <xdr:cNvSpPr/>
      </xdr:nvSpPr>
      <xdr:spPr>
        <a:xfrm>
          <a:off x="7648574" y="54251014"/>
          <a:ext cx="4475183" cy="1635957"/>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10636</xdr:colOff>
      <xdr:row>95</xdr:row>
      <xdr:rowOff>1529697</xdr:rowOff>
    </xdr:from>
    <xdr:to>
      <xdr:col>9</xdr:col>
      <xdr:colOff>4532585</xdr:colOff>
      <xdr:row>97</xdr:row>
      <xdr:rowOff>239947</xdr:rowOff>
    </xdr:to>
    <xdr:sp>
      <xdr:nvSpPr>
        <xdr:cNvPr id="635" name="ZoneTexte 1"/>
        <xdr:cNvSpPr/>
      </xdr:nvSpPr>
      <xdr:spPr>
        <a:xfrm>
          <a:off x="7630636" y="55909827"/>
          <a:ext cx="4521950" cy="201352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10953</xdr:colOff>
      <xdr:row>96</xdr:row>
      <xdr:rowOff>1526575</xdr:rowOff>
    </xdr:from>
    <xdr:to>
      <xdr:col>9</xdr:col>
      <xdr:colOff>4532903</xdr:colOff>
      <xdr:row>97</xdr:row>
      <xdr:rowOff>1476939</xdr:rowOff>
    </xdr:to>
    <xdr:sp>
      <xdr:nvSpPr>
        <xdr:cNvPr id="636" name="ZoneTexte 1"/>
        <xdr:cNvSpPr/>
      </xdr:nvSpPr>
      <xdr:spPr>
        <a:xfrm>
          <a:off x="7630953" y="57558340"/>
          <a:ext cx="4521950" cy="1601999"/>
        </a:xfrm>
        <a:prstGeom prst="rect">
          <a:avLst/>
        </a:prstGeom>
        <a:solidFill>
          <a:srgbClr val="FFFFFF"/>
        </a:solidFill>
        <a:ln w="12700" cap="flat">
          <a:noFill/>
          <a:miter lim="400000"/>
        </a:ln>
        <a:effectLst/>
      </xdr:spPr>
      <xdr:txBody>
        <a:bodyPr/>
        <a:lstStyle/>
        <a:p>
          <a:pPr/>
        </a:p>
      </xdr:txBody>
    </xdr:sp>
    <xdr:clientData/>
  </xdr:twoCellAnchor>
  <xdr:twoCellAnchor>
    <xdr:from>
      <xdr:col>5</xdr:col>
      <xdr:colOff>9180</xdr:colOff>
      <xdr:row>90</xdr:row>
      <xdr:rowOff>35706</xdr:rowOff>
    </xdr:from>
    <xdr:to>
      <xdr:col>5</xdr:col>
      <xdr:colOff>462365</xdr:colOff>
      <xdr:row>91</xdr:row>
      <xdr:rowOff>278454</xdr:rowOff>
    </xdr:to>
    <xdr:grpSp>
      <xdr:nvGrpSpPr>
        <xdr:cNvPr id="639" name="Ellipse 224478"/>
        <xdr:cNvGrpSpPr/>
      </xdr:nvGrpSpPr>
      <xdr:grpSpPr>
        <a:xfrm>
          <a:off x="529880" y="50312466"/>
          <a:ext cx="453185" cy="433249"/>
          <a:chOff x="0" y="0"/>
          <a:chExt cx="453184" cy="433248"/>
        </a:xfrm>
      </xdr:grpSpPr>
      <xdr:sp>
        <xdr:nvSpPr>
          <xdr:cNvPr id="637" name="Ovale"/>
          <xdr:cNvSpPr/>
        </xdr:nvSpPr>
        <xdr:spPr>
          <a:xfrm>
            <a:off x="-1" y="-1"/>
            <a:ext cx="453186" cy="433250"/>
          </a:xfrm>
          <a:prstGeom prst="ellipse">
            <a:avLst/>
          </a:prstGeom>
          <a:noFill/>
          <a:ln w="28575" cap="flat">
            <a:solidFill>
              <a:srgbClr val="203B7D"/>
            </a:solidFill>
            <a:prstDash val="solid"/>
            <a:miter lim="800000"/>
          </a:ln>
          <a:effectLst/>
        </xdr:spPr>
        <xdr:txBody>
          <a:bodyPr/>
          <a:lstStyle/>
          <a:p>
            <a:pPr/>
          </a:p>
        </xdr:txBody>
      </xdr:sp>
      <xdr:sp>
        <xdr:nvSpPr>
          <xdr:cNvPr id="638" name="6"/>
          <xdr:cNvSpPr txBox="1"/>
        </xdr:nvSpPr>
        <xdr:spPr>
          <a:xfrm>
            <a:off x="116352" y="56902"/>
            <a:ext cx="220479" cy="319443"/>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203B7D"/>
                </a:solidFill>
                <a:uFillTx/>
                <a:latin typeface="Calibri"/>
                <a:ea typeface="Calibri"/>
                <a:cs typeface="Calibri"/>
                <a:sym typeface="Calibri"/>
              </a:defRPr>
            </a:pPr>
            <a:r>
              <a:rPr b="0" baseline="0" cap="none" i="0" spc="0" strike="noStrike" sz="2600" u="none">
                <a:solidFill>
                  <a:srgbClr val="203B7D"/>
                </a:solidFill>
                <a:uFillTx/>
                <a:latin typeface="Calibri"/>
                <a:ea typeface="Calibri"/>
                <a:cs typeface="Calibri"/>
                <a:sym typeface="Calibri"/>
              </a:rPr>
              <a:t>6</a:t>
            </a:r>
          </a:p>
        </xdr:txBody>
      </xdr:sp>
    </xdr:grpSp>
    <xdr:clientData/>
  </xdr:twoCellAnchor>
  <xdr:twoCellAnchor>
    <xdr:from>
      <xdr:col>9</xdr:col>
      <xdr:colOff>10636</xdr:colOff>
      <xdr:row>97</xdr:row>
      <xdr:rowOff>1506835</xdr:rowOff>
    </xdr:from>
    <xdr:to>
      <xdr:col>9</xdr:col>
      <xdr:colOff>4532585</xdr:colOff>
      <xdr:row>107</xdr:row>
      <xdr:rowOff>337100</xdr:rowOff>
    </xdr:to>
    <xdr:sp>
      <xdr:nvSpPr>
        <xdr:cNvPr id="640" name="ZoneTexte 1"/>
        <xdr:cNvSpPr/>
      </xdr:nvSpPr>
      <xdr:spPr>
        <a:xfrm>
          <a:off x="7630636" y="59190235"/>
          <a:ext cx="4521950" cy="201352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10953</xdr:colOff>
      <xdr:row>97</xdr:row>
      <xdr:rowOff>1506835</xdr:rowOff>
    </xdr:from>
    <xdr:to>
      <xdr:col>9</xdr:col>
      <xdr:colOff>4532903</xdr:colOff>
      <xdr:row>106</xdr:row>
      <xdr:rowOff>116078</xdr:rowOff>
    </xdr:to>
    <xdr:sp>
      <xdr:nvSpPr>
        <xdr:cNvPr id="641" name="ZoneTexte 1"/>
        <xdr:cNvSpPr/>
      </xdr:nvSpPr>
      <xdr:spPr>
        <a:xfrm>
          <a:off x="7630953" y="59190235"/>
          <a:ext cx="4521950" cy="1601999"/>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108</xdr:row>
      <xdr:rowOff>45688</xdr:rowOff>
    </xdr:from>
    <xdr:to>
      <xdr:col>9</xdr:col>
      <xdr:colOff>4503756</xdr:colOff>
      <xdr:row>109</xdr:row>
      <xdr:rowOff>1483964</xdr:rowOff>
    </xdr:to>
    <xdr:sp>
      <xdr:nvSpPr>
        <xdr:cNvPr id="642" name="ZoneTexte 1"/>
        <xdr:cNvSpPr/>
      </xdr:nvSpPr>
      <xdr:spPr>
        <a:xfrm>
          <a:off x="7648574" y="61331443"/>
          <a:ext cx="4475183" cy="162877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109</xdr:row>
      <xdr:rowOff>1541114</xdr:rowOff>
    </xdr:from>
    <xdr:to>
      <xdr:col>9</xdr:col>
      <xdr:colOff>4451453</xdr:colOff>
      <xdr:row>110</xdr:row>
      <xdr:rowOff>1483961</xdr:rowOff>
    </xdr:to>
    <xdr:sp>
      <xdr:nvSpPr>
        <xdr:cNvPr id="643" name="ZoneTexte 1"/>
        <xdr:cNvSpPr/>
      </xdr:nvSpPr>
      <xdr:spPr>
        <a:xfrm>
          <a:off x="7648574" y="63017368"/>
          <a:ext cx="4422880" cy="1594484"/>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110</xdr:row>
      <xdr:rowOff>1499638</xdr:rowOff>
    </xdr:from>
    <xdr:to>
      <xdr:col>9</xdr:col>
      <xdr:colOff>4503756</xdr:colOff>
      <xdr:row>111</xdr:row>
      <xdr:rowOff>1483959</xdr:rowOff>
    </xdr:to>
    <xdr:sp>
      <xdr:nvSpPr>
        <xdr:cNvPr id="644" name="ZoneTexte 1"/>
        <xdr:cNvSpPr/>
      </xdr:nvSpPr>
      <xdr:spPr>
        <a:xfrm>
          <a:off x="7648574" y="64627528"/>
          <a:ext cx="4475183" cy="1635957"/>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10636</xdr:colOff>
      <xdr:row>111</xdr:row>
      <xdr:rowOff>1483958</xdr:rowOff>
    </xdr:from>
    <xdr:to>
      <xdr:col>9</xdr:col>
      <xdr:colOff>4532585</xdr:colOff>
      <xdr:row>126</xdr:row>
      <xdr:rowOff>17044</xdr:rowOff>
    </xdr:to>
    <xdr:sp>
      <xdr:nvSpPr>
        <xdr:cNvPr id="645" name="ZoneTexte 1"/>
        <xdr:cNvSpPr/>
      </xdr:nvSpPr>
      <xdr:spPr>
        <a:xfrm>
          <a:off x="7630636" y="66263483"/>
          <a:ext cx="4521950" cy="2013522"/>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10953</xdr:colOff>
      <xdr:row>111</xdr:row>
      <xdr:rowOff>1483959</xdr:rowOff>
    </xdr:from>
    <xdr:to>
      <xdr:col>9</xdr:col>
      <xdr:colOff>4532903</xdr:colOff>
      <xdr:row>123</xdr:row>
      <xdr:rowOff>154162</xdr:rowOff>
    </xdr:to>
    <xdr:sp>
      <xdr:nvSpPr>
        <xdr:cNvPr id="646" name="ZoneTexte 1"/>
        <xdr:cNvSpPr/>
      </xdr:nvSpPr>
      <xdr:spPr>
        <a:xfrm>
          <a:off x="7630953" y="66263484"/>
          <a:ext cx="4521950" cy="1601999"/>
        </a:xfrm>
        <a:prstGeom prst="rect">
          <a:avLst/>
        </a:prstGeom>
        <a:solidFill>
          <a:srgbClr val="FFFFFF"/>
        </a:solidFill>
        <a:ln w="12700" cap="flat">
          <a:noFill/>
          <a:miter lim="400000"/>
        </a:ln>
        <a:effectLst/>
      </xdr:spPr>
      <xdr:txBody>
        <a:bodyPr/>
        <a:lstStyle/>
        <a:p>
          <a:pPr/>
        </a:p>
      </xdr:txBody>
    </xdr:sp>
    <xdr:clientData/>
  </xdr:twoCellAnchor>
  <xdr:twoCellAnchor>
    <xdr:from>
      <xdr:col>5</xdr:col>
      <xdr:colOff>9180</xdr:colOff>
      <xdr:row>106</xdr:row>
      <xdr:rowOff>12822</xdr:rowOff>
    </xdr:from>
    <xdr:to>
      <xdr:col>5</xdr:col>
      <xdr:colOff>462365</xdr:colOff>
      <xdr:row>107</xdr:row>
      <xdr:rowOff>255574</xdr:rowOff>
    </xdr:to>
    <xdr:grpSp>
      <xdr:nvGrpSpPr>
        <xdr:cNvPr id="649" name="Ellipse 224528"/>
        <xdr:cNvGrpSpPr/>
      </xdr:nvGrpSpPr>
      <xdr:grpSpPr>
        <a:xfrm>
          <a:off x="529880" y="60688977"/>
          <a:ext cx="453185" cy="433253"/>
          <a:chOff x="0" y="0"/>
          <a:chExt cx="453184" cy="433251"/>
        </a:xfrm>
      </xdr:grpSpPr>
      <xdr:sp>
        <xdr:nvSpPr>
          <xdr:cNvPr id="647" name="Ovale"/>
          <xdr:cNvSpPr/>
        </xdr:nvSpPr>
        <xdr:spPr>
          <a:xfrm>
            <a:off x="-1" y="0"/>
            <a:ext cx="453186" cy="433252"/>
          </a:xfrm>
          <a:prstGeom prst="ellipse">
            <a:avLst/>
          </a:prstGeom>
          <a:noFill/>
          <a:ln w="28575" cap="flat">
            <a:solidFill>
              <a:srgbClr val="203B7D"/>
            </a:solidFill>
            <a:prstDash val="solid"/>
            <a:miter lim="800000"/>
          </a:ln>
          <a:effectLst/>
        </xdr:spPr>
        <xdr:txBody>
          <a:bodyPr/>
          <a:lstStyle/>
          <a:p>
            <a:pPr/>
          </a:p>
        </xdr:txBody>
      </xdr:sp>
      <xdr:sp>
        <xdr:nvSpPr>
          <xdr:cNvPr id="648" name="7"/>
          <xdr:cNvSpPr txBox="1"/>
        </xdr:nvSpPr>
        <xdr:spPr>
          <a:xfrm>
            <a:off x="116352" y="56901"/>
            <a:ext cx="220479" cy="319449"/>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203B7D"/>
                </a:solidFill>
                <a:uFillTx/>
                <a:latin typeface="Calibri"/>
                <a:ea typeface="Calibri"/>
                <a:cs typeface="Calibri"/>
                <a:sym typeface="Calibri"/>
              </a:defRPr>
            </a:pPr>
            <a:r>
              <a:rPr b="0" baseline="0" cap="none" i="0" spc="0" strike="noStrike" sz="2600" u="none">
                <a:solidFill>
                  <a:srgbClr val="203B7D"/>
                </a:solidFill>
                <a:uFillTx/>
                <a:latin typeface="Calibri"/>
                <a:ea typeface="Calibri"/>
                <a:cs typeface="Calibri"/>
                <a:sym typeface="Calibri"/>
              </a:rPr>
              <a:t>7</a:t>
            </a:r>
          </a:p>
        </xdr:txBody>
      </xdr:sp>
    </xdr:grpSp>
    <xdr:clientData/>
  </xdr:twoCellAnchor>
  <xdr:twoCellAnchor>
    <xdr:from>
      <xdr:col>9</xdr:col>
      <xdr:colOff>10636</xdr:colOff>
      <xdr:row>111</xdr:row>
      <xdr:rowOff>1483958</xdr:rowOff>
    </xdr:from>
    <xdr:to>
      <xdr:col>9</xdr:col>
      <xdr:colOff>4532585</xdr:colOff>
      <xdr:row>126</xdr:row>
      <xdr:rowOff>17044</xdr:rowOff>
    </xdr:to>
    <xdr:sp>
      <xdr:nvSpPr>
        <xdr:cNvPr id="650" name="ZoneTexte 1"/>
        <xdr:cNvSpPr/>
      </xdr:nvSpPr>
      <xdr:spPr>
        <a:xfrm>
          <a:off x="7630636" y="66263483"/>
          <a:ext cx="4521950" cy="2013522"/>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10953</xdr:colOff>
      <xdr:row>111</xdr:row>
      <xdr:rowOff>1483959</xdr:rowOff>
    </xdr:from>
    <xdr:to>
      <xdr:col>9</xdr:col>
      <xdr:colOff>4532903</xdr:colOff>
      <xdr:row>123</xdr:row>
      <xdr:rowOff>154162</xdr:rowOff>
    </xdr:to>
    <xdr:sp>
      <xdr:nvSpPr>
        <xdr:cNvPr id="651" name="ZoneTexte 1"/>
        <xdr:cNvSpPr/>
      </xdr:nvSpPr>
      <xdr:spPr>
        <a:xfrm>
          <a:off x="7630953" y="66263484"/>
          <a:ext cx="4521950" cy="1601999"/>
        </a:xfrm>
        <a:prstGeom prst="rect">
          <a:avLst/>
        </a:prstGeom>
        <a:solidFill>
          <a:srgbClr val="FFFFFF"/>
        </a:solidFill>
        <a:ln w="12700" cap="flat">
          <a:noFill/>
          <a:miter lim="400000"/>
        </a:ln>
        <a:effectLst/>
      </xdr:spPr>
      <xdr:txBody>
        <a:bodyPr/>
        <a:lstStyle/>
        <a:p>
          <a:pPr/>
        </a:p>
      </xdr:txBody>
    </xdr:sp>
    <xdr:clientData/>
  </xdr:twoCellAnchor>
</xdr:wsDr>
</file>

<file path=xl/drawings/drawing2.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2</xdr:col>
      <xdr:colOff>43188</xdr:colOff>
      <xdr:row>9</xdr:row>
      <xdr:rowOff>153883</xdr:rowOff>
    </xdr:from>
    <xdr:to>
      <xdr:col>3</xdr:col>
      <xdr:colOff>235994</xdr:colOff>
      <xdr:row>10</xdr:row>
      <xdr:rowOff>37747</xdr:rowOff>
    </xdr:to>
    <xdr:grpSp>
      <xdr:nvGrpSpPr>
        <xdr:cNvPr id="18" name="Ellipse 18"/>
        <xdr:cNvGrpSpPr/>
      </xdr:nvGrpSpPr>
      <xdr:grpSpPr>
        <a:xfrm>
          <a:off x="627388" y="3209503"/>
          <a:ext cx="484907" cy="432505"/>
          <a:chOff x="0" y="0"/>
          <a:chExt cx="484906" cy="432504"/>
        </a:xfrm>
      </xdr:grpSpPr>
      <xdr:sp>
        <xdr:nvSpPr>
          <xdr:cNvPr id="16" name="Ovale"/>
          <xdr:cNvSpPr/>
        </xdr:nvSpPr>
        <xdr:spPr>
          <a:xfrm>
            <a:off x="-1" y="-1"/>
            <a:ext cx="484908" cy="432506"/>
          </a:xfrm>
          <a:prstGeom prst="ellipse">
            <a:avLst/>
          </a:prstGeom>
          <a:solidFill>
            <a:srgbClr val="FFFFFF"/>
          </a:solidFill>
          <a:ln w="12700" cap="flat">
            <a:noFill/>
            <a:miter lim="400000"/>
          </a:ln>
          <a:effectLst/>
        </xdr:spPr>
        <xdr:txBody>
          <a:bodyPr/>
          <a:lstStyle/>
          <a:p>
            <a:pPr/>
          </a:p>
        </xdr:txBody>
      </xdr:sp>
      <xdr:sp>
        <xdr:nvSpPr>
          <xdr:cNvPr id="17" name="1"/>
          <xdr:cNvSpPr txBox="1"/>
        </xdr:nvSpPr>
        <xdr:spPr>
          <a:xfrm>
            <a:off x="104160" y="40402"/>
            <a:ext cx="276586" cy="351699"/>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0097CC"/>
                </a:solidFill>
                <a:uFillTx/>
                <a:latin typeface="Calibri"/>
                <a:ea typeface="Calibri"/>
                <a:cs typeface="Calibri"/>
                <a:sym typeface="Calibri"/>
              </a:defRPr>
            </a:pPr>
            <a:r>
              <a:rPr b="0" baseline="0" cap="none" i="0" spc="0" strike="noStrike" sz="2600" u="none">
                <a:solidFill>
                  <a:srgbClr val="0097CC"/>
                </a:solidFill>
                <a:uFillTx/>
                <a:latin typeface="Calibri"/>
                <a:ea typeface="Calibri"/>
                <a:cs typeface="Calibri"/>
                <a:sym typeface="Calibri"/>
              </a:rPr>
              <a:t>1</a:t>
            </a:r>
          </a:p>
        </xdr:txBody>
      </xdr:sp>
    </xdr:grpSp>
    <xdr:clientData/>
  </xdr:twoCellAnchor>
  <xdr:twoCellAnchor>
    <xdr:from>
      <xdr:col>2</xdr:col>
      <xdr:colOff>43188</xdr:colOff>
      <xdr:row>16</xdr:row>
      <xdr:rowOff>111120</xdr:rowOff>
    </xdr:from>
    <xdr:to>
      <xdr:col>3</xdr:col>
      <xdr:colOff>235994</xdr:colOff>
      <xdr:row>17</xdr:row>
      <xdr:rowOff>171940</xdr:rowOff>
    </xdr:to>
    <xdr:grpSp>
      <xdr:nvGrpSpPr>
        <xdr:cNvPr id="21" name="Ellipse 19"/>
        <xdr:cNvGrpSpPr/>
      </xdr:nvGrpSpPr>
      <xdr:grpSpPr>
        <a:xfrm>
          <a:off x="627388" y="6214740"/>
          <a:ext cx="484907" cy="426581"/>
          <a:chOff x="0" y="0"/>
          <a:chExt cx="484906" cy="426580"/>
        </a:xfrm>
      </xdr:grpSpPr>
      <xdr:sp>
        <xdr:nvSpPr>
          <xdr:cNvPr id="19" name="Ovale"/>
          <xdr:cNvSpPr/>
        </xdr:nvSpPr>
        <xdr:spPr>
          <a:xfrm>
            <a:off x="-1" y="-1"/>
            <a:ext cx="484908" cy="426582"/>
          </a:xfrm>
          <a:prstGeom prst="ellipse">
            <a:avLst/>
          </a:prstGeom>
          <a:solidFill>
            <a:srgbClr val="FFFFFF"/>
          </a:solidFill>
          <a:ln w="12700" cap="flat">
            <a:noFill/>
            <a:miter lim="400000"/>
          </a:ln>
          <a:effectLst/>
        </xdr:spPr>
        <xdr:txBody>
          <a:bodyPr/>
          <a:lstStyle/>
          <a:p>
            <a:pPr/>
          </a:p>
        </xdr:txBody>
      </xdr:sp>
      <xdr:sp>
        <xdr:nvSpPr>
          <xdr:cNvPr id="20" name="2"/>
          <xdr:cNvSpPr txBox="1"/>
        </xdr:nvSpPr>
        <xdr:spPr>
          <a:xfrm>
            <a:off x="104160" y="39848"/>
            <a:ext cx="276586" cy="346884"/>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0097CC"/>
                </a:solidFill>
                <a:uFillTx/>
                <a:latin typeface="Calibri"/>
                <a:ea typeface="Calibri"/>
                <a:cs typeface="Calibri"/>
                <a:sym typeface="Calibri"/>
              </a:defRPr>
            </a:pPr>
            <a:r>
              <a:rPr b="0" baseline="0" cap="none" i="0" spc="0" strike="noStrike" sz="2600" u="none">
                <a:solidFill>
                  <a:srgbClr val="0097CC"/>
                </a:solidFill>
                <a:uFillTx/>
                <a:latin typeface="Calibri"/>
                <a:ea typeface="Calibri"/>
                <a:cs typeface="Calibri"/>
                <a:sym typeface="Calibri"/>
              </a:rPr>
              <a:t>2</a:t>
            </a:r>
          </a:p>
        </xdr:txBody>
      </xdr:sp>
    </xdr:grpSp>
    <xdr:clientData/>
  </xdr:twoCellAnchor>
  <xdr:twoCellAnchor>
    <xdr:from>
      <xdr:col>2</xdr:col>
      <xdr:colOff>43188</xdr:colOff>
      <xdr:row>25</xdr:row>
      <xdr:rowOff>6505</xdr:rowOff>
    </xdr:from>
    <xdr:to>
      <xdr:col>3</xdr:col>
      <xdr:colOff>235994</xdr:colOff>
      <xdr:row>26</xdr:row>
      <xdr:rowOff>71193</xdr:rowOff>
    </xdr:to>
    <xdr:grpSp>
      <xdr:nvGrpSpPr>
        <xdr:cNvPr id="24" name="Ellipse 20"/>
        <xdr:cNvGrpSpPr/>
      </xdr:nvGrpSpPr>
      <xdr:grpSpPr>
        <a:xfrm>
          <a:off x="627388" y="10255405"/>
          <a:ext cx="484907" cy="430449"/>
          <a:chOff x="0" y="0"/>
          <a:chExt cx="484906" cy="430447"/>
        </a:xfrm>
      </xdr:grpSpPr>
      <xdr:sp>
        <xdr:nvSpPr>
          <xdr:cNvPr id="22" name="Ovale"/>
          <xdr:cNvSpPr/>
        </xdr:nvSpPr>
        <xdr:spPr>
          <a:xfrm>
            <a:off x="-1" y="0"/>
            <a:ext cx="484908" cy="430448"/>
          </a:xfrm>
          <a:prstGeom prst="ellipse">
            <a:avLst/>
          </a:prstGeom>
          <a:solidFill>
            <a:srgbClr val="FFFFFF"/>
          </a:solidFill>
          <a:ln w="12700" cap="flat">
            <a:noFill/>
            <a:miter lim="400000"/>
          </a:ln>
          <a:effectLst/>
        </xdr:spPr>
        <xdr:txBody>
          <a:bodyPr/>
          <a:lstStyle/>
          <a:p>
            <a:pPr/>
          </a:p>
        </xdr:txBody>
      </xdr:sp>
      <xdr:sp>
        <xdr:nvSpPr>
          <xdr:cNvPr id="23" name="3"/>
          <xdr:cNvSpPr txBox="1"/>
        </xdr:nvSpPr>
        <xdr:spPr>
          <a:xfrm>
            <a:off x="104160" y="40210"/>
            <a:ext cx="276586" cy="350028"/>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0097CC"/>
                </a:solidFill>
                <a:uFillTx/>
                <a:latin typeface="Calibri"/>
                <a:ea typeface="Calibri"/>
                <a:cs typeface="Calibri"/>
                <a:sym typeface="Calibri"/>
              </a:defRPr>
            </a:pPr>
            <a:r>
              <a:rPr b="0" baseline="0" cap="none" i="0" spc="0" strike="noStrike" sz="2600" u="none">
                <a:solidFill>
                  <a:srgbClr val="0097CC"/>
                </a:solidFill>
                <a:uFillTx/>
                <a:latin typeface="Calibri"/>
                <a:ea typeface="Calibri"/>
                <a:cs typeface="Calibri"/>
                <a:sym typeface="Calibri"/>
              </a:rPr>
              <a:t>3</a:t>
            </a:r>
          </a:p>
        </xdr:txBody>
      </xdr:sp>
    </xdr:grpSp>
    <xdr:clientData/>
  </xdr:twoCellAnchor>
  <xdr:twoCellAnchor>
    <xdr:from>
      <xdr:col>2</xdr:col>
      <xdr:colOff>43188</xdr:colOff>
      <xdr:row>33</xdr:row>
      <xdr:rowOff>380217</xdr:rowOff>
    </xdr:from>
    <xdr:to>
      <xdr:col>3</xdr:col>
      <xdr:colOff>235994</xdr:colOff>
      <xdr:row>34</xdr:row>
      <xdr:rowOff>262153</xdr:rowOff>
    </xdr:to>
    <xdr:grpSp>
      <xdr:nvGrpSpPr>
        <xdr:cNvPr id="27" name="Ellipse 21"/>
        <xdr:cNvGrpSpPr/>
      </xdr:nvGrpSpPr>
      <xdr:grpSpPr>
        <a:xfrm>
          <a:off x="627388" y="14347677"/>
          <a:ext cx="484907" cy="430577"/>
          <a:chOff x="0" y="0"/>
          <a:chExt cx="484906" cy="430575"/>
        </a:xfrm>
      </xdr:grpSpPr>
      <xdr:sp>
        <xdr:nvSpPr>
          <xdr:cNvPr id="25" name="Ovale"/>
          <xdr:cNvSpPr/>
        </xdr:nvSpPr>
        <xdr:spPr>
          <a:xfrm>
            <a:off x="-1" y="0"/>
            <a:ext cx="484908" cy="430576"/>
          </a:xfrm>
          <a:prstGeom prst="ellipse">
            <a:avLst/>
          </a:prstGeom>
          <a:solidFill>
            <a:srgbClr val="FFFFFF"/>
          </a:solidFill>
          <a:ln w="12700" cap="flat">
            <a:noFill/>
            <a:miter lim="400000"/>
          </a:ln>
          <a:effectLst/>
        </xdr:spPr>
        <xdr:txBody>
          <a:bodyPr/>
          <a:lstStyle/>
          <a:p>
            <a:pPr/>
          </a:p>
        </xdr:txBody>
      </xdr:sp>
      <xdr:sp>
        <xdr:nvSpPr>
          <xdr:cNvPr id="26" name="4"/>
          <xdr:cNvSpPr txBox="1"/>
        </xdr:nvSpPr>
        <xdr:spPr>
          <a:xfrm>
            <a:off x="104160" y="40221"/>
            <a:ext cx="276586" cy="350134"/>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0097CC"/>
                </a:solidFill>
                <a:uFillTx/>
                <a:latin typeface="Calibri"/>
                <a:ea typeface="Calibri"/>
                <a:cs typeface="Calibri"/>
                <a:sym typeface="Calibri"/>
              </a:defRPr>
            </a:pPr>
            <a:r>
              <a:rPr b="0" baseline="0" cap="none" i="0" spc="0" strike="noStrike" sz="2600" u="none">
                <a:solidFill>
                  <a:srgbClr val="0097CC"/>
                </a:solidFill>
                <a:uFillTx/>
                <a:latin typeface="Calibri"/>
                <a:ea typeface="Calibri"/>
                <a:cs typeface="Calibri"/>
                <a:sym typeface="Calibri"/>
              </a:rPr>
              <a:t>4</a:t>
            </a:r>
          </a:p>
        </xdr:txBody>
      </xdr:sp>
    </xdr:grpSp>
    <xdr:clientData/>
  </xdr:twoCellAnchor>
  <xdr:twoCellAnchor>
    <xdr:from>
      <xdr:col>2</xdr:col>
      <xdr:colOff>43188</xdr:colOff>
      <xdr:row>40</xdr:row>
      <xdr:rowOff>236585</xdr:rowOff>
    </xdr:from>
    <xdr:to>
      <xdr:col>3</xdr:col>
      <xdr:colOff>235994</xdr:colOff>
      <xdr:row>41</xdr:row>
      <xdr:rowOff>399523</xdr:rowOff>
    </xdr:to>
    <xdr:grpSp>
      <xdr:nvGrpSpPr>
        <xdr:cNvPr id="30" name="Ellipse 22"/>
        <xdr:cNvGrpSpPr/>
      </xdr:nvGrpSpPr>
      <xdr:grpSpPr>
        <a:xfrm>
          <a:off x="627388" y="17069165"/>
          <a:ext cx="484907" cy="429639"/>
          <a:chOff x="0" y="0"/>
          <a:chExt cx="484906" cy="429637"/>
        </a:xfrm>
      </xdr:grpSpPr>
      <xdr:sp>
        <xdr:nvSpPr>
          <xdr:cNvPr id="28" name="Ovale"/>
          <xdr:cNvSpPr/>
        </xdr:nvSpPr>
        <xdr:spPr>
          <a:xfrm>
            <a:off x="-1" y="0"/>
            <a:ext cx="484908" cy="429638"/>
          </a:xfrm>
          <a:prstGeom prst="ellipse">
            <a:avLst/>
          </a:prstGeom>
          <a:solidFill>
            <a:srgbClr val="FFFFFF"/>
          </a:solidFill>
          <a:ln w="12700" cap="flat">
            <a:noFill/>
            <a:miter lim="400000"/>
          </a:ln>
          <a:effectLst/>
        </xdr:spPr>
        <xdr:txBody>
          <a:bodyPr/>
          <a:lstStyle/>
          <a:p>
            <a:pPr/>
          </a:p>
        </xdr:txBody>
      </xdr:sp>
      <xdr:sp>
        <xdr:nvSpPr>
          <xdr:cNvPr id="29" name="5"/>
          <xdr:cNvSpPr txBox="1"/>
        </xdr:nvSpPr>
        <xdr:spPr>
          <a:xfrm>
            <a:off x="104160" y="40134"/>
            <a:ext cx="276586" cy="349370"/>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1C3D79"/>
                </a:solidFill>
                <a:uFillTx/>
                <a:latin typeface="Calibri"/>
                <a:ea typeface="Calibri"/>
                <a:cs typeface="Calibri"/>
                <a:sym typeface="Calibri"/>
              </a:defRPr>
            </a:pPr>
            <a:r>
              <a:rPr b="0" baseline="0" cap="none" i="0" spc="0" strike="noStrike" sz="2600" u="none">
                <a:solidFill>
                  <a:srgbClr val="1C3D79"/>
                </a:solidFill>
                <a:uFillTx/>
                <a:latin typeface="Calibri"/>
                <a:ea typeface="Calibri"/>
                <a:cs typeface="Calibri"/>
                <a:sym typeface="Calibri"/>
              </a:rPr>
              <a:t>5</a:t>
            </a:r>
          </a:p>
        </xdr:txBody>
      </xdr:sp>
    </xdr:grpSp>
    <xdr:clientData/>
  </xdr:twoCellAnchor>
  <xdr:twoCellAnchor>
    <xdr:from>
      <xdr:col>2</xdr:col>
      <xdr:colOff>43188</xdr:colOff>
      <xdr:row>49</xdr:row>
      <xdr:rowOff>39116</xdr:rowOff>
    </xdr:from>
    <xdr:to>
      <xdr:col>3</xdr:col>
      <xdr:colOff>235994</xdr:colOff>
      <xdr:row>49</xdr:row>
      <xdr:rowOff>467422</xdr:rowOff>
    </xdr:to>
    <xdr:grpSp>
      <xdr:nvGrpSpPr>
        <xdr:cNvPr id="33" name="Ellipse 23"/>
        <xdr:cNvGrpSpPr/>
      </xdr:nvGrpSpPr>
      <xdr:grpSpPr>
        <a:xfrm>
          <a:off x="627388" y="20635976"/>
          <a:ext cx="484907" cy="428307"/>
          <a:chOff x="0" y="0"/>
          <a:chExt cx="484906" cy="428306"/>
        </a:xfrm>
      </xdr:grpSpPr>
      <xdr:sp>
        <xdr:nvSpPr>
          <xdr:cNvPr id="31" name="Ovale"/>
          <xdr:cNvSpPr/>
        </xdr:nvSpPr>
        <xdr:spPr>
          <a:xfrm>
            <a:off x="-1" y="-1"/>
            <a:ext cx="484908" cy="428308"/>
          </a:xfrm>
          <a:prstGeom prst="ellipse">
            <a:avLst/>
          </a:prstGeom>
          <a:solidFill>
            <a:srgbClr val="FFFFFF"/>
          </a:solidFill>
          <a:ln w="12700" cap="flat">
            <a:noFill/>
            <a:miter lim="400000"/>
          </a:ln>
          <a:effectLst/>
        </xdr:spPr>
        <xdr:txBody>
          <a:bodyPr/>
          <a:lstStyle/>
          <a:p>
            <a:pPr/>
          </a:p>
        </xdr:txBody>
      </xdr:sp>
      <xdr:sp>
        <xdr:nvSpPr>
          <xdr:cNvPr id="32" name="6"/>
          <xdr:cNvSpPr txBox="1"/>
        </xdr:nvSpPr>
        <xdr:spPr>
          <a:xfrm>
            <a:off x="104160" y="40009"/>
            <a:ext cx="276586" cy="348287"/>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1C3D79"/>
                </a:solidFill>
                <a:uFillTx/>
                <a:latin typeface="Calibri"/>
                <a:ea typeface="Calibri"/>
                <a:cs typeface="Calibri"/>
                <a:sym typeface="Calibri"/>
              </a:defRPr>
            </a:pPr>
            <a:r>
              <a:rPr b="0" baseline="0" cap="none" i="0" spc="0" strike="noStrike" sz="2600" u="none">
                <a:solidFill>
                  <a:srgbClr val="1C3D79"/>
                </a:solidFill>
                <a:uFillTx/>
                <a:latin typeface="Calibri"/>
                <a:ea typeface="Calibri"/>
                <a:cs typeface="Calibri"/>
                <a:sym typeface="Calibri"/>
              </a:rPr>
              <a:t>6</a:t>
            </a:r>
          </a:p>
        </xdr:txBody>
      </xdr:sp>
    </xdr:grpSp>
    <xdr:clientData/>
  </xdr:twoCellAnchor>
  <xdr:twoCellAnchor>
    <xdr:from>
      <xdr:col>2</xdr:col>
      <xdr:colOff>43188</xdr:colOff>
      <xdr:row>56</xdr:row>
      <xdr:rowOff>291984</xdr:rowOff>
    </xdr:from>
    <xdr:to>
      <xdr:col>3</xdr:col>
      <xdr:colOff>235994</xdr:colOff>
      <xdr:row>57</xdr:row>
      <xdr:rowOff>355860</xdr:rowOff>
    </xdr:to>
    <xdr:grpSp>
      <xdr:nvGrpSpPr>
        <xdr:cNvPr id="36" name="Ellipse 24"/>
        <xdr:cNvGrpSpPr/>
      </xdr:nvGrpSpPr>
      <xdr:grpSpPr>
        <a:xfrm>
          <a:off x="627388" y="24584544"/>
          <a:ext cx="484907" cy="429637"/>
          <a:chOff x="0" y="0"/>
          <a:chExt cx="484906" cy="429635"/>
        </a:xfrm>
      </xdr:grpSpPr>
      <xdr:sp>
        <xdr:nvSpPr>
          <xdr:cNvPr id="34" name="Ovale"/>
          <xdr:cNvSpPr/>
        </xdr:nvSpPr>
        <xdr:spPr>
          <a:xfrm>
            <a:off x="-1" y="0"/>
            <a:ext cx="484908" cy="429636"/>
          </a:xfrm>
          <a:prstGeom prst="ellipse">
            <a:avLst/>
          </a:prstGeom>
          <a:solidFill>
            <a:srgbClr val="FFFFFF"/>
          </a:solidFill>
          <a:ln w="12700" cap="flat">
            <a:noFill/>
            <a:miter lim="400000"/>
          </a:ln>
          <a:effectLst/>
        </xdr:spPr>
        <xdr:txBody>
          <a:bodyPr/>
          <a:lstStyle/>
          <a:p>
            <a:pPr/>
          </a:p>
        </xdr:txBody>
      </xdr:sp>
      <xdr:sp>
        <xdr:nvSpPr>
          <xdr:cNvPr id="35" name="7"/>
          <xdr:cNvSpPr txBox="1"/>
        </xdr:nvSpPr>
        <xdr:spPr>
          <a:xfrm>
            <a:off x="104160" y="40134"/>
            <a:ext cx="276586" cy="349367"/>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1C3D79"/>
                </a:solidFill>
                <a:uFillTx/>
                <a:latin typeface="Calibri"/>
                <a:ea typeface="Calibri"/>
                <a:cs typeface="Calibri"/>
                <a:sym typeface="Calibri"/>
              </a:defRPr>
            </a:pPr>
            <a:r>
              <a:rPr b="0" baseline="0" cap="none" i="0" spc="0" strike="noStrike" sz="2600" u="none">
                <a:solidFill>
                  <a:srgbClr val="1C3D79"/>
                </a:solidFill>
                <a:uFillTx/>
                <a:latin typeface="Calibri"/>
                <a:ea typeface="Calibri"/>
                <a:cs typeface="Calibri"/>
                <a:sym typeface="Calibri"/>
              </a:rPr>
              <a:t>7</a:t>
            </a:r>
          </a:p>
        </xdr:txBody>
      </xdr:sp>
    </xdr:grpSp>
    <xdr:clientData/>
  </xdr:twoCellAnchor>
  <xdr:twoCellAnchor>
    <xdr:from>
      <xdr:col>2</xdr:col>
      <xdr:colOff>43188</xdr:colOff>
      <xdr:row>65</xdr:row>
      <xdr:rowOff>131733</xdr:rowOff>
    </xdr:from>
    <xdr:to>
      <xdr:col>3</xdr:col>
      <xdr:colOff>235994</xdr:colOff>
      <xdr:row>66</xdr:row>
      <xdr:rowOff>3269</xdr:rowOff>
    </xdr:to>
    <xdr:grpSp>
      <xdr:nvGrpSpPr>
        <xdr:cNvPr id="39" name="Ellipse 25"/>
        <xdr:cNvGrpSpPr/>
      </xdr:nvGrpSpPr>
      <xdr:grpSpPr>
        <a:xfrm>
          <a:off x="627388" y="28203813"/>
          <a:ext cx="484907" cy="420177"/>
          <a:chOff x="0" y="0"/>
          <a:chExt cx="484906" cy="420176"/>
        </a:xfrm>
      </xdr:grpSpPr>
      <xdr:sp>
        <xdr:nvSpPr>
          <xdr:cNvPr id="37" name="Ovale"/>
          <xdr:cNvSpPr/>
        </xdr:nvSpPr>
        <xdr:spPr>
          <a:xfrm>
            <a:off x="-1" y="-1"/>
            <a:ext cx="484908" cy="420178"/>
          </a:xfrm>
          <a:prstGeom prst="ellipse">
            <a:avLst/>
          </a:prstGeom>
          <a:solidFill>
            <a:srgbClr val="FFFFFF"/>
          </a:solidFill>
          <a:ln w="12700" cap="flat">
            <a:noFill/>
            <a:miter lim="400000"/>
          </a:ln>
          <a:effectLst/>
        </xdr:spPr>
        <xdr:txBody>
          <a:bodyPr/>
          <a:lstStyle/>
          <a:p>
            <a:pPr/>
          </a:p>
        </xdr:txBody>
      </xdr:sp>
      <xdr:sp>
        <xdr:nvSpPr>
          <xdr:cNvPr id="38" name="8"/>
          <xdr:cNvSpPr txBox="1"/>
        </xdr:nvSpPr>
        <xdr:spPr>
          <a:xfrm>
            <a:off x="104160" y="39249"/>
            <a:ext cx="276586" cy="341677"/>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1C3D79"/>
                </a:solidFill>
                <a:uFillTx/>
                <a:latin typeface="Calibri"/>
                <a:ea typeface="Calibri"/>
                <a:cs typeface="Calibri"/>
                <a:sym typeface="Calibri"/>
              </a:defRPr>
            </a:pPr>
            <a:r>
              <a:rPr b="0" baseline="0" cap="none" i="0" spc="0" strike="noStrike" sz="2600" u="none">
                <a:solidFill>
                  <a:srgbClr val="1C3D79"/>
                </a:solidFill>
                <a:uFillTx/>
                <a:latin typeface="Calibri"/>
                <a:ea typeface="Calibri"/>
                <a:cs typeface="Calibri"/>
                <a:sym typeface="Calibri"/>
              </a:rPr>
              <a:t>8</a:t>
            </a:r>
          </a:p>
        </xdr:txBody>
      </xdr:sp>
    </xdr:grpSp>
    <xdr:clientData/>
  </xdr:twoCellAnchor>
  <xdr:twoCellAnchor>
    <xdr:from>
      <xdr:col>2</xdr:col>
      <xdr:colOff>43188</xdr:colOff>
      <xdr:row>72</xdr:row>
      <xdr:rowOff>287157</xdr:rowOff>
    </xdr:from>
    <xdr:to>
      <xdr:col>3</xdr:col>
      <xdr:colOff>235994</xdr:colOff>
      <xdr:row>74</xdr:row>
      <xdr:rowOff>83595</xdr:rowOff>
    </xdr:to>
    <xdr:grpSp>
      <xdr:nvGrpSpPr>
        <xdr:cNvPr id="42" name="Ellipse 26"/>
        <xdr:cNvGrpSpPr/>
      </xdr:nvGrpSpPr>
      <xdr:grpSpPr>
        <a:xfrm>
          <a:off x="627388" y="31125297"/>
          <a:ext cx="484907" cy="428899"/>
          <a:chOff x="0" y="0"/>
          <a:chExt cx="484906" cy="428897"/>
        </a:xfrm>
      </xdr:grpSpPr>
      <xdr:sp>
        <xdr:nvSpPr>
          <xdr:cNvPr id="40" name="Ovale"/>
          <xdr:cNvSpPr/>
        </xdr:nvSpPr>
        <xdr:spPr>
          <a:xfrm>
            <a:off x="-1" y="0"/>
            <a:ext cx="484908" cy="428898"/>
          </a:xfrm>
          <a:prstGeom prst="ellipse">
            <a:avLst/>
          </a:prstGeom>
          <a:solidFill>
            <a:srgbClr val="FFFFFF"/>
          </a:solidFill>
          <a:ln w="12700" cap="flat">
            <a:noFill/>
            <a:miter lim="400000"/>
          </a:ln>
          <a:effectLst/>
        </xdr:spPr>
        <xdr:txBody>
          <a:bodyPr/>
          <a:lstStyle/>
          <a:p>
            <a:pPr/>
          </a:p>
        </xdr:txBody>
      </xdr:sp>
      <xdr:sp>
        <xdr:nvSpPr>
          <xdr:cNvPr id="41" name="9"/>
          <xdr:cNvSpPr txBox="1"/>
        </xdr:nvSpPr>
        <xdr:spPr>
          <a:xfrm>
            <a:off x="104160" y="40065"/>
            <a:ext cx="276586" cy="348767"/>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1C3D79"/>
                </a:solidFill>
                <a:uFillTx/>
                <a:latin typeface="Calibri"/>
                <a:ea typeface="Calibri"/>
                <a:cs typeface="Calibri"/>
                <a:sym typeface="Calibri"/>
              </a:defRPr>
            </a:pPr>
            <a:r>
              <a:rPr b="0" baseline="0" cap="none" i="0" spc="0" strike="noStrike" sz="2600" u="none">
                <a:solidFill>
                  <a:srgbClr val="1C3D79"/>
                </a:solidFill>
                <a:uFillTx/>
                <a:latin typeface="Calibri"/>
                <a:ea typeface="Calibri"/>
                <a:cs typeface="Calibri"/>
                <a:sym typeface="Calibri"/>
              </a:rPr>
              <a:t>9</a:t>
            </a:r>
          </a:p>
        </xdr:txBody>
      </xdr:sp>
    </xdr:grpSp>
    <xdr:clientData/>
  </xdr:twoCellAnchor>
  <xdr:twoCellAnchor>
    <xdr:from>
      <xdr:col>2</xdr:col>
      <xdr:colOff>43188</xdr:colOff>
      <xdr:row>80</xdr:row>
      <xdr:rowOff>142969</xdr:rowOff>
    </xdr:from>
    <xdr:to>
      <xdr:col>3</xdr:col>
      <xdr:colOff>235994</xdr:colOff>
      <xdr:row>81</xdr:row>
      <xdr:rowOff>24293</xdr:rowOff>
    </xdr:to>
    <xdr:sp>
      <xdr:nvSpPr>
        <xdr:cNvPr id="43" name="Ellipse 27"/>
        <xdr:cNvSpPr/>
      </xdr:nvSpPr>
      <xdr:spPr>
        <a:xfrm>
          <a:off x="627388" y="33930049"/>
          <a:ext cx="484907" cy="429965"/>
        </a:xfrm>
        <a:prstGeom prst="ellipse">
          <a:avLst/>
        </a:prstGeom>
        <a:solidFill>
          <a:srgbClr val="FFFFFF"/>
        </a:solidFill>
        <a:ln w="12700" cap="flat">
          <a:noFill/>
          <a:miter lim="400000"/>
        </a:ln>
        <a:effectLst/>
      </xdr:spPr>
      <xdr:txBody>
        <a:bodyPr/>
        <a:lstStyle/>
        <a:p>
          <a:pPr/>
        </a:p>
      </xdr:txBody>
    </xdr:sp>
    <xdr:clientData/>
  </xdr:twoCellAnchor>
  <xdr:twoCellAnchor>
    <xdr:from>
      <xdr:col>2</xdr:col>
      <xdr:colOff>18547</xdr:colOff>
      <xdr:row>80</xdr:row>
      <xdr:rowOff>34939</xdr:rowOff>
    </xdr:from>
    <xdr:to>
      <xdr:col>3</xdr:col>
      <xdr:colOff>242381</xdr:colOff>
      <xdr:row>81</xdr:row>
      <xdr:rowOff>124823</xdr:rowOff>
    </xdr:to>
    <xdr:sp>
      <xdr:nvSpPr>
        <xdr:cNvPr id="44" name="Ellipse 28"/>
        <xdr:cNvSpPr txBox="1"/>
      </xdr:nvSpPr>
      <xdr:spPr>
        <a:xfrm>
          <a:off x="602747" y="33822019"/>
          <a:ext cx="515935" cy="638525"/>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400" u="none">
              <a:solidFill>
                <a:srgbClr val="45413F"/>
              </a:solidFill>
              <a:uFillTx/>
              <a:latin typeface="Calibri"/>
              <a:ea typeface="Calibri"/>
              <a:cs typeface="Calibri"/>
              <a:sym typeface="Calibri"/>
            </a:defRPr>
          </a:pPr>
          <a:r>
            <a:rPr b="0" baseline="0" cap="none" i="0" spc="0" strike="noStrike" sz="2400" u="none">
              <a:solidFill>
                <a:srgbClr val="45413F"/>
              </a:solidFill>
              <a:uFillTx/>
              <a:latin typeface="Calibri"/>
              <a:ea typeface="Calibri"/>
              <a:cs typeface="Calibri"/>
              <a:sym typeface="Calibri"/>
            </a:rPr>
            <a:t>10</a:t>
          </a:r>
        </a:p>
      </xdr:txBody>
    </xdr:sp>
    <xdr:clientData/>
  </xdr:twoCellAnchor>
  <xdr:twoCellAnchor>
    <xdr:from>
      <xdr:col>2</xdr:col>
      <xdr:colOff>43188</xdr:colOff>
      <xdr:row>88</xdr:row>
      <xdr:rowOff>424816</xdr:rowOff>
    </xdr:from>
    <xdr:to>
      <xdr:col>3</xdr:col>
      <xdr:colOff>235994</xdr:colOff>
      <xdr:row>89</xdr:row>
      <xdr:rowOff>300002</xdr:rowOff>
    </xdr:to>
    <xdr:sp>
      <xdr:nvSpPr>
        <xdr:cNvPr id="45" name="Ellipse 29"/>
        <xdr:cNvSpPr/>
      </xdr:nvSpPr>
      <xdr:spPr>
        <a:xfrm>
          <a:off x="627388" y="37206556"/>
          <a:ext cx="484907" cy="423827"/>
        </a:xfrm>
        <a:prstGeom prst="ellipse">
          <a:avLst/>
        </a:prstGeom>
        <a:solidFill>
          <a:srgbClr val="FFFFFF"/>
        </a:solidFill>
        <a:ln w="12700" cap="flat">
          <a:noFill/>
          <a:miter lim="400000"/>
        </a:ln>
        <a:effectLst/>
      </xdr:spPr>
      <xdr:txBody>
        <a:bodyPr/>
        <a:lstStyle/>
        <a:p>
          <a:pPr/>
        </a:p>
      </xdr:txBody>
    </xdr:sp>
    <xdr:clientData/>
  </xdr:twoCellAnchor>
  <xdr:twoCellAnchor>
    <xdr:from>
      <xdr:col>2</xdr:col>
      <xdr:colOff>43188</xdr:colOff>
      <xdr:row>97</xdr:row>
      <xdr:rowOff>194814</xdr:rowOff>
    </xdr:from>
    <xdr:to>
      <xdr:col>3</xdr:col>
      <xdr:colOff>235994</xdr:colOff>
      <xdr:row>97</xdr:row>
      <xdr:rowOff>626878</xdr:rowOff>
    </xdr:to>
    <xdr:sp>
      <xdr:nvSpPr>
        <xdr:cNvPr id="46" name="Ellipse 30"/>
        <xdr:cNvSpPr/>
      </xdr:nvSpPr>
      <xdr:spPr>
        <a:xfrm>
          <a:off x="627388" y="40855134"/>
          <a:ext cx="484907" cy="432065"/>
        </a:xfrm>
        <a:prstGeom prst="ellipse">
          <a:avLst/>
        </a:prstGeom>
        <a:solidFill>
          <a:srgbClr val="FFFFFF"/>
        </a:solidFill>
        <a:ln w="12700" cap="flat">
          <a:noFill/>
          <a:miter lim="400000"/>
        </a:ln>
        <a:effectLst/>
      </xdr:spPr>
      <xdr:txBody>
        <a:bodyPr/>
        <a:lstStyle/>
        <a:p>
          <a:pPr/>
        </a:p>
      </xdr:txBody>
    </xdr:sp>
    <xdr:clientData/>
  </xdr:twoCellAnchor>
  <xdr:twoCellAnchor>
    <xdr:from>
      <xdr:col>2</xdr:col>
      <xdr:colOff>18968</xdr:colOff>
      <xdr:row>88</xdr:row>
      <xdr:rowOff>205116</xdr:rowOff>
    </xdr:from>
    <xdr:to>
      <xdr:col>3</xdr:col>
      <xdr:colOff>220568</xdr:colOff>
      <xdr:row>90</xdr:row>
      <xdr:rowOff>128681</xdr:rowOff>
    </xdr:to>
    <xdr:sp>
      <xdr:nvSpPr>
        <xdr:cNvPr id="47" name="Ellipse 31"/>
        <xdr:cNvSpPr txBox="1"/>
      </xdr:nvSpPr>
      <xdr:spPr>
        <a:xfrm>
          <a:off x="603168" y="36986856"/>
          <a:ext cx="493701" cy="837966"/>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400" u="none">
              <a:solidFill>
                <a:srgbClr val="45413F"/>
              </a:solidFill>
              <a:uFillTx/>
              <a:latin typeface="Calibri"/>
              <a:ea typeface="Calibri"/>
              <a:cs typeface="Calibri"/>
              <a:sym typeface="Calibri"/>
            </a:defRPr>
          </a:pPr>
          <a:r>
            <a:rPr b="0" baseline="0" cap="none" i="0" spc="0" strike="noStrike" sz="2400" u="none">
              <a:solidFill>
                <a:srgbClr val="45413F"/>
              </a:solidFill>
              <a:uFillTx/>
              <a:latin typeface="Calibri"/>
              <a:ea typeface="Calibri"/>
              <a:cs typeface="Calibri"/>
              <a:sym typeface="Calibri"/>
            </a:rPr>
            <a:t>11</a:t>
          </a:r>
        </a:p>
      </xdr:txBody>
    </xdr:sp>
    <xdr:clientData/>
  </xdr:twoCellAnchor>
  <xdr:twoCellAnchor>
    <xdr:from>
      <xdr:col>2</xdr:col>
      <xdr:colOff>43188</xdr:colOff>
      <xdr:row>104</xdr:row>
      <xdr:rowOff>133180</xdr:rowOff>
    </xdr:from>
    <xdr:to>
      <xdr:col>3</xdr:col>
      <xdr:colOff>235994</xdr:colOff>
      <xdr:row>105</xdr:row>
      <xdr:rowOff>295040</xdr:rowOff>
    </xdr:to>
    <xdr:sp>
      <xdr:nvSpPr>
        <xdr:cNvPr id="48" name="Ellipse 32"/>
        <xdr:cNvSpPr/>
      </xdr:nvSpPr>
      <xdr:spPr>
        <a:xfrm>
          <a:off x="627388" y="43841500"/>
          <a:ext cx="484907" cy="428561"/>
        </a:xfrm>
        <a:prstGeom prst="ellipse">
          <a:avLst/>
        </a:prstGeom>
        <a:solidFill>
          <a:srgbClr val="FFFFFF"/>
        </a:solidFill>
        <a:ln w="12700" cap="flat">
          <a:noFill/>
          <a:miter lim="400000"/>
        </a:ln>
        <a:effectLst/>
      </xdr:spPr>
      <xdr:txBody>
        <a:bodyPr/>
        <a:lstStyle/>
        <a:p>
          <a:pPr/>
        </a:p>
      </xdr:txBody>
    </xdr:sp>
    <xdr:clientData/>
  </xdr:twoCellAnchor>
  <xdr:twoCellAnchor>
    <xdr:from>
      <xdr:col>2</xdr:col>
      <xdr:colOff>8208</xdr:colOff>
      <xdr:row>96</xdr:row>
      <xdr:rowOff>429993</xdr:rowOff>
    </xdr:from>
    <xdr:to>
      <xdr:col>3</xdr:col>
      <xdr:colOff>229294</xdr:colOff>
      <xdr:row>98</xdr:row>
      <xdr:rowOff>217338</xdr:rowOff>
    </xdr:to>
    <xdr:sp>
      <xdr:nvSpPr>
        <xdr:cNvPr id="49" name="Ellipse 33"/>
        <xdr:cNvSpPr txBox="1"/>
      </xdr:nvSpPr>
      <xdr:spPr>
        <a:xfrm>
          <a:off x="592408" y="40541672"/>
          <a:ext cx="513187" cy="1067507"/>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400" u="none">
              <a:solidFill>
                <a:srgbClr val="45413F"/>
              </a:solidFill>
              <a:uFillTx/>
              <a:latin typeface="Calibri"/>
              <a:ea typeface="Calibri"/>
              <a:cs typeface="Calibri"/>
              <a:sym typeface="Calibri"/>
            </a:defRPr>
          </a:pPr>
          <a:r>
            <a:rPr b="0" baseline="0" cap="none" i="0" spc="0" strike="noStrike" sz="2400" u="none">
              <a:solidFill>
                <a:srgbClr val="45413F"/>
              </a:solidFill>
              <a:uFillTx/>
              <a:latin typeface="Calibri"/>
              <a:ea typeface="Calibri"/>
              <a:cs typeface="Calibri"/>
              <a:sym typeface="Calibri"/>
            </a:rPr>
            <a:t>12</a:t>
          </a:r>
        </a:p>
      </xdr:txBody>
    </xdr:sp>
    <xdr:clientData/>
  </xdr:twoCellAnchor>
  <xdr:twoCellAnchor>
    <xdr:from>
      <xdr:col>2</xdr:col>
      <xdr:colOff>16096</xdr:colOff>
      <xdr:row>104</xdr:row>
      <xdr:rowOff>88971</xdr:rowOff>
    </xdr:from>
    <xdr:to>
      <xdr:col>3</xdr:col>
      <xdr:colOff>235735</xdr:colOff>
      <xdr:row>105</xdr:row>
      <xdr:rowOff>334555</xdr:rowOff>
    </xdr:to>
    <xdr:sp>
      <xdr:nvSpPr>
        <xdr:cNvPr id="50" name="Ellipse 34"/>
        <xdr:cNvSpPr txBox="1"/>
      </xdr:nvSpPr>
      <xdr:spPr>
        <a:xfrm>
          <a:off x="600296" y="43797291"/>
          <a:ext cx="511740" cy="512285"/>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400" u="none">
              <a:solidFill>
                <a:srgbClr val="45413F"/>
              </a:solidFill>
              <a:uFillTx/>
              <a:latin typeface="Calibri"/>
              <a:ea typeface="Calibri"/>
              <a:cs typeface="Calibri"/>
              <a:sym typeface="Calibri"/>
            </a:defRPr>
          </a:pPr>
          <a:r>
            <a:rPr b="0" baseline="0" cap="none" i="0" spc="0" strike="noStrike" sz="2400" u="none">
              <a:solidFill>
                <a:srgbClr val="45413F"/>
              </a:solidFill>
              <a:uFillTx/>
              <a:latin typeface="Calibri"/>
              <a:ea typeface="Calibri"/>
              <a:cs typeface="Calibri"/>
              <a:sym typeface="Calibri"/>
            </a:rPr>
            <a:t>13</a:t>
          </a:r>
        </a:p>
      </xdr:txBody>
    </xdr:sp>
    <xdr:clientData/>
  </xdr:twoCellAnchor>
</xdr:wsDr>
</file>

<file path=xl/drawings/drawing20.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6</xdr:col>
      <xdr:colOff>1020795</xdr:colOff>
      <xdr:row>21</xdr:row>
      <xdr:rowOff>158147</xdr:rowOff>
    </xdr:from>
    <xdr:to>
      <xdr:col>6</xdr:col>
      <xdr:colOff>4084670</xdr:colOff>
      <xdr:row>22</xdr:row>
      <xdr:rowOff>183688</xdr:rowOff>
    </xdr:to>
    <xdr:grpSp>
      <xdr:nvGrpSpPr>
        <xdr:cNvPr id="655" name="Rectangle : coins arrondis 1"/>
        <xdr:cNvGrpSpPr/>
      </xdr:nvGrpSpPr>
      <xdr:grpSpPr>
        <a:xfrm>
          <a:off x="3865595" y="9393587"/>
          <a:ext cx="3063876" cy="665622"/>
          <a:chOff x="0" y="0"/>
          <a:chExt cx="3063875" cy="665621"/>
        </a:xfrm>
      </xdr:grpSpPr>
      <xdr:sp>
        <xdr:nvSpPr>
          <xdr:cNvPr id="653" name="Rectangle aux angles arrondis"/>
          <xdr:cNvSpPr/>
        </xdr:nvSpPr>
        <xdr:spPr>
          <a:xfrm>
            <a:off x="0" y="0"/>
            <a:ext cx="3063875" cy="665622"/>
          </a:xfrm>
          <a:prstGeom prst="roundRect">
            <a:avLst>
              <a:gd name="adj" fmla="val 16667"/>
            </a:avLst>
          </a:prstGeom>
          <a:solidFill>
            <a:srgbClr val="DEEBF7"/>
          </a:solidFill>
          <a:ln w="28575" cap="flat">
            <a:solidFill>
              <a:srgbClr val="C00000"/>
            </a:solidFill>
            <a:prstDash val="solid"/>
            <a:miter lim="800000"/>
          </a:ln>
          <a:effectLst>
            <a:outerShdw sx="100000" sy="100000" kx="0" ky="0" algn="b" rotWithShape="0" blurRad="63500" dist="0" dir="0">
              <a:srgbClr val="000000">
                <a:alpha val="40000"/>
              </a:srgbClr>
            </a:outerShdw>
          </a:effectLst>
        </xdr:spPr>
        <xdr:txBody>
          <a:bodyPr/>
          <a:lstStyle/>
          <a:p>
            <a:pPr/>
          </a:p>
        </xdr:txBody>
      </xdr:sp>
      <xdr:sp>
        <xdr:nvSpPr>
          <xdr:cNvPr id="654" name="Calculer la maturité"/>
          <xdr:cNvSpPr txBox="1"/>
        </xdr:nvSpPr>
        <xdr:spPr>
          <a:xfrm>
            <a:off x="73450" y="3876"/>
            <a:ext cx="2916975" cy="657869"/>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1" baseline="0" cap="none" i="0" spc="0" strike="noStrike" sz="1800" u="none">
                <a:solidFill>
                  <a:srgbClr val="C00000"/>
                </a:solidFill>
                <a:uFillTx/>
                <a:latin typeface="Aptos Light"/>
                <a:ea typeface="Aptos Light"/>
                <a:cs typeface="Aptos Light"/>
                <a:sym typeface="Aptos Light"/>
              </a:defRPr>
            </a:pPr>
            <a:r>
              <a:rPr b="1" baseline="0" cap="none" i="0" spc="0" strike="noStrike" sz="1800" u="none">
                <a:solidFill>
                  <a:srgbClr val="C00000"/>
                </a:solidFill>
                <a:uFillTx/>
                <a:latin typeface="Aptos Light"/>
                <a:ea typeface="Aptos Light"/>
                <a:cs typeface="Aptos Light"/>
                <a:sym typeface="Aptos Light"/>
              </a:rPr>
              <a:t>Calculer la maturité</a:t>
            </a:r>
          </a:p>
        </xdr:txBody>
      </xdr:sp>
    </xdr:grpSp>
    <xdr:clientData/>
  </xdr:twoCellAnchor>
</xdr:wsDr>
</file>

<file path=xl/drawings/drawing21.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9</xdr:col>
      <xdr:colOff>28574</xdr:colOff>
      <xdr:row>11</xdr:row>
      <xdr:rowOff>22859</xdr:rowOff>
    </xdr:from>
    <xdr:to>
      <xdr:col>9</xdr:col>
      <xdr:colOff>4500553</xdr:colOff>
      <xdr:row>11</xdr:row>
      <xdr:rowOff>1651634</xdr:rowOff>
    </xdr:to>
    <xdr:sp>
      <xdr:nvSpPr>
        <xdr:cNvPr id="657" name="ZoneTexte 1"/>
        <xdr:cNvSpPr/>
      </xdr:nvSpPr>
      <xdr:spPr>
        <a:xfrm>
          <a:off x="7648574" y="3398519"/>
          <a:ext cx="4471980" cy="162877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12</xdr:row>
      <xdr:rowOff>57149</xdr:rowOff>
    </xdr:from>
    <xdr:to>
      <xdr:col>9</xdr:col>
      <xdr:colOff>4529666</xdr:colOff>
      <xdr:row>12</xdr:row>
      <xdr:rowOff>1651633</xdr:rowOff>
    </xdr:to>
    <xdr:sp>
      <xdr:nvSpPr>
        <xdr:cNvPr id="658" name="ZoneTexte 1"/>
        <xdr:cNvSpPr/>
      </xdr:nvSpPr>
      <xdr:spPr>
        <a:xfrm>
          <a:off x="7648574" y="5084444"/>
          <a:ext cx="4501093" cy="1594485"/>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13</xdr:row>
      <xdr:rowOff>15674</xdr:rowOff>
    </xdr:from>
    <xdr:to>
      <xdr:col>9</xdr:col>
      <xdr:colOff>4500553</xdr:colOff>
      <xdr:row>13</xdr:row>
      <xdr:rowOff>1651633</xdr:rowOff>
    </xdr:to>
    <xdr:sp>
      <xdr:nvSpPr>
        <xdr:cNvPr id="659" name="ZoneTexte 1"/>
        <xdr:cNvSpPr/>
      </xdr:nvSpPr>
      <xdr:spPr>
        <a:xfrm>
          <a:off x="7648574" y="6694604"/>
          <a:ext cx="4471980" cy="1635960"/>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10635</xdr:colOff>
      <xdr:row>14</xdr:row>
      <xdr:rowOff>22858</xdr:rowOff>
    </xdr:from>
    <xdr:to>
      <xdr:col>9</xdr:col>
      <xdr:colOff>4529350</xdr:colOff>
      <xdr:row>15</xdr:row>
      <xdr:rowOff>422696</xdr:rowOff>
    </xdr:to>
    <xdr:sp>
      <xdr:nvSpPr>
        <xdr:cNvPr id="660" name="ZoneTexte 1"/>
        <xdr:cNvSpPr/>
      </xdr:nvSpPr>
      <xdr:spPr>
        <a:xfrm>
          <a:off x="7630635" y="8353423"/>
          <a:ext cx="4518715" cy="2051474"/>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10952</xdr:colOff>
      <xdr:row>15</xdr:row>
      <xdr:rowOff>19738</xdr:rowOff>
    </xdr:from>
    <xdr:to>
      <xdr:col>9</xdr:col>
      <xdr:colOff>4529667</xdr:colOff>
      <xdr:row>15</xdr:row>
      <xdr:rowOff>1621737</xdr:rowOff>
    </xdr:to>
    <xdr:sp>
      <xdr:nvSpPr>
        <xdr:cNvPr id="661" name="ZoneTexte 1"/>
        <xdr:cNvSpPr/>
      </xdr:nvSpPr>
      <xdr:spPr>
        <a:xfrm>
          <a:off x="7630952" y="10001938"/>
          <a:ext cx="4518715" cy="1602000"/>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10952</xdr:colOff>
      <xdr:row>16</xdr:row>
      <xdr:rowOff>38467</xdr:rowOff>
    </xdr:from>
    <xdr:to>
      <xdr:col>9</xdr:col>
      <xdr:colOff>4529667</xdr:colOff>
      <xdr:row>16</xdr:row>
      <xdr:rowOff>1640467</xdr:rowOff>
    </xdr:to>
    <xdr:sp>
      <xdr:nvSpPr>
        <xdr:cNvPr id="662" name="ZoneTexte 1"/>
        <xdr:cNvSpPr/>
      </xdr:nvSpPr>
      <xdr:spPr>
        <a:xfrm>
          <a:off x="7630952" y="11672302"/>
          <a:ext cx="4518715" cy="160200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15715</xdr:colOff>
      <xdr:row>16</xdr:row>
      <xdr:rowOff>1651634</xdr:rowOff>
    </xdr:from>
    <xdr:to>
      <xdr:col>9</xdr:col>
      <xdr:colOff>4534430</xdr:colOff>
      <xdr:row>25</xdr:row>
      <xdr:rowOff>17038</xdr:rowOff>
    </xdr:to>
    <xdr:sp>
      <xdr:nvSpPr>
        <xdr:cNvPr id="663" name="ZoneTexte 1"/>
        <xdr:cNvSpPr/>
      </xdr:nvSpPr>
      <xdr:spPr>
        <a:xfrm>
          <a:off x="7635715" y="13285469"/>
          <a:ext cx="4518716" cy="1602000"/>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26</xdr:row>
      <xdr:rowOff>182882</xdr:rowOff>
    </xdr:from>
    <xdr:to>
      <xdr:col>9</xdr:col>
      <xdr:colOff>4519448</xdr:colOff>
      <xdr:row>27</xdr:row>
      <xdr:rowOff>1621157</xdr:rowOff>
    </xdr:to>
    <xdr:sp>
      <xdr:nvSpPr>
        <xdr:cNvPr id="664" name="ZoneTexte 1"/>
        <xdr:cNvSpPr/>
      </xdr:nvSpPr>
      <xdr:spPr>
        <a:xfrm>
          <a:off x="7648574" y="15472412"/>
          <a:ext cx="4490875" cy="162877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28</xdr:row>
      <xdr:rowOff>26672</xdr:rowOff>
    </xdr:from>
    <xdr:to>
      <xdr:col>9</xdr:col>
      <xdr:colOff>4466961</xdr:colOff>
      <xdr:row>28</xdr:row>
      <xdr:rowOff>1621157</xdr:rowOff>
    </xdr:to>
    <xdr:sp>
      <xdr:nvSpPr>
        <xdr:cNvPr id="665" name="ZoneTexte 1"/>
        <xdr:cNvSpPr/>
      </xdr:nvSpPr>
      <xdr:spPr>
        <a:xfrm>
          <a:off x="7648574" y="17158337"/>
          <a:ext cx="4438388" cy="159448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28</xdr:row>
      <xdr:rowOff>1636832</xdr:rowOff>
    </xdr:from>
    <xdr:to>
      <xdr:col>9</xdr:col>
      <xdr:colOff>4519448</xdr:colOff>
      <xdr:row>29</xdr:row>
      <xdr:rowOff>1621157</xdr:rowOff>
    </xdr:to>
    <xdr:sp>
      <xdr:nvSpPr>
        <xdr:cNvPr id="666" name="ZoneTexte 1"/>
        <xdr:cNvSpPr/>
      </xdr:nvSpPr>
      <xdr:spPr>
        <a:xfrm>
          <a:off x="7648574" y="18768497"/>
          <a:ext cx="4490875" cy="163596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10635</xdr:colOff>
      <xdr:row>29</xdr:row>
      <xdr:rowOff>1621158</xdr:rowOff>
    </xdr:from>
    <xdr:to>
      <xdr:col>9</xdr:col>
      <xdr:colOff>4548441</xdr:colOff>
      <xdr:row>41</xdr:row>
      <xdr:rowOff>15925</xdr:rowOff>
    </xdr:to>
    <xdr:sp>
      <xdr:nvSpPr>
        <xdr:cNvPr id="667" name="ZoneTexte 1"/>
        <xdr:cNvSpPr/>
      </xdr:nvSpPr>
      <xdr:spPr>
        <a:xfrm>
          <a:off x="7630635" y="20404458"/>
          <a:ext cx="4537807" cy="163136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10952</xdr:colOff>
      <xdr:row>29</xdr:row>
      <xdr:rowOff>1621158</xdr:rowOff>
    </xdr:from>
    <xdr:to>
      <xdr:col>9</xdr:col>
      <xdr:colOff>4548759</xdr:colOff>
      <xdr:row>40</xdr:row>
      <xdr:rowOff>177062</xdr:rowOff>
    </xdr:to>
    <xdr:sp>
      <xdr:nvSpPr>
        <xdr:cNvPr id="668" name="ZoneTexte 1"/>
        <xdr:cNvSpPr/>
      </xdr:nvSpPr>
      <xdr:spPr>
        <a:xfrm>
          <a:off x="7630952" y="20404458"/>
          <a:ext cx="4537807" cy="1602000"/>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10952</xdr:colOff>
      <xdr:row>29</xdr:row>
      <xdr:rowOff>1621158</xdr:rowOff>
    </xdr:from>
    <xdr:to>
      <xdr:col>9</xdr:col>
      <xdr:colOff>4548759</xdr:colOff>
      <xdr:row>40</xdr:row>
      <xdr:rowOff>177064</xdr:rowOff>
    </xdr:to>
    <xdr:sp>
      <xdr:nvSpPr>
        <xdr:cNvPr id="669" name="ZoneTexte 1"/>
        <xdr:cNvSpPr/>
      </xdr:nvSpPr>
      <xdr:spPr>
        <a:xfrm>
          <a:off x="7630952" y="20404458"/>
          <a:ext cx="4537807" cy="1602002"/>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15716</xdr:colOff>
      <xdr:row>29</xdr:row>
      <xdr:rowOff>1621158</xdr:rowOff>
    </xdr:from>
    <xdr:to>
      <xdr:col>9</xdr:col>
      <xdr:colOff>4553522</xdr:colOff>
      <xdr:row>40</xdr:row>
      <xdr:rowOff>177061</xdr:rowOff>
    </xdr:to>
    <xdr:sp>
      <xdr:nvSpPr>
        <xdr:cNvPr id="670" name="ZoneTexte 1"/>
        <xdr:cNvSpPr/>
      </xdr:nvSpPr>
      <xdr:spPr>
        <a:xfrm>
          <a:off x="7635716" y="20404458"/>
          <a:ext cx="4537807" cy="1601999"/>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42</xdr:row>
      <xdr:rowOff>152405</xdr:rowOff>
    </xdr:from>
    <xdr:to>
      <xdr:col>9</xdr:col>
      <xdr:colOff>2636519</xdr:colOff>
      <xdr:row>43</xdr:row>
      <xdr:rowOff>1590680</xdr:rowOff>
    </xdr:to>
    <xdr:sp>
      <xdr:nvSpPr>
        <xdr:cNvPr id="671" name="ZoneTexte 1"/>
        <xdr:cNvSpPr/>
      </xdr:nvSpPr>
      <xdr:spPr>
        <a:xfrm>
          <a:off x="7648574" y="22591400"/>
          <a:ext cx="2607946" cy="162877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42</xdr:row>
      <xdr:rowOff>152405</xdr:rowOff>
    </xdr:from>
    <xdr:to>
      <xdr:col>9</xdr:col>
      <xdr:colOff>4542761</xdr:colOff>
      <xdr:row>43</xdr:row>
      <xdr:rowOff>1590680</xdr:rowOff>
    </xdr:to>
    <xdr:sp>
      <xdr:nvSpPr>
        <xdr:cNvPr id="672" name="ZoneTexte 1"/>
        <xdr:cNvSpPr/>
      </xdr:nvSpPr>
      <xdr:spPr>
        <a:xfrm>
          <a:off x="7648574" y="22591400"/>
          <a:ext cx="4514188" cy="162877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43</xdr:row>
      <xdr:rowOff>1647830</xdr:rowOff>
    </xdr:from>
    <xdr:to>
      <xdr:col>9</xdr:col>
      <xdr:colOff>4490003</xdr:colOff>
      <xdr:row>44</xdr:row>
      <xdr:rowOff>1590680</xdr:rowOff>
    </xdr:to>
    <xdr:sp>
      <xdr:nvSpPr>
        <xdr:cNvPr id="673" name="ZoneTexte 1"/>
        <xdr:cNvSpPr/>
      </xdr:nvSpPr>
      <xdr:spPr>
        <a:xfrm>
          <a:off x="7648574" y="24277325"/>
          <a:ext cx="4461430" cy="159448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44</xdr:row>
      <xdr:rowOff>1606356</xdr:rowOff>
    </xdr:from>
    <xdr:to>
      <xdr:col>9</xdr:col>
      <xdr:colOff>4542761</xdr:colOff>
      <xdr:row>45</xdr:row>
      <xdr:rowOff>1590680</xdr:rowOff>
    </xdr:to>
    <xdr:sp>
      <xdr:nvSpPr>
        <xdr:cNvPr id="674" name="ZoneTexte 1"/>
        <xdr:cNvSpPr/>
      </xdr:nvSpPr>
      <xdr:spPr>
        <a:xfrm>
          <a:off x="7648574" y="25887486"/>
          <a:ext cx="4514188" cy="1635960"/>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10635</xdr:colOff>
      <xdr:row>45</xdr:row>
      <xdr:rowOff>1613538</xdr:rowOff>
    </xdr:from>
    <xdr:to>
      <xdr:col>9</xdr:col>
      <xdr:colOff>4572000</xdr:colOff>
      <xdr:row>46</xdr:row>
      <xdr:rowOff>1463045</xdr:rowOff>
    </xdr:to>
    <xdr:sp>
      <xdr:nvSpPr>
        <xdr:cNvPr id="675" name="ZoneTexte 1"/>
        <xdr:cNvSpPr/>
      </xdr:nvSpPr>
      <xdr:spPr>
        <a:xfrm>
          <a:off x="7630635" y="27546303"/>
          <a:ext cx="4561365" cy="150114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58</xdr:row>
      <xdr:rowOff>121922</xdr:rowOff>
    </xdr:from>
    <xdr:to>
      <xdr:col>9</xdr:col>
      <xdr:colOff>4545724</xdr:colOff>
      <xdr:row>59</xdr:row>
      <xdr:rowOff>1560197</xdr:rowOff>
    </xdr:to>
    <xdr:sp>
      <xdr:nvSpPr>
        <xdr:cNvPr id="676" name="ZoneTexte 1"/>
        <xdr:cNvSpPr/>
      </xdr:nvSpPr>
      <xdr:spPr>
        <a:xfrm>
          <a:off x="7648574" y="34410017"/>
          <a:ext cx="4517151" cy="162877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59</xdr:row>
      <xdr:rowOff>1617347</xdr:rowOff>
    </xdr:from>
    <xdr:to>
      <xdr:col>9</xdr:col>
      <xdr:colOff>4492930</xdr:colOff>
      <xdr:row>60</xdr:row>
      <xdr:rowOff>1560197</xdr:rowOff>
    </xdr:to>
    <xdr:sp>
      <xdr:nvSpPr>
        <xdr:cNvPr id="677" name="ZoneTexte 1"/>
        <xdr:cNvSpPr/>
      </xdr:nvSpPr>
      <xdr:spPr>
        <a:xfrm>
          <a:off x="7648574" y="36095942"/>
          <a:ext cx="4464357" cy="159448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60</xdr:row>
      <xdr:rowOff>1575871</xdr:rowOff>
    </xdr:from>
    <xdr:to>
      <xdr:col>9</xdr:col>
      <xdr:colOff>4545724</xdr:colOff>
      <xdr:row>61</xdr:row>
      <xdr:rowOff>1560198</xdr:rowOff>
    </xdr:to>
    <xdr:sp>
      <xdr:nvSpPr>
        <xdr:cNvPr id="678" name="ZoneTexte 1"/>
        <xdr:cNvSpPr/>
      </xdr:nvSpPr>
      <xdr:spPr>
        <a:xfrm>
          <a:off x="7648574" y="37706101"/>
          <a:ext cx="4517151" cy="163596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10634</xdr:colOff>
      <xdr:row>61</xdr:row>
      <xdr:rowOff>1560198</xdr:rowOff>
    </xdr:from>
    <xdr:to>
      <xdr:col>9</xdr:col>
      <xdr:colOff>4574992</xdr:colOff>
      <xdr:row>74</xdr:row>
      <xdr:rowOff>181306</xdr:rowOff>
    </xdr:to>
    <xdr:sp>
      <xdr:nvSpPr>
        <xdr:cNvPr id="679" name="ZoneTexte 1"/>
        <xdr:cNvSpPr/>
      </xdr:nvSpPr>
      <xdr:spPr>
        <a:xfrm>
          <a:off x="7630634" y="39342063"/>
          <a:ext cx="4564359" cy="1987244"/>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10952</xdr:colOff>
      <xdr:row>61</xdr:row>
      <xdr:rowOff>1560198</xdr:rowOff>
    </xdr:from>
    <xdr:to>
      <xdr:col>9</xdr:col>
      <xdr:colOff>4575309</xdr:colOff>
      <xdr:row>73</xdr:row>
      <xdr:rowOff>24664</xdr:rowOff>
    </xdr:to>
    <xdr:sp>
      <xdr:nvSpPr>
        <xdr:cNvPr id="680" name="ZoneTexte 1"/>
        <xdr:cNvSpPr/>
      </xdr:nvSpPr>
      <xdr:spPr>
        <a:xfrm>
          <a:off x="7630952" y="39342063"/>
          <a:ext cx="4564358" cy="1602002"/>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10952</xdr:colOff>
      <xdr:row>61</xdr:row>
      <xdr:rowOff>1560198</xdr:rowOff>
    </xdr:from>
    <xdr:to>
      <xdr:col>9</xdr:col>
      <xdr:colOff>4571998</xdr:colOff>
      <xdr:row>73</xdr:row>
      <xdr:rowOff>24667</xdr:rowOff>
    </xdr:to>
    <xdr:sp>
      <xdr:nvSpPr>
        <xdr:cNvPr id="681" name="ZoneTexte 1"/>
        <xdr:cNvSpPr/>
      </xdr:nvSpPr>
      <xdr:spPr>
        <a:xfrm>
          <a:off x="7630952" y="39342063"/>
          <a:ext cx="4561047" cy="1602005"/>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76</xdr:row>
      <xdr:rowOff>91436</xdr:rowOff>
    </xdr:from>
    <xdr:to>
      <xdr:col>9</xdr:col>
      <xdr:colOff>4503756</xdr:colOff>
      <xdr:row>77</xdr:row>
      <xdr:rowOff>1529711</xdr:rowOff>
    </xdr:to>
    <xdr:sp>
      <xdr:nvSpPr>
        <xdr:cNvPr id="682" name="ZoneTexte 1"/>
        <xdr:cNvSpPr/>
      </xdr:nvSpPr>
      <xdr:spPr>
        <a:xfrm>
          <a:off x="7648574" y="41849036"/>
          <a:ext cx="4475183" cy="162877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77</xdr:row>
      <xdr:rowOff>1586861</xdr:rowOff>
    </xdr:from>
    <xdr:to>
      <xdr:col>9</xdr:col>
      <xdr:colOff>4451453</xdr:colOff>
      <xdr:row>78</xdr:row>
      <xdr:rowOff>1529711</xdr:rowOff>
    </xdr:to>
    <xdr:sp>
      <xdr:nvSpPr>
        <xdr:cNvPr id="683" name="ZoneTexte 1"/>
        <xdr:cNvSpPr/>
      </xdr:nvSpPr>
      <xdr:spPr>
        <a:xfrm>
          <a:off x="7648574" y="43534961"/>
          <a:ext cx="4422880" cy="159448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78</xdr:row>
      <xdr:rowOff>1545385</xdr:rowOff>
    </xdr:from>
    <xdr:to>
      <xdr:col>9</xdr:col>
      <xdr:colOff>4503756</xdr:colOff>
      <xdr:row>79</xdr:row>
      <xdr:rowOff>1529712</xdr:rowOff>
    </xdr:to>
    <xdr:sp>
      <xdr:nvSpPr>
        <xdr:cNvPr id="684" name="ZoneTexte 1"/>
        <xdr:cNvSpPr/>
      </xdr:nvSpPr>
      <xdr:spPr>
        <a:xfrm>
          <a:off x="7648574" y="45145120"/>
          <a:ext cx="4475183" cy="163596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10636</xdr:colOff>
      <xdr:row>79</xdr:row>
      <xdr:rowOff>1552573</xdr:rowOff>
    </xdr:from>
    <xdr:to>
      <xdr:col>9</xdr:col>
      <xdr:colOff>4532585</xdr:colOff>
      <xdr:row>81</xdr:row>
      <xdr:rowOff>262823</xdr:rowOff>
    </xdr:to>
    <xdr:sp>
      <xdr:nvSpPr>
        <xdr:cNvPr id="685" name="ZoneTexte 1"/>
        <xdr:cNvSpPr/>
      </xdr:nvSpPr>
      <xdr:spPr>
        <a:xfrm>
          <a:off x="7630636" y="46803943"/>
          <a:ext cx="4521950" cy="201352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10953</xdr:colOff>
      <xdr:row>80</xdr:row>
      <xdr:rowOff>1549451</xdr:rowOff>
    </xdr:from>
    <xdr:to>
      <xdr:col>9</xdr:col>
      <xdr:colOff>4532903</xdr:colOff>
      <xdr:row>81</xdr:row>
      <xdr:rowOff>1499817</xdr:rowOff>
    </xdr:to>
    <xdr:sp>
      <xdr:nvSpPr>
        <xdr:cNvPr id="686" name="ZoneTexte 1"/>
        <xdr:cNvSpPr/>
      </xdr:nvSpPr>
      <xdr:spPr>
        <a:xfrm>
          <a:off x="7630953" y="48452456"/>
          <a:ext cx="4521950" cy="1602002"/>
        </a:xfrm>
        <a:prstGeom prst="rect">
          <a:avLst/>
        </a:prstGeom>
        <a:solidFill>
          <a:srgbClr val="FFFFFF"/>
        </a:solidFill>
        <a:ln w="12700" cap="flat">
          <a:noFill/>
          <a:miter lim="400000"/>
        </a:ln>
        <a:effectLst/>
      </xdr:spPr>
      <xdr:txBody>
        <a:bodyPr/>
        <a:lstStyle/>
        <a:p>
          <a:pPr/>
        </a:p>
      </xdr:txBody>
    </xdr:sp>
    <xdr:clientData/>
  </xdr:twoCellAnchor>
  <xdr:twoCellAnchor>
    <xdr:from>
      <xdr:col>5</xdr:col>
      <xdr:colOff>11781</xdr:colOff>
      <xdr:row>8</xdr:row>
      <xdr:rowOff>167760</xdr:rowOff>
    </xdr:from>
    <xdr:to>
      <xdr:col>5</xdr:col>
      <xdr:colOff>464966</xdr:colOff>
      <xdr:row>10</xdr:row>
      <xdr:rowOff>2896</xdr:rowOff>
    </xdr:to>
    <xdr:grpSp>
      <xdr:nvGrpSpPr>
        <xdr:cNvPr id="689" name="Ellipse 59"/>
        <xdr:cNvGrpSpPr/>
      </xdr:nvGrpSpPr>
      <xdr:grpSpPr>
        <a:xfrm>
          <a:off x="532481" y="2758560"/>
          <a:ext cx="453185" cy="437117"/>
          <a:chOff x="0" y="0"/>
          <a:chExt cx="453184" cy="437115"/>
        </a:xfrm>
      </xdr:grpSpPr>
      <xdr:sp>
        <xdr:nvSpPr>
          <xdr:cNvPr id="687" name="Ovale"/>
          <xdr:cNvSpPr/>
        </xdr:nvSpPr>
        <xdr:spPr>
          <a:xfrm>
            <a:off x="-1" y="0"/>
            <a:ext cx="453186" cy="437116"/>
          </a:xfrm>
          <a:prstGeom prst="ellipse">
            <a:avLst/>
          </a:prstGeom>
          <a:noFill/>
          <a:ln w="28575" cap="flat">
            <a:solidFill>
              <a:srgbClr val="203B7D"/>
            </a:solidFill>
            <a:prstDash val="solid"/>
            <a:miter lim="800000"/>
          </a:ln>
          <a:effectLst/>
        </xdr:spPr>
        <xdr:txBody>
          <a:bodyPr/>
          <a:lstStyle/>
          <a:p>
            <a:pPr/>
          </a:p>
        </xdr:txBody>
      </xdr:sp>
      <xdr:sp>
        <xdr:nvSpPr>
          <xdr:cNvPr id="688" name="1"/>
          <xdr:cNvSpPr txBox="1"/>
        </xdr:nvSpPr>
        <xdr:spPr>
          <a:xfrm>
            <a:off x="116352" y="57263"/>
            <a:ext cx="220479" cy="322590"/>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203864"/>
                </a:solidFill>
                <a:uFillTx/>
                <a:latin typeface="Calibri"/>
                <a:ea typeface="Calibri"/>
                <a:cs typeface="Calibri"/>
                <a:sym typeface="Calibri"/>
              </a:defRPr>
            </a:pPr>
            <a:r>
              <a:rPr b="0" baseline="0" cap="none" i="0" spc="0" strike="noStrike" sz="2600" u="none">
                <a:solidFill>
                  <a:srgbClr val="203864"/>
                </a:solidFill>
                <a:uFillTx/>
                <a:latin typeface="Calibri"/>
                <a:ea typeface="Calibri"/>
                <a:cs typeface="Calibri"/>
                <a:sym typeface="Calibri"/>
              </a:rPr>
              <a:t>1</a:t>
            </a:r>
          </a:p>
        </xdr:txBody>
      </xdr:sp>
    </xdr:grpSp>
    <xdr:clientData/>
  </xdr:twoCellAnchor>
  <xdr:twoCellAnchor>
    <xdr:from>
      <xdr:col>1</xdr:col>
      <xdr:colOff>304800</xdr:colOff>
      <xdr:row>24</xdr:row>
      <xdr:rowOff>153556</xdr:rowOff>
    </xdr:from>
    <xdr:to>
      <xdr:col>5</xdr:col>
      <xdr:colOff>453184</xdr:colOff>
      <xdr:row>25</xdr:row>
      <xdr:rowOff>396306</xdr:rowOff>
    </xdr:to>
    <xdr:grpSp>
      <xdr:nvGrpSpPr>
        <xdr:cNvPr id="692" name="Ellipse 60"/>
        <xdr:cNvGrpSpPr/>
      </xdr:nvGrpSpPr>
      <xdr:grpSpPr>
        <a:xfrm>
          <a:off x="520699" y="14833486"/>
          <a:ext cx="453186" cy="433251"/>
          <a:chOff x="0" y="0"/>
          <a:chExt cx="453184" cy="433250"/>
        </a:xfrm>
      </xdr:grpSpPr>
      <xdr:sp>
        <xdr:nvSpPr>
          <xdr:cNvPr id="690" name="Ovale"/>
          <xdr:cNvSpPr/>
        </xdr:nvSpPr>
        <xdr:spPr>
          <a:xfrm>
            <a:off x="-1" y="-1"/>
            <a:ext cx="453186" cy="433252"/>
          </a:xfrm>
          <a:prstGeom prst="ellipse">
            <a:avLst/>
          </a:prstGeom>
          <a:noFill/>
          <a:ln w="28575" cap="flat">
            <a:solidFill>
              <a:srgbClr val="203B7D"/>
            </a:solidFill>
            <a:prstDash val="solid"/>
            <a:miter lim="800000"/>
          </a:ln>
          <a:effectLst/>
        </xdr:spPr>
        <xdr:txBody>
          <a:bodyPr/>
          <a:lstStyle/>
          <a:p>
            <a:pPr/>
          </a:p>
        </xdr:txBody>
      </xdr:sp>
      <xdr:sp>
        <xdr:nvSpPr>
          <xdr:cNvPr id="691" name="2"/>
          <xdr:cNvSpPr txBox="1"/>
        </xdr:nvSpPr>
        <xdr:spPr>
          <a:xfrm>
            <a:off x="116352" y="56902"/>
            <a:ext cx="220479" cy="319445"/>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203B7D"/>
                </a:solidFill>
                <a:uFillTx/>
                <a:latin typeface="Calibri"/>
                <a:ea typeface="Calibri"/>
                <a:cs typeface="Calibri"/>
                <a:sym typeface="Calibri"/>
              </a:defRPr>
            </a:pPr>
            <a:r>
              <a:rPr b="0" baseline="0" cap="none" i="0" spc="0" strike="noStrike" sz="2600" u="none">
                <a:solidFill>
                  <a:srgbClr val="203B7D"/>
                </a:solidFill>
                <a:uFillTx/>
                <a:latin typeface="Calibri"/>
                <a:ea typeface="Calibri"/>
                <a:cs typeface="Calibri"/>
                <a:sym typeface="Calibri"/>
              </a:rPr>
              <a:t>2</a:t>
            </a:r>
          </a:p>
        </xdr:txBody>
      </xdr:sp>
    </xdr:grpSp>
    <xdr:clientData/>
  </xdr:twoCellAnchor>
  <xdr:twoCellAnchor>
    <xdr:from>
      <xdr:col>5</xdr:col>
      <xdr:colOff>18362</xdr:colOff>
      <xdr:row>40</xdr:row>
      <xdr:rowOff>119535</xdr:rowOff>
    </xdr:from>
    <xdr:to>
      <xdr:col>5</xdr:col>
      <xdr:colOff>471546</xdr:colOff>
      <xdr:row>41</xdr:row>
      <xdr:rowOff>362287</xdr:rowOff>
    </xdr:to>
    <xdr:grpSp>
      <xdr:nvGrpSpPr>
        <xdr:cNvPr id="695" name="Ellipse 61"/>
        <xdr:cNvGrpSpPr/>
      </xdr:nvGrpSpPr>
      <xdr:grpSpPr>
        <a:xfrm>
          <a:off x="539062" y="21948930"/>
          <a:ext cx="453185" cy="433253"/>
          <a:chOff x="0" y="0"/>
          <a:chExt cx="453184" cy="433251"/>
        </a:xfrm>
      </xdr:grpSpPr>
      <xdr:sp>
        <xdr:nvSpPr>
          <xdr:cNvPr id="693" name="Ovale"/>
          <xdr:cNvSpPr/>
        </xdr:nvSpPr>
        <xdr:spPr>
          <a:xfrm>
            <a:off x="-1" y="0"/>
            <a:ext cx="453186" cy="433252"/>
          </a:xfrm>
          <a:prstGeom prst="ellipse">
            <a:avLst/>
          </a:prstGeom>
          <a:noFill/>
          <a:ln w="28575" cap="flat">
            <a:solidFill>
              <a:srgbClr val="203B7D"/>
            </a:solidFill>
            <a:prstDash val="solid"/>
            <a:miter lim="800000"/>
          </a:ln>
          <a:effectLst/>
        </xdr:spPr>
        <xdr:txBody>
          <a:bodyPr/>
          <a:lstStyle/>
          <a:p>
            <a:pPr/>
          </a:p>
        </xdr:txBody>
      </xdr:sp>
      <xdr:sp>
        <xdr:nvSpPr>
          <xdr:cNvPr id="694" name="3"/>
          <xdr:cNvSpPr txBox="1"/>
        </xdr:nvSpPr>
        <xdr:spPr>
          <a:xfrm>
            <a:off x="116352" y="56901"/>
            <a:ext cx="220479" cy="319449"/>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203B7D"/>
                </a:solidFill>
                <a:uFillTx/>
                <a:latin typeface="Calibri"/>
                <a:ea typeface="Calibri"/>
                <a:cs typeface="Calibri"/>
                <a:sym typeface="Calibri"/>
              </a:defRPr>
            </a:pPr>
            <a:r>
              <a:rPr b="0" baseline="0" cap="none" i="0" spc="0" strike="noStrike" sz="2600" u="none">
                <a:solidFill>
                  <a:srgbClr val="203B7D"/>
                </a:solidFill>
                <a:uFillTx/>
                <a:latin typeface="Calibri"/>
                <a:ea typeface="Calibri"/>
                <a:cs typeface="Calibri"/>
                <a:sym typeface="Calibri"/>
              </a:rPr>
              <a:t>3</a:t>
            </a:r>
          </a:p>
        </xdr:txBody>
      </xdr:sp>
    </xdr:grpSp>
    <xdr:clientData/>
  </xdr:twoCellAnchor>
  <xdr:twoCellAnchor>
    <xdr:from>
      <xdr:col>1</xdr:col>
      <xdr:colOff>304800</xdr:colOff>
      <xdr:row>56</xdr:row>
      <xdr:rowOff>89056</xdr:rowOff>
    </xdr:from>
    <xdr:to>
      <xdr:col>5</xdr:col>
      <xdr:colOff>453184</xdr:colOff>
      <xdr:row>57</xdr:row>
      <xdr:rowOff>331804</xdr:rowOff>
    </xdr:to>
    <xdr:grpSp>
      <xdr:nvGrpSpPr>
        <xdr:cNvPr id="698" name="Ellipse 62"/>
        <xdr:cNvGrpSpPr/>
      </xdr:nvGrpSpPr>
      <xdr:grpSpPr>
        <a:xfrm>
          <a:off x="520699" y="33767551"/>
          <a:ext cx="453186" cy="433249"/>
          <a:chOff x="0" y="0"/>
          <a:chExt cx="453184" cy="433248"/>
        </a:xfrm>
      </xdr:grpSpPr>
      <xdr:sp>
        <xdr:nvSpPr>
          <xdr:cNvPr id="696" name="Ovale"/>
          <xdr:cNvSpPr/>
        </xdr:nvSpPr>
        <xdr:spPr>
          <a:xfrm>
            <a:off x="-1" y="-1"/>
            <a:ext cx="453186" cy="433250"/>
          </a:xfrm>
          <a:prstGeom prst="ellipse">
            <a:avLst/>
          </a:prstGeom>
          <a:noFill/>
          <a:ln w="28575" cap="flat">
            <a:solidFill>
              <a:srgbClr val="203B7D"/>
            </a:solidFill>
            <a:prstDash val="solid"/>
            <a:miter lim="800000"/>
          </a:ln>
          <a:effectLst/>
        </xdr:spPr>
        <xdr:txBody>
          <a:bodyPr/>
          <a:lstStyle/>
          <a:p>
            <a:pPr/>
          </a:p>
        </xdr:txBody>
      </xdr:sp>
      <xdr:sp>
        <xdr:nvSpPr>
          <xdr:cNvPr id="697" name="4"/>
          <xdr:cNvSpPr txBox="1"/>
        </xdr:nvSpPr>
        <xdr:spPr>
          <a:xfrm>
            <a:off x="116352" y="56902"/>
            <a:ext cx="220479" cy="319443"/>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203B7D"/>
                </a:solidFill>
                <a:uFillTx/>
                <a:latin typeface="Calibri"/>
                <a:ea typeface="Calibri"/>
                <a:cs typeface="Calibri"/>
                <a:sym typeface="Calibri"/>
              </a:defRPr>
            </a:pPr>
            <a:r>
              <a:rPr b="0" baseline="0" cap="none" i="0" spc="0" strike="noStrike" sz="2600" u="none">
                <a:solidFill>
                  <a:srgbClr val="203B7D"/>
                </a:solidFill>
                <a:uFillTx/>
                <a:latin typeface="Calibri"/>
                <a:ea typeface="Calibri"/>
                <a:cs typeface="Calibri"/>
                <a:sym typeface="Calibri"/>
              </a:rPr>
              <a:t>4</a:t>
            </a:r>
          </a:p>
        </xdr:txBody>
      </xdr:sp>
    </xdr:grpSp>
    <xdr:clientData/>
  </xdr:twoCellAnchor>
  <xdr:twoCellAnchor>
    <xdr:from>
      <xdr:col>5</xdr:col>
      <xdr:colOff>9180</xdr:colOff>
      <xdr:row>74</xdr:row>
      <xdr:rowOff>58570</xdr:rowOff>
    </xdr:from>
    <xdr:to>
      <xdr:col>5</xdr:col>
      <xdr:colOff>462365</xdr:colOff>
      <xdr:row>75</xdr:row>
      <xdr:rowOff>301318</xdr:rowOff>
    </xdr:to>
    <xdr:grpSp>
      <xdr:nvGrpSpPr>
        <xdr:cNvPr id="701" name="Ellipse 153744"/>
        <xdr:cNvGrpSpPr/>
      </xdr:nvGrpSpPr>
      <xdr:grpSpPr>
        <a:xfrm>
          <a:off x="529880" y="41206570"/>
          <a:ext cx="453185" cy="433249"/>
          <a:chOff x="0" y="0"/>
          <a:chExt cx="453184" cy="433248"/>
        </a:xfrm>
      </xdr:grpSpPr>
      <xdr:sp>
        <xdr:nvSpPr>
          <xdr:cNvPr id="699" name="Ovale"/>
          <xdr:cNvSpPr/>
        </xdr:nvSpPr>
        <xdr:spPr>
          <a:xfrm>
            <a:off x="-1" y="-1"/>
            <a:ext cx="453186" cy="433250"/>
          </a:xfrm>
          <a:prstGeom prst="ellipse">
            <a:avLst/>
          </a:prstGeom>
          <a:noFill/>
          <a:ln w="28575" cap="flat">
            <a:solidFill>
              <a:srgbClr val="203B7D"/>
            </a:solidFill>
            <a:prstDash val="solid"/>
            <a:miter lim="800000"/>
          </a:ln>
          <a:effectLst/>
        </xdr:spPr>
        <xdr:txBody>
          <a:bodyPr/>
          <a:lstStyle/>
          <a:p>
            <a:pPr/>
          </a:p>
        </xdr:txBody>
      </xdr:sp>
      <xdr:sp>
        <xdr:nvSpPr>
          <xdr:cNvPr id="700" name="5"/>
          <xdr:cNvSpPr txBox="1"/>
        </xdr:nvSpPr>
        <xdr:spPr>
          <a:xfrm>
            <a:off x="116352" y="56902"/>
            <a:ext cx="220479" cy="319443"/>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203B7D"/>
                </a:solidFill>
                <a:uFillTx/>
                <a:latin typeface="Calibri"/>
                <a:ea typeface="Calibri"/>
                <a:cs typeface="Calibri"/>
                <a:sym typeface="Calibri"/>
              </a:defRPr>
            </a:pPr>
            <a:r>
              <a:rPr b="0" baseline="0" cap="none" i="0" spc="0" strike="noStrike" sz="2600" u="none">
                <a:solidFill>
                  <a:srgbClr val="203B7D"/>
                </a:solidFill>
                <a:uFillTx/>
                <a:latin typeface="Calibri"/>
                <a:ea typeface="Calibri"/>
                <a:cs typeface="Calibri"/>
                <a:sym typeface="Calibri"/>
              </a:rPr>
              <a:t>5</a:t>
            </a:r>
          </a:p>
        </xdr:txBody>
      </xdr:sp>
    </xdr:grpSp>
    <xdr:clientData/>
  </xdr:twoCellAnchor>
  <xdr:twoCellAnchor>
    <xdr:from>
      <xdr:col>9</xdr:col>
      <xdr:colOff>10634</xdr:colOff>
      <xdr:row>61</xdr:row>
      <xdr:rowOff>1560198</xdr:rowOff>
    </xdr:from>
    <xdr:to>
      <xdr:col>9</xdr:col>
      <xdr:colOff>4574992</xdr:colOff>
      <xdr:row>74</xdr:row>
      <xdr:rowOff>181309</xdr:rowOff>
    </xdr:to>
    <xdr:sp>
      <xdr:nvSpPr>
        <xdr:cNvPr id="702" name="ZoneTexte 1"/>
        <xdr:cNvSpPr/>
      </xdr:nvSpPr>
      <xdr:spPr>
        <a:xfrm>
          <a:off x="7630634" y="39342063"/>
          <a:ext cx="4564359" cy="1987247"/>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10952</xdr:colOff>
      <xdr:row>61</xdr:row>
      <xdr:rowOff>1560198</xdr:rowOff>
    </xdr:from>
    <xdr:to>
      <xdr:col>9</xdr:col>
      <xdr:colOff>4575309</xdr:colOff>
      <xdr:row>73</xdr:row>
      <xdr:rowOff>24661</xdr:rowOff>
    </xdr:to>
    <xdr:sp>
      <xdr:nvSpPr>
        <xdr:cNvPr id="703" name="ZoneTexte 1"/>
        <xdr:cNvSpPr/>
      </xdr:nvSpPr>
      <xdr:spPr>
        <a:xfrm>
          <a:off x="7630952" y="39342063"/>
          <a:ext cx="4564358" cy="1601999"/>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46</xdr:row>
      <xdr:rowOff>1478719</xdr:rowOff>
    </xdr:from>
    <xdr:to>
      <xdr:col>9</xdr:col>
      <xdr:colOff>4542761</xdr:colOff>
      <xdr:row>47</xdr:row>
      <xdr:rowOff>1590681</xdr:rowOff>
    </xdr:to>
    <xdr:sp>
      <xdr:nvSpPr>
        <xdr:cNvPr id="704" name="ZoneTexte 1"/>
        <xdr:cNvSpPr/>
      </xdr:nvSpPr>
      <xdr:spPr>
        <a:xfrm>
          <a:off x="7648574" y="29063119"/>
          <a:ext cx="4514188" cy="163596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10635</xdr:colOff>
      <xdr:row>47</xdr:row>
      <xdr:rowOff>1613538</xdr:rowOff>
    </xdr:from>
    <xdr:to>
      <xdr:col>9</xdr:col>
      <xdr:colOff>4572000</xdr:colOff>
      <xdr:row>48</xdr:row>
      <xdr:rowOff>1463045</xdr:rowOff>
    </xdr:to>
    <xdr:sp>
      <xdr:nvSpPr>
        <xdr:cNvPr id="705" name="ZoneTexte 1"/>
        <xdr:cNvSpPr/>
      </xdr:nvSpPr>
      <xdr:spPr>
        <a:xfrm>
          <a:off x="7630635" y="30721938"/>
          <a:ext cx="4561365" cy="150114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48</xdr:row>
      <xdr:rowOff>1463046</xdr:rowOff>
    </xdr:from>
    <xdr:to>
      <xdr:col>9</xdr:col>
      <xdr:colOff>4542761</xdr:colOff>
      <xdr:row>56</xdr:row>
      <xdr:rowOff>180548</xdr:rowOff>
    </xdr:to>
    <xdr:sp>
      <xdr:nvSpPr>
        <xdr:cNvPr id="706" name="ZoneTexte 1"/>
        <xdr:cNvSpPr/>
      </xdr:nvSpPr>
      <xdr:spPr>
        <a:xfrm>
          <a:off x="7648574" y="32223081"/>
          <a:ext cx="4514188" cy="163596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10636</xdr:colOff>
      <xdr:row>81</xdr:row>
      <xdr:rowOff>1552574</xdr:rowOff>
    </xdr:from>
    <xdr:to>
      <xdr:col>9</xdr:col>
      <xdr:colOff>4532585</xdr:colOff>
      <xdr:row>83</xdr:row>
      <xdr:rowOff>262821</xdr:rowOff>
    </xdr:to>
    <xdr:sp>
      <xdr:nvSpPr>
        <xdr:cNvPr id="707" name="ZoneTexte 1"/>
        <xdr:cNvSpPr/>
      </xdr:nvSpPr>
      <xdr:spPr>
        <a:xfrm>
          <a:off x="7630636" y="50107214"/>
          <a:ext cx="4521950" cy="2013518"/>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10953</xdr:colOff>
      <xdr:row>82</xdr:row>
      <xdr:rowOff>1549452</xdr:rowOff>
    </xdr:from>
    <xdr:to>
      <xdr:col>9</xdr:col>
      <xdr:colOff>4532903</xdr:colOff>
      <xdr:row>83</xdr:row>
      <xdr:rowOff>1499818</xdr:rowOff>
    </xdr:to>
    <xdr:sp>
      <xdr:nvSpPr>
        <xdr:cNvPr id="708" name="ZoneTexte 1"/>
        <xdr:cNvSpPr/>
      </xdr:nvSpPr>
      <xdr:spPr>
        <a:xfrm>
          <a:off x="7630953" y="51755727"/>
          <a:ext cx="4521950" cy="1602002"/>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83</xdr:row>
      <xdr:rowOff>1529715</xdr:rowOff>
    </xdr:from>
    <xdr:to>
      <xdr:col>9</xdr:col>
      <xdr:colOff>4503756</xdr:colOff>
      <xdr:row>124</xdr:row>
      <xdr:rowOff>43815</xdr:rowOff>
    </xdr:to>
    <xdr:sp>
      <xdr:nvSpPr>
        <xdr:cNvPr id="709" name="ZoneTexte 1"/>
        <xdr:cNvSpPr/>
      </xdr:nvSpPr>
      <xdr:spPr>
        <a:xfrm>
          <a:off x="7648574" y="53387625"/>
          <a:ext cx="4475183" cy="1628775"/>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83</xdr:row>
      <xdr:rowOff>1529715</xdr:rowOff>
    </xdr:from>
    <xdr:to>
      <xdr:col>9</xdr:col>
      <xdr:colOff>4451453</xdr:colOff>
      <xdr:row>124</xdr:row>
      <xdr:rowOff>9522</xdr:rowOff>
    </xdr:to>
    <xdr:sp>
      <xdr:nvSpPr>
        <xdr:cNvPr id="710" name="ZoneTexte 1"/>
        <xdr:cNvSpPr/>
      </xdr:nvSpPr>
      <xdr:spPr>
        <a:xfrm>
          <a:off x="7648574" y="53387624"/>
          <a:ext cx="4422880" cy="1594484"/>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83</xdr:row>
      <xdr:rowOff>1529715</xdr:rowOff>
    </xdr:from>
    <xdr:to>
      <xdr:col>9</xdr:col>
      <xdr:colOff>4503756</xdr:colOff>
      <xdr:row>124</xdr:row>
      <xdr:rowOff>50995</xdr:rowOff>
    </xdr:to>
    <xdr:sp>
      <xdr:nvSpPr>
        <xdr:cNvPr id="711" name="ZoneTexte 1"/>
        <xdr:cNvSpPr/>
      </xdr:nvSpPr>
      <xdr:spPr>
        <a:xfrm>
          <a:off x="7648574" y="53387625"/>
          <a:ext cx="4475183" cy="163595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10636</xdr:colOff>
      <xdr:row>83</xdr:row>
      <xdr:rowOff>1529715</xdr:rowOff>
    </xdr:from>
    <xdr:to>
      <xdr:col>9</xdr:col>
      <xdr:colOff>4532585</xdr:colOff>
      <xdr:row>126</xdr:row>
      <xdr:rowOff>62800</xdr:rowOff>
    </xdr:to>
    <xdr:sp>
      <xdr:nvSpPr>
        <xdr:cNvPr id="712" name="ZoneTexte 1"/>
        <xdr:cNvSpPr/>
      </xdr:nvSpPr>
      <xdr:spPr>
        <a:xfrm>
          <a:off x="7630636" y="53387624"/>
          <a:ext cx="4521950" cy="2013522"/>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10953</xdr:colOff>
      <xdr:row>83</xdr:row>
      <xdr:rowOff>1529715</xdr:rowOff>
    </xdr:from>
    <xdr:to>
      <xdr:col>9</xdr:col>
      <xdr:colOff>4532903</xdr:colOff>
      <xdr:row>124</xdr:row>
      <xdr:rowOff>17038</xdr:rowOff>
    </xdr:to>
    <xdr:sp>
      <xdr:nvSpPr>
        <xdr:cNvPr id="713" name="ZoneTexte 1"/>
        <xdr:cNvSpPr/>
      </xdr:nvSpPr>
      <xdr:spPr>
        <a:xfrm>
          <a:off x="7630953" y="53387624"/>
          <a:ext cx="4521950" cy="1602000"/>
        </a:xfrm>
        <a:prstGeom prst="rect">
          <a:avLst/>
        </a:prstGeom>
        <a:solidFill>
          <a:srgbClr val="FFFFFF"/>
        </a:solidFill>
        <a:ln w="12700" cap="flat">
          <a:noFill/>
          <a:miter lim="400000"/>
        </a:ln>
        <a:effectLst/>
      </xdr:spPr>
      <xdr:txBody>
        <a:bodyPr/>
        <a:lstStyle/>
        <a:p>
          <a:pPr/>
        </a:p>
      </xdr:txBody>
    </xdr:sp>
    <xdr:clientData/>
  </xdr:twoCellAnchor>
  <xdr:twoCellAnchor>
    <xdr:from>
      <xdr:col>5</xdr:col>
      <xdr:colOff>9180</xdr:colOff>
      <xdr:row>83</xdr:row>
      <xdr:rowOff>1529715</xdr:rowOff>
    </xdr:from>
    <xdr:to>
      <xdr:col>5</xdr:col>
      <xdr:colOff>462365</xdr:colOff>
      <xdr:row>117</xdr:row>
      <xdr:rowOff>128451</xdr:rowOff>
    </xdr:to>
    <xdr:grpSp>
      <xdr:nvGrpSpPr>
        <xdr:cNvPr id="716" name="Ellipse 153822"/>
        <xdr:cNvGrpSpPr/>
      </xdr:nvGrpSpPr>
      <xdr:grpSpPr>
        <a:xfrm>
          <a:off x="529880" y="53387625"/>
          <a:ext cx="453185" cy="433252"/>
          <a:chOff x="0" y="0"/>
          <a:chExt cx="453184" cy="433251"/>
        </a:xfrm>
      </xdr:grpSpPr>
      <xdr:sp>
        <xdr:nvSpPr>
          <xdr:cNvPr id="714" name="Ovale"/>
          <xdr:cNvSpPr/>
        </xdr:nvSpPr>
        <xdr:spPr>
          <a:xfrm>
            <a:off x="-1" y="0"/>
            <a:ext cx="453186" cy="433252"/>
          </a:xfrm>
          <a:prstGeom prst="ellipse">
            <a:avLst/>
          </a:prstGeom>
          <a:noFill/>
          <a:ln w="28575" cap="flat">
            <a:solidFill>
              <a:srgbClr val="203B7D"/>
            </a:solidFill>
            <a:prstDash val="solid"/>
            <a:miter lim="800000"/>
          </a:ln>
          <a:effectLst/>
        </xdr:spPr>
        <xdr:txBody>
          <a:bodyPr/>
          <a:lstStyle/>
          <a:p>
            <a:pPr/>
          </a:p>
        </xdr:txBody>
      </xdr:sp>
      <xdr:sp>
        <xdr:nvSpPr>
          <xdr:cNvPr id="715" name="6"/>
          <xdr:cNvSpPr txBox="1"/>
        </xdr:nvSpPr>
        <xdr:spPr>
          <a:xfrm>
            <a:off x="116352" y="56901"/>
            <a:ext cx="220479" cy="319449"/>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203B7D"/>
                </a:solidFill>
                <a:uFillTx/>
                <a:latin typeface="Calibri"/>
                <a:ea typeface="Calibri"/>
                <a:cs typeface="Calibri"/>
                <a:sym typeface="Calibri"/>
              </a:defRPr>
            </a:pPr>
            <a:r>
              <a:rPr b="0" baseline="0" cap="none" i="0" spc="0" strike="noStrike" sz="2600" u="none">
                <a:solidFill>
                  <a:srgbClr val="203B7D"/>
                </a:solidFill>
                <a:uFillTx/>
                <a:latin typeface="Calibri"/>
                <a:ea typeface="Calibri"/>
                <a:cs typeface="Calibri"/>
                <a:sym typeface="Calibri"/>
              </a:rPr>
              <a:t>6</a:t>
            </a:r>
          </a:p>
        </xdr:txBody>
      </xdr:sp>
    </xdr:grpSp>
    <xdr:clientData/>
  </xdr:twoCellAnchor>
  <xdr:twoCellAnchor>
    <xdr:from>
      <xdr:col>9</xdr:col>
      <xdr:colOff>10636</xdr:colOff>
      <xdr:row>83</xdr:row>
      <xdr:rowOff>1529715</xdr:rowOff>
    </xdr:from>
    <xdr:to>
      <xdr:col>9</xdr:col>
      <xdr:colOff>4532585</xdr:colOff>
      <xdr:row>126</xdr:row>
      <xdr:rowOff>62800</xdr:rowOff>
    </xdr:to>
    <xdr:sp>
      <xdr:nvSpPr>
        <xdr:cNvPr id="717" name="ZoneTexte 1"/>
        <xdr:cNvSpPr/>
      </xdr:nvSpPr>
      <xdr:spPr>
        <a:xfrm>
          <a:off x="7630636" y="53387624"/>
          <a:ext cx="4521950" cy="2013522"/>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10953</xdr:colOff>
      <xdr:row>83</xdr:row>
      <xdr:rowOff>1529715</xdr:rowOff>
    </xdr:from>
    <xdr:to>
      <xdr:col>9</xdr:col>
      <xdr:colOff>4532903</xdr:colOff>
      <xdr:row>124</xdr:row>
      <xdr:rowOff>17038</xdr:rowOff>
    </xdr:to>
    <xdr:sp>
      <xdr:nvSpPr>
        <xdr:cNvPr id="718" name="ZoneTexte 1"/>
        <xdr:cNvSpPr/>
      </xdr:nvSpPr>
      <xdr:spPr>
        <a:xfrm>
          <a:off x="7630953" y="53387624"/>
          <a:ext cx="4521950" cy="1602000"/>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83</xdr:row>
      <xdr:rowOff>1529715</xdr:rowOff>
    </xdr:from>
    <xdr:to>
      <xdr:col>9</xdr:col>
      <xdr:colOff>4503756</xdr:colOff>
      <xdr:row>124</xdr:row>
      <xdr:rowOff>43815</xdr:rowOff>
    </xdr:to>
    <xdr:sp>
      <xdr:nvSpPr>
        <xdr:cNvPr id="719" name="ZoneTexte 1"/>
        <xdr:cNvSpPr/>
      </xdr:nvSpPr>
      <xdr:spPr>
        <a:xfrm>
          <a:off x="7648574" y="53387625"/>
          <a:ext cx="4475183" cy="1628775"/>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83</xdr:row>
      <xdr:rowOff>1529715</xdr:rowOff>
    </xdr:from>
    <xdr:to>
      <xdr:col>9</xdr:col>
      <xdr:colOff>4451453</xdr:colOff>
      <xdr:row>124</xdr:row>
      <xdr:rowOff>9522</xdr:rowOff>
    </xdr:to>
    <xdr:sp>
      <xdr:nvSpPr>
        <xdr:cNvPr id="720" name="ZoneTexte 1"/>
        <xdr:cNvSpPr/>
      </xdr:nvSpPr>
      <xdr:spPr>
        <a:xfrm>
          <a:off x="7648574" y="53387624"/>
          <a:ext cx="4422880" cy="1594484"/>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83</xdr:row>
      <xdr:rowOff>1529715</xdr:rowOff>
    </xdr:from>
    <xdr:to>
      <xdr:col>9</xdr:col>
      <xdr:colOff>4503756</xdr:colOff>
      <xdr:row>124</xdr:row>
      <xdr:rowOff>50995</xdr:rowOff>
    </xdr:to>
    <xdr:sp>
      <xdr:nvSpPr>
        <xdr:cNvPr id="721" name="ZoneTexte 1"/>
        <xdr:cNvSpPr/>
      </xdr:nvSpPr>
      <xdr:spPr>
        <a:xfrm>
          <a:off x="7648574" y="53387625"/>
          <a:ext cx="4475183" cy="163595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10636</xdr:colOff>
      <xdr:row>83</xdr:row>
      <xdr:rowOff>1529715</xdr:rowOff>
    </xdr:from>
    <xdr:to>
      <xdr:col>9</xdr:col>
      <xdr:colOff>4532585</xdr:colOff>
      <xdr:row>126</xdr:row>
      <xdr:rowOff>62800</xdr:rowOff>
    </xdr:to>
    <xdr:sp>
      <xdr:nvSpPr>
        <xdr:cNvPr id="722" name="ZoneTexte 1"/>
        <xdr:cNvSpPr/>
      </xdr:nvSpPr>
      <xdr:spPr>
        <a:xfrm>
          <a:off x="7630636" y="53387624"/>
          <a:ext cx="4521950" cy="2013522"/>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10953</xdr:colOff>
      <xdr:row>83</xdr:row>
      <xdr:rowOff>1529715</xdr:rowOff>
    </xdr:from>
    <xdr:to>
      <xdr:col>9</xdr:col>
      <xdr:colOff>4532903</xdr:colOff>
      <xdr:row>124</xdr:row>
      <xdr:rowOff>17038</xdr:rowOff>
    </xdr:to>
    <xdr:sp>
      <xdr:nvSpPr>
        <xdr:cNvPr id="723" name="ZoneTexte 1"/>
        <xdr:cNvSpPr/>
      </xdr:nvSpPr>
      <xdr:spPr>
        <a:xfrm>
          <a:off x="7630953" y="53387624"/>
          <a:ext cx="4521950" cy="1602000"/>
        </a:xfrm>
        <a:prstGeom prst="rect">
          <a:avLst/>
        </a:prstGeom>
        <a:solidFill>
          <a:srgbClr val="FFFFFF"/>
        </a:solidFill>
        <a:ln w="12700" cap="flat">
          <a:noFill/>
          <a:miter lim="400000"/>
        </a:ln>
        <a:effectLst/>
      </xdr:spPr>
      <xdr:txBody>
        <a:bodyPr/>
        <a:lstStyle/>
        <a:p>
          <a:pPr/>
        </a:p>
      </xdr:txBody>
    </xdr:sp>
    <xdr:clientData/>
  </xdr:twoCellAnchor>
  <xdr:twoCellAnchor>
    <xdr:from>
      <xdr:col>5</xdr:col>
      <xdr:colOff>9180</xdr:colOff>
      <xdr:row>83</xdr:row>
      <xdr:rowOff>1529715</xdr:rowOff>
    </xdr:from>
    <xdr:to>
      <xdr:col>5</xdr:col>
      <xdr:colOff>462365</xdr:colOff>
      <xdr:row>117</xdr:row>
      <xdr:rowOff>128451</xdr:rowOff>
    </xdr:to>
    <xdr:grpSp>
      <xdr:nvGrpSpPr>
        <xdr:cNvPr id="726" name="Ellipse 153872"/>
        <xdr:cNvGrpSpPr/>
      </xdr:nvGrpSpPr>
      <xdr:grpSpPr>
        <a:xfrm>
          <a:off x="529880" y="53387625"/>
          <a:ext cx="453185" cy="433252"/>
          <a:chOff x="0" y="0"/>
          <a:chExt cx="453184" cy="433251"/>
        </a:xfrm>
      </xdr:grpSpPr>
      <xdr:sp>
        <xdr:nvSpPr>
          <xdr:cNvPr id="724" name="Ovale"/>
          <xdr:cNvSpPr/>
        </xdr:nvSpPr>
        <xdr:spPr>
          <a:xfrm>
            <a:off x="-1" y="0"/>
            <a:ext cx="453186" cy="433252"/>
          </a:xfrm>
          <a:prstGeom prst="ellipse">
            <a:avLst/>
          </a:prstGeom>
          <a:noFill/>
          <a:ln w="28575" cap="flat">
            <a:solidFill>
              <a:srgbClr val="203B7D"/>
            </a:solidFill>
            <a:prstDash val="solid"/>
            <a:miter lim="800000"/>
          </a:ln>
          <a:effectLst/>
        </xdr:spPr>
        <xdr:txBody>
          <a:bodyPr/>
          <a:lstStyle/>
          <a:p>
            <a:pPr/>
          </a:p>
        </xdr:txBody>
      </xdr:sp>
      <xdr:sp>
        <xdr:nvSpPr>
          <xdr:cNvPr id="725" name="7"/>
          <xdr:cNvSpPr txBox="1"/>
        </xdr:nvSpPr>
        <xdr:spPr>
          <a:xfrm>
            <a:off x="116352" y="56901"/>
            <a:ext cx="220479" cy="319449"/>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203B7D"/>
                </a:solidFill>
                <a:uFillTx/>
                <a:latin typeface="Calibri"/>
                <a:ea typeface="Calibri"/>
                <a:cs typeface="Calibri"/>
                <a:sym typeface="Calibri"/>
              </a:defRPr>
            </a:pPr>
            <a:r>
              <a:rPr b="0" baseline="0" cap="none" i="0" spc="0" strike="noStrike" sz="2600" u="none">
                <a:solidFill>
                  <a:srgbClr val="203B7D"/>
                </a:solidFill>
                <a:uFillTx/>
                <a:latin typeface="Calibri"/>
                <a:ea typeface="Calibri"/>
                <a:cs typeface="Calibri"/>
                <a:sym typeface="Calibri"/>
              </a:rPr>
              <a:t>7</a:t>
            </a:r>
          </a:p>
        </xdr:txBody>
      </xdr:sp>
    </xdr:grpSp>
    <xdr:clientData/>
  </xdr:twoCellAnchor>
  <xdr:twoCellAnchor>
    <xdr:from>
      <xdr:col>9</xdr:col>
      <xdr:colOff>10636</xdr:colOff>
      <xdr:row>83</xdr:row>
      <xdr:rowOff>1529715</xdr:rowOff>
    </xdr:from>
    <xdr:to>
      <xdr:col>9</xdr:col>
      <xdr:colOff>4532585</xdr:colOff>
      <xdr:row>126</xdr:row>
      <xdr:rowOff>62800</xdr:rowOff>
    </xdr:to>
    <xdr:sp>
      <xdr:nvSpPr>
        <xdr:cNvPr id="727" name="ZoneTexte 1"/>
        <xdr:cNvSpPr/>
      </xdr:nvSpPr>
      <xdr:spPr>
        <a:xfrm>
          <a:off x="7630636" y="53387624"/>
          <a:ext cx="4521950" cy="2013522"/>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10953</xdr:colOff>
      <xdr:row>83</xdr:row>
      <xdr:rowOff>1529715</xdr:rowOff>
    </xdr:from>
    <xdr:to>
      <xdr:col>9</xdr:col>
      <xdr:colOff>4532903</xdr:colOff>
      <xdr:row>124</xdr:row>
      <xdr:rowOff>17038</xdr:rowOff>
    </xdr:to>
    <xdr:sp>
      <xdr:nvSpPr>
        <xdr:cNvPr id="728" name="ZoneTexte 1"/>
        <xdr:cNvSpPr/>
      </xdr:nvSpPr>
      <xdr:spPr>
        <a:xfrm>
          <a:off x="7630953" y="53387624"/>
          <a:ext cx="4521950" cy="1602000"/>
        </a:xfrm>
        <a:prstGeom prst="rect">
          <a:avLst/>
        </a:prstGeom>
        <a:solidFill>
          <a:srgbClr val="FFFFFF"/>
        </a:solidFill>
        <a:ln w="12700" cap="flat">
          <a:noFill/>
          <a:miter lim="400000"/>
        </a:ln>
        <a:effectLst/>
      </xdr:spPr>
      <xdr:txBody>
        <a:bodyPr/>
        <a:lstStyle/>
        <a:p>
          <a:pPr/>
        </a:p>
      </xdr:txBody>
    </xdr:sp>
    <xdr:clientData/>
  </xdr:twoCellAnchor>
</xdr:wsDr>
</file>

<file path=xl/drawings/drawing22.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6</xdr:col>
      <xdr:colOff>1028700</xdr:colOff>
      <xdr:row>21</xdr:row>
      <xdr:rowOff>143510</xdr:rowOff>
    </xdr:from>
    <xdr:to>
      <xdr:col>6</xdr:col>
      <xdr:colOff>4092575</xdr:colOff>
      <xdr:row>22</xdr:row>
      <xdr:rowOff>181032</xdr:rowOff>
    </xdr:to>
    <xdr:grpSp>
      <xdr:nvGrpSpPr>
        <xdr:cNvPr id="732" name="Rectangle : coins arrondis 1"/>
        <xdr:cNvGrpSpPr/>
      </xdr:nvGrpSpPr>
      <xdr:grpSpPr>
        <a:xfrm>
          <a:off x="3873500" y="8204200"/>
          <a:ext cx="3063875" cy="677603"/>
          <a:chOff x="0" y="0"/>
          <a:chExt cx="3063875" cy="677602"/>
        </a:xfrm>
      </xdr:grpSpPr>
      <xdr:sp>
        <xdr:nvSpPr>
          <xdr:cNvPr id="730" name="Rectangle aux angles arrondis"/>
          <xdr:cNvSpPr/>
        </xdr:nvSpPr>
        <xdr:spPr>
          <a:xfrm>
            <a:off x="0" y="0"/>
            <a:ext cx="3063875" cy="677603"/>
          </a:xfrm>
          <a:prstGeom prst="roundRect">
            <a:avLst>
              <a:gd name="adj" fmla="val 16667"/>
            </a:avLst>
          </a:prstGeom>
          <a:solidFill>
            <a:srgbClr val="DEEBF7"/>
          </a:solidFill>
          <a:ln w="28575" cap="flat">
            <a:solidFill>
              <a:srgbClr val="C00000"/>
            </a:solidFill>
            <a:prstDash val="solid"/>
            <a:miter lim="800000"/>
          </a:ln>
          <a:effectLst>
            <a:outerShdw sx="100000" sy="100000" kx="0" ky="0" algn="b" rotWithShape="0" blurRad="63500" dist="0" dir="0">
              <a:srgbClr val="000000">
                <a:alpha val="40000"/>
              </a:srgbClr>
            </a:outerShdw>
          </a:effectLst>
        </xdr:spPr>
        <xdr:txBody>
          <a:bodyPr/>
          <a:lstStyle/>
          <a:p>
            <a:pPr/>
          </a:p>
        </xdr:txBody>
      </xdr:sp>
      <xdr:sp>
        <xdr:nvSpPr>
          <xdr:cNvPr id="731" name="Calculer la maturité"/>
          <xdr:cNvSpPr txBox="1"/>
        </xdr:nvSpPr>
        <xdr:spPr>
          <a:xfrm>
            <a:off x="74035" y="3650"/>
            <a:ext cx="2915805" cy="670302"/>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1" baseline="0" cap="none" i="0" spc="0" strike="noStrike" sz="1800" u="none">
                <a:solidFill>
                  <a:srgbClr val="C00000"/>
                </a:solidFill>
                <a:uFillTx/>
                <a:latin typeface="Aptos Light"/>
                <a:ea typeface="Aptos Light"/>
                <a:cs typeface="Aptos Light"/>
                <a:sym typeface="Aptos Light"/>
              </a:defRPr>
            </a:pPr>
            <a:r>
              <a:rPr b="1" baseline="0" cap="none" i="0" spc="0" strike="noStrike" sz="1800" u="none">
                <a:solidFill>
                  <a:srgbClr val="C00000"/>
                </a:solidFill>
                <a:uFillTx/>
                <a:latin typeface="Aptos Light"/>
                <a:ea typeface="Aptos Light"/>
                <a:cs typeface="Aptos Light"/>
                <a:sym typeface="Aptos Light"/>
              </a:rPr>
              <a:t>Calculer la maturité</a:t>
            </a:r>
          </a:p>
        </xdr:txBody>
      </xdr:sp>
    </xdr:grpSp>
    <xdr:clientData/>
  </xdr:twoCellAnchor>
</xdr:wsDr>
</file>

<file path=xl/drawings/drawing23.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9</xdr:col>
      <xdr:colOff>28574</xdr:colOff>
      <xdr:row>11</xdr:row>
      <xdr:rowOff>22859</xdr:rowOff>
    </xdr:from>
    <xdr:to>
      <xdr:col>9</xdr:col>
      <xdr:colOff>4500553</xdr:colOff>
      <xdr:row>11</xdr:row>
      <xdr:rowOff>1722119</xdr:rowOff>
    </xdr:to>
    <xdr:sp>
      <xdr:nvSpPr>
        <xdr:cNvPr id="734" name="ZoneTexte 1"/>
        <xdr:cNvSpPr/>
      </xdr:nvSpPr>
      <xdr:spPr>
        <a:xfrm>
          <a:off x="7648574" y="3398519"/>
          <a:ext cx="4471980" cy="169926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12</xdr:row>
      <xdr:rowOff>57149</xdr:rowOff>
    </xdr:from>
    <xdr:to>
      <xdr:col>9</xdr:col>
      <xdr:colOff>4529666</xdr:colOff>
      <xdr:row>12</xdr:row>
      <xdr:rowOff>1651634</xdr:rowOff>
    </xdr:to>
    <xdr:sp>
      <xdr:nvSpPr>
        <xdr:cNvPr id="735" name="ZoneTexte 1"/>
        <xdr:cNvSpPr/>
      </xdr:nvSpPr>
      <xdr:spPr>
        <a:xfrm>
          <a:off x="7648574" y="5154929"/>
          <a:ext cx="4501093" cy="159448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13</xdr:row>
      <xdr:rowOff>15675</xdr:rowOff>
    </xdr:from>
    <xdr:to>
      <xdr:col>9</xdr:col>
      <xdr:colOff>4500553</xdr:colOff>
      <xdr:row>13</xdr:row>
      <xdr:rowOff>1651634</xdr:rowOff>
    </xdr:to>
    <xdr:sp>
      <xdr:nvSpPr>
        <xdr:cNvPr id="736" name="ZoneTexte 1"/>
        <xdr:cNvSpPr/>
      </xdr:nvSpPr>
      <xdr:spPr>
        <a:xfrm>
          <a:off x="7648574" y="6765090"/>
          <a:ext cx="4471980" cy="1635960"/>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10635</xdr:colOff>
      <xdr:row>14</xdr:row>
      <xdr:rowOff>22859</xdr:rowOff>
    </xdr:from>
    <xdr:to>
      <xdr:col>9</xdr:col>
      <xdr:colOff>4529350</xdr:colOff>
      <xdr:row>15</xdr:row>
      <xdr:rowOff>422697</xdr:rowOff>
    </xdr:to>
    <xdr:sp>
      <xdr:nvSpPr>
        <xdr:cNvPr id="737" name="ZoneTexte 1"/>
        <xdr:cNvSpPr/>
      </xdr:nvSpPr>
      <xdr:spPr>
        <a:xfrm>
          <a:off x="7630635" y="8423909"/>
          <a:ext cx="4518715" cy="2051474"/>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10952</xdr:colOff>
      <xdr:row>15</xdr:row>
      <xdr:rowOff>19738</xdr:rowOff>
    </xdr:from>
    <xdr:to>
      <xdr:col>9</xdr:col>
      <xdr:colOff>4529667</xdr:colOff>
      <xdr:row>15</xdr:row>
      <xdr:rowOff>1621737</xdr:rowOff>
    </xdr:to>
    <xdr:sp>
      <xdr:nvSpPr>
        <xdr:cNvPr id="738" name="ZoneTexte 1"/>
        <xdr:cNvSpPr/>
      </xdr:nvSpPr>
      <xdr:spPr>
        <a:xfrm>
          <a:off x="7630952" y="10072423"/>
          <a:ext cx="4518715" cy="1602000"/>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10952</xdr:colOff>
      <xdr:row>16</xdr:row>
      <xdr:rowOff>38467</xdr:rowOff>
    </xdr:from>
    <xdr:to>
      <xdr:col>9</xdr:col>
      <xdr:colOff>4529667</xdr:colOff>
      <xdr:row>16</xdr:row>
      <xdr:rowOff>1640467</xdr:rowOff>
    </xdr:to>
    <xdr:sp>
      <xdr:nvSpPr>
        <xdr:cNvPr id="739" name="ZoneTexte 1"/>
        <xdr:cNvSpPr/>
      </xdr:nvSpPr>
      <xdr:spPr>
        <a:xfrm>
          <a:off x="7630952" y="11742787"/>
          <a:ext cx="4518715" cy="160200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15715</xdr:colOff>
      <xdr:row>18</xdr:row>
      <xdr:rowOff>0</xdr:rowOff>
    </xdr:from>
    <xdr:to>
      <xdr:col>9</xdr:col>
      <xdr:colOff>4534430</xdr:colOff>
      <xdr:row>24</xdr:row>
      <xdr:rowOff>154199</xdr:rowOff>
    </xdr:to>
    <xdr:sp>
      <xdr:nvSpPr>
        <xdr:cNvPr id="740" name="ZoneTexte 1"/>
        <xdr:cNvSpPr/>
      </xdr:nvSpPr>
      <xdr:spPr>
        <a:xfrm>
          <a:off x="7635715" y="13355955"/>
          <a:ext cx="4518716" cy="1602000"/>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26</xdr:row>
      <xdr:rowOff>182882</xdr:rowOff>
    </xdr:from>
    <xdr:to>
      <xdr:col>9</xdr:col>
      <xdr:colOff>4519448</xdr:colOff>
      <xdr:row>27</xdr:row>
      <xdr:rowOff>1621157</xdr:rowOff>
    </xdr:to>
    <xdr:sp>
      <xdr:nvSpPr>
        <xdr:cNvPr id="741" name="ZoneTexte 1"/>
        <xdr:cNvSpPr/>
      </xdr:nvSpPr>
      <xdr:spPr>
        <a:xfrm>
          <a:off x="7648574" y="15596237"/>
          <a:ext cx="4490875" cy="162877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28</xdr:row>
      <xdr:rowOff>26672</xdr:rowOff>
    </xdr:from>
    <xdr:to>
      <xdr:col>9</xdr:col>
      <xdr:colOff>4466961</xdr:colOff>
      <xdr:row>28</xdr:row>
      <xdr:rowOff>1621157</xdr:rowOff>
    </xdr:to>
    <xdr:sp>
      <xdr:nvSpPr>
        <xdr:cNvPr id="742" name="ZoneTexte 1"/>
        <xdr:cNvSpPr/>
      </xdr:nvSpPr>
      <xdr:spPr>
        <a:xfrm>
          <a:off x="7648574" y="17282162"/>
          <a:ext cx="4438388" cy="159448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28</xdr:row>
      <xdr:rowOff>1636832</xdr:rowOff>
    </xdr:from>
    <xdr:to>
      <xdr:col>9</xdr:col>
      <xdr:colOff>4519448</xdr:colOff>
      <xdr:row>29</xdr:row>
      <xdr:rowOff>1621157</xdr:rowOff>
    </xdr:to>
    <xdr:sp>
      <xdr:nvSpPr>
        <xdr:cNvPr id="743" name="ZoneTexte 1"/>
        <xdr:cNvSpPr/>
      </xdr:nvSpPr>
      <xdr:spPr>
        <a:xfrm>
          <a:off x="7648574" y="18892322"/>
          <a:ext cx="4490875" cy="163596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10635</xdr:colOff>
      <xdr:row>29</xdr:row>
      <xdr:rowOff>1621158</xdr:rowOff>
    </xdr:from>
    <xdr:to>
      <xdr:col>9</xdr:col>
      <xdr:colOff>4548441</xdr:colOff>
      <xdr:row>40</xdr:row>
      <xdr:rowOff>153085</xdr:rowOff>
    </xdr:to>
    <xdr:sp>
      <xdr:nvSpPr>
        <xdr:cNvPr id="744" name="ZoneTexte 1"/>
        <xdr:cNvSpPr/>
      </xdr:nvSpPr>
      <xdr:spPr>
        <a:xfrm>
          <a:off x="7630635" y="20528283"/>
          <a:ext cx="4537807" cy="163136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10952</xdr:colOff>
      <xdr:row>29</xdr:row>
      <xdr:rowOff>1621158</xdr:rowOff>
    </xdr:from>
    <xdr:to>
      <xdr:col>9</xdr:col>
      <xdr:colOff>4548759</xdr:colOff>
      <xdr:row>40</xdr:row>
      <xdr:rowOff>123722</xdr:rowOff>
    </xdr:to>
    <xdr:sp>
      <xdr:nvSpPr>
        <xdr:cNvPr id="745" name="ZoneTexte 1"/>
        <xdr:cNvSpPr/>
      </xdr:nvSpPr>
      <xdr:spPr>
        <a:xfrm>
          <a:off x="7630952" y="20528283"/>
          <a:ext cx="4537807" cy="1602000"/>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10952</xdr:colOff>
      <xdr:row>29</xdr:row>
      <xdr:rowOff>1621158</xdr:rowOff>
    </xdr:from>
    <xdr:to>
      <xdr:col>9</xdr:col>
      <xdr:colOff>4548759</xdr:colOff>
      <xdr:row>40</xdr:row>
      <xdr:rowOff>123724</xdr:rowOff>
    </xdr:to>
    <xdr:sp>
      <xdr:nvSpPr>
        <xdr:cNvPr id="746" name="ZoneTexte 1"/>
        <xdr:cNvSpPr/>
      </xdr:nvSpPr>
      <xdr:spPr>
        <a:xfrm>
          <a:off x="7630952" y="20528283"/>
          <a:ext cx="4537807" cy="1602002"/>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15716</xdr:colOff>
      <xdr:row>29</xdr:row>
      <xdr:rowOff>1621158</xdr:rowOff>
    </xdr:from>
    <xdr:to>
      <xdr:col>9</xdr:col>
      <xdr:colOff>4553522</xdr:colOff>
      <xdr:row>40</xdr:row>
      <xdr:rowOff>123721</xdr:rowOff>
    </xdr:to>
    <xdr:sp>
      <xdr:nvSpPr>
        <xdr:cNvPr id="747" name="ZoneTexte 1"/>
        <xdr:cNvSpPr/>
      </xdr:nvSpPr>
      <xdr:spPr>
        <a:xfrm>
          <a:off x="7635716" y="20528283"/>
          <a:ext cx="4537807" cy="1601999"/>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42</xdr:row>
      <xdr:rowOff>152405</xdr:rowOff>
    </xdr:from>
    <xdr:to>
      <xdr:col>9</xdr:col>
      <xdr:colOff>2636519</xdr:colOff>
      <xdr:row>43</xdr:row>
      <xdr:rowOff>1590680</xdr:rowOff>
    </xdr:to>
    <xdr:sp>
      <xdr:nvSpPr>
        <xdr:cNvPr id="748" name="ZoneTexte 1"/>
        <xdr:cNvSpPr/>
      </xdr:nvSpPr>
      <xdr:spPr>
        <a:xfrm>
          <a:off x="7648574" y="22768565"/>
          <a:ext cx="2607946" cy="162877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42</xdr:row>
      <xdr:rowOff>152405</xdr:rowOff>
    </xdr:from>
    <xdr:to>
      <xdr:col>9</xdr:col>
      <xdr:colOff>4542761</xdr:colOff>
      <xdr:row>43</xdr:row>
      <xdr:rowOff>1590680</xdr:rowOff>
    </xdr:to>
    <xdr:sp>
      <xdr:nvSpPr>
        <xdr:cNvPr id="749" name="ZoneTexte 1"/>
        <xdr:cNvSpPr/>
      </xdr:nvSpPr>
      <xdr:spPr>
        <a:xfrm>
          <a:off x="7648574" y="22768565"/>
          <a:ext cx="4514188" cy="162877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43</xdr:row>
      <xdr:rowOff>1647830</xdr:rowOff>
    </xdr:from>
    <xdr:to>
      <xdr:col>9</xdr:col>
      <xdr:colOff>4490003</xdr:colOff>
      <xdr:row>44</xdr:row>
      <xdr:rowOff>1844043</xdr:rowOff>
    </xdr:to>
    <xdr:sp>
      <xdr:nvSpPr>
        <xdr:cNvPr id="750" name="ZoneTexte 1"/>
        <xdr:cNvSpPr/>
      </xdr:nvSpPr>
      <xdr:spPr>
        <a:xfrm>
          <a:off x="7648574" y="24454490"/>
          <a:ext cx="4461430" cy="1847849"/>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44</xdr:row>
      <xdr:rowOff>1859717</xdr:rowOff>
    </xdr:from>
    <xdr:to>
      <xdr:col>9</xdr:col>
      <xdr:colOff>4542761</xdr:colOff>
      <xdr:row>45</xdr:row>
      <xdr:rowOff>1590679</xdr:rowOff>
    </xdr:to>
    <xdr:sp>
      <xdr:nvSpPr>
        <xdr:cNvPr id="751" name="ZoneTexte 1"/>
        <xdr:cNvSpPr/>
      </xdr:nvSpPr>
      <xdr:spPr>
        <a:xfrm>
          <a:off x="7648574" y="26318012"/>
          <a:ext cx="4514188" cy="163596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10635</xdr:colOff>
      <xdr:row>45</xdr:row>
      <xdr:rowOff>1590679</xdr:rowOff>
    </xdr:from>
    <xdr:to>
      <xdr:col>9</xdr:col>
      <xdr:colOff>4572000</xdr:colOff>
      <xdr:row>55</xdr:row>
      <xdr:rowOff>220986</xdr:rowOff>
    </xdr:to>
    <xdr:sp>
      <xdr:nvSpPr>
        <xdr:cNvPr id="752" name="ZoneTexte 1"/>
        <xdr:cNvSpPr/>
      </xdr:nvSpPr>
      <xdr:spPr>
        <a:xfrm>
          <a:off x="7630635" y="27953974"/>
          <a:ext cx="4561365" cy="150114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58</xdr:row>
      <xdr:rowOff>121920</xdr:rowOff>
    </xdr:from>
    <xdr:to>
      <xdr:col>9</xdr:col>
      <xdr:colOff>4545724</xdr:colOff>
      <xdr:row>59</xdr:row>
      <xdr:rowOff>1560195</xdr:rowOff>
    </xdr:to>
    <xdr:sp>
      <xdr:nvSpPr>
        <xdr:cNvPr id="753" name="ZoneTexte 1"/>
        <xdr:cNvSpPr/>
      </xdr:nvSpPr>
      <xdr:spPr>
        <a:xfrm>
          <a:off x="7648574" y="30194250"/>
          <a:ext cx="4517151" cy="1628775"/>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59</xdr:row>
      <xdr:rowOff>1617345</xdr:rowOff>
    </xdr:from>
    <xdr:to>
      <xdr:col>9</xdr:col>
      <xdr:colOff>4492930</xdr:colOff>
      <xdr:row>60</xdr:row>
      <xdr:rowOff>1560195</xdr:rowOff>
    </xdr:to>
    <xdr:sp>
      <xdr:nvSpPr>
        <xdr:cNvPr id="754" name="ZoneTexte 1"/>
        <xdr:cNvSpPr/>
      </xdr:nvSpPr>
      <xdr:spPr>
        <a:xfrm>
          <a:off x="7648574" y="31880174"/>
          <a:ext cx="4464357" cy="1594487"/>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60</xdr:row>
      <xdr:rowOff>1575869</xdr:rowOff>
    </xdr:from>
    <xdr:to>
      <xdr:col>9</xdr:col>
      <xdr:colOff>4545724</xdr:colOff>
      <xdr:row>61</xdr:row>
      <xdr:rowOff>1560196</xdr:rowOff>
    </xdr:to>
    <xdr:sp>
      <xdr:nvSpPr>
        <xdr:cNvPr id="755" name="ZoneTexte 1"/>
        <xdr:cNvSpPr/>
      </xdr:nvSpPr>
      <xdr:spPr>
        <a:xfrm>
          <a:off x="7648574" y="33490334"/>
          <a:ext cx="4517151" cy="163596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10634</xdr:colOff>
      <xdr:row>61</xdr:row>
      <xdr:rowOff>1583053</xdr:rowOff>
    </xdr:from>
    <xdr:to>
      <xdr:col>9</xdr:col>
      <xdr:colOff>4574992</xdr:colOff>
      <xdr:row>63</xdr:row>
      <xdr:rowOff>267026</xdr:rowOff>
    </xdr:to>
    <xdr:sp>
      <xdr:nvSpPr>
        <xdr:cNvPr id="756" name="ZoneTexte 1"/>
        <xdr:cNvSpPr/>
      </xdr:nvSpPr>
      <xdr:spPr>
        <a:xfrm>
          <a:off x="7630634" y="35149153"/>
          <a:ext cx="4564359" cy="1987244"/>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10952</xdr:colOff>
      <xdr:row>62</xdr:row>
      <xdr:rowOff>1579935</xdr:rowOff>
    </xdr:from>
    <xdr:to>
      <xdr:col>9</xdr:col>
      <xdr:colOff>4575309</xdr:colOff>
      <xdr:row>63</xdr:row>
      <xdr:rowOff>1530301</xdr:rowOff>
    </xdr:to>
    <xdr:sp>
      <xdr:nvSpPr>
        <xdr:cNvPr id="757" name="ZoneTexte 1"/>
        <xdr:cNvSpPr/>
      </xdr:nvSpPr>
      <xdr:spPr>
        <a:xfrm>
          <a:off x="7630952" y="36797670"/>
          <a:ext cx="4564358" cy="1602002"/>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10952</xdr:colOff>
      <xdr:row>63</xdr:row>
      <xdr:rowOff>1598666</xdr:rowOff>
    </xdr:from>
    <xdr:to>
      <xdr:col>9</xdr:col>
      <xdr:colOff>4571998</xdr:colOff>
      <xdr:row>64</xdr:row>
      <xdr:rowOff>1549029</xdr:rowOff>
    </xdr:to>
    <xdr:sp>
      <xdr:nvSpPr>
        <xdr:cNvPr id="758" name="ZoneTexte 1"/>
        <xdr:cNvSpPr/>
      </xdr:nvSpPr>
      <xdr:spPr>
        <a:xfrm>
          <a:off x="7630952" y="38468036"/>
          <a:ext cx="4561047" cy="1601999"/>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76</xdr:row>
      <xdr:rowOff>91435</xdr:rowOff>
    </xdr:from>
    <xdr:to>
      <xdr:col>9</xdr:col>
      <xdr:colOff>4503756</xdr:colOff>
      <xdr:row>77</xdr:row>
      <xdr:rowOff>2263135</xdr:rowOff>
    </xdr:to>
    <xdr:sp>
      <xdr:nvSpPr>
        <xdr:cNvPr id="759" name="ZoneTexte 1"/>
        <xdr:cNvSpPr/>
      </xdr:nvSpPr>
      <xdr:spPr>
        <a:xfrm>
          <a:off x="7648574" y="42641515"/>
          <a:ext cx="4475183" cy="236220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77</xdr:row>
      <xdr:rowOff>2320285</xdr:rowOff>
    </xdr:from>
    <xdr:to>
      <xdr:col>9</xdr:col>
      <xdr:colOff>4451453</xdr:colOff>
      <xdr:row>78</xdr:row>
      <xdr:rowOff>1529710</xdr:rowOff>
    </xdr:to>
    <xdr:sp>
      <xdr:nvSpPr>
        <xdr:cNvPr id="760" name="ZoneTexte 1"/>
        <xdr:cNvSpPr/>
      </xdr:nvSpPr>
      <xdr:spPr>
        <a:xfrm>
          <a:off x="7648574" y="45060865"/>
          <a:ext cx="4422880" cy="159448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78</xdr:row>
      <xdr:rowOff>1545384</xdr:rowOff>
    </xdr:from>
    <xdr:to>
      <xdr:col>9</xdr:col>
      <xdr:colOff>4503756</xdr:colOff>
      <xdr:row>79</xdr:row>
      <xdr:rowOff>1529711</xdr:rowOff>
    </xdr:to>
    <xdr:sp>
      <xdr:nvSpPr>
        <xdr:cNvPr id="761" name="ZoneTexte 1"/>
        <xdr:cNvSpPr/>
      </xdr:nvSpPr>
      <xdr:spPr>
        <a:xfrm>
          <a:off x="7648574" y="46671024"/>
          <a:ext cx="4475183" cy="163596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10636</xdr:colOff>
      <xdr:row>79</xdr:row>
      <xdr:rowOff>1529711</xdr:rowOff>
    </xdr:from>
    <xdr:to>
      <xdr:col>9</xdr:col>
      <xdr:colOff>4532585</xdr:colOff>
      <xdr:row>91</xdr:row>
      <xdr:rowOff>306636</xdr:rowOff>
    </xdr:to>
    <xdr:sp>
      <xdr:nvSpPr>
        <xdr:cNvPr id="762" name="ZoneTexte 1"/>
        <xdr:cNvSpPr/>
      </xdr:nvSpPr>
      <xdr:spPr>
        <a:xfrm>
          <a:off x="7630636" y="48306986"/>
          <a:ext cx="4521950" cy="201352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10953</xdr:colOff>
      <xdr:row>79</xdr:row>
      <xdr:rowOff>1529711</xdr:rowOff>
    </xdr:from>
    <xdr:to>
      <xdr:col>9</xdr:col>
      <xdr:colOff>4532903</xdr:colOff>
      <xdr:row>90</xdr:row>
      <xdr:rowOff>85614</xdr:rowOff>
    </xdr:to>
    <xdr:sp>
      <xdr:nvSpPr>
        <xdr:cNvPr id="763" name="ZoneTexte 1"/>
        <xdr:cNvSpPr/>
      </xdr:nvSpPr>
      <xdr:spPr>
        <a:xfrm>
          <a:off x="7630953" y="48306986"/>
          <a:ext cx="4521950" cy="1601999"/>
        </a:xfrm>
        <a:prstGeom prst="rect">
          <a:avLst/>
        </a:prstGeom>
        <a:solidFill>
          <a:srgbClr val="FFFFFF"/>
        </a:solidFill>
        <a:ln w="12700" cap="flat">
          <a:noFill/>
          <a:miter lim="400000"/>
        </a:ln>
        <a:effectLst/>
      </xdr:spPr>
      <xdr:txBody>
        <a:bodyPr/>
        <a:lstStyle/>
        <a:p>
          <a:pPr/>
        </a:p>
      </xdr:txBody>
    </xdr:sp>
    <xdr:clientData/>
  </xdr:twoCellAnchor>
  <xdr:twoCellAnchor>
    <xdr:from>
      <xdr:col>5</xdr:col>
      <xdr:colOff>11781</xdr:colOff>
      <xdr:row>8</xdr:row>
      <xdr:rowOff>167760</xdr:rowOff>
    </xdr:from>
    <xdr:to>
      <xdr:col>5</xdr:col>
      <xdr:colOff>464966</xdr:colOff>
      <xdr:row>10</xdr:row>
      <xdr:rowOff>2896</xdr:rowOff>
    </xdr:to>
    <xdr:grpSp>
      <xdr:nvGrpSpPr>
        <xdr:cNvPr id="766" name="Ellipse 59"/>
        <xdr:cNvGrpSpPr/>
      </xdr:nvGrpSpPr>
      <xdr:grpSpPr>
        <a:xfrm>
          <a:off x="532481" y="2758560"/>
          <a:ext cx="453185" cy="437117"/>
          <a:chOff x="0" y="0"/>
          <a:chExt cx="453184" cy="437115"/>
        </a:xfrm>
      </xdr:grpSpPr>
      <xdr:sp>
        <xdr:nvSpPr>
          <xdr:cNvPr id="764" name="Ovale"/>
          <xdr:cNvSpPr/>
        </xdr:nvSpPr>
        <xdr:spPr>
          <a:xfrm>
            <a:off x="-1" y="0"/>
            <a:ext cx="453186" cy="437116"/>
          </a:xfrm>
          <a:prstGeom prst="ellipse">
            <a:avLst/>
          </a:prstGeom>
          <a:noFill/>
          <a:ln w="28575" cap="flat">
            <a:solidFill>
              <a:srgbClr val="203B7D"/>
            </a:solidFill>
            <a:prstDash val="solid"/>
            <a:miter lim="800000"/>
          </a:ln>
          <a:effectLst/>
        </xdr:spPr>
        <xdr:txBody>
          <a:bodyPr/>
          <a:lstStyle/>
          <a:p>
            <a:pPr/>
          </a:p>
        </xdr:txBody>
      </xdr:sp>
      <xdr:sp>
        <xdr:nvSpPr>
          <xdr:cNvPr id="765" name="1"/>
          <xdr:cNvSpPr txBox="1"/>
        </xdr:nvSpPr>
        <xdr:spPr>
          <a:xfrm>
            <a:off x="116352" y="57263"/>
            <a:ext cx="220479" cy="322590"/>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203864"/>
                </a:solidFill>
                <a:uFillTx/>
                <a:latin typeface="Calibri"/>
                <a:ea typeface="Calibri"/>
                <a:cs typeface="Calibri"/>
                <a:sym typeface="Calibri"/>
              </a:defRPr>
            </a:pPr>
            <a:r>
              <a:rPr b="0" baseline="0" cap="none" i="0" spc="0" strike="noStrike" sz="2600" u="none">
                <a:solidFill>
                  <a:srgbClr val="203864"/>
                </a:solidFill>
                <a:uFillTx/>
                <a:latin typeface="Calibri"/>
                <a:ea typeface="Calibri"/>
                <a:cs typeface="Calibri"/>
                <a:sym typeface="Calibri"/>
              </a:rPr>
              <a:t>1</a:t>
            </a:r>
          </a:p>
        </xdr:txBody>
      </xdr:sp>
    </xdr:grpSp>
    <xdr:clientData/>
  </xdr:twoCellAnchor>
  <xdr:twoCellAnchor>
    <xdr:from>
      <xdr:col>1</xdr:col>
      <xdr:colOff>304800</xdr:colOff>
      <xdr:row>24</xdr:row>
      <xdr:rowOff>153556</xdr:rowOff>
    </xdr:from>
    <xdr:to>
      <xdr:col>5</xdr:col>
      <xdr:colOff>453184</xdr:colOff>
      <xdr:row>25</xdr:row>
      <xdr:rowOff>396306</xdr:rowOff>
    </xdr:to>
    <xdr:grpSp>
      <xdr:nvGrpSpPr>
        <xdr:cNvPr id="769" name="Ellipse 60"/>
        <xdr:cNvGrpSpPr/>
      </xdr:nvGrpSpPr>
      <xdr:grpSpPr>
        <a:xfrm>
          <a:off x="520699" y="14957311"/>
          <a:ext cx="453186" cy="433251"/>
          <a:chOff x="0" y="0"/>
          <a:chExt cx="453184" cy="433250"/>
        </a:xfrm>
      </xdr:grpSpPr>
      <xdr:sp>
        <xdr:nvSpPr>
          <xdr:cNvPr id="767" name="Ovale"/>
          <xdr:cNvSpPr/>
        </xdr:nvSpPr>
        <xdr:spPr>
          <a:xfrm>
            <a:off x="-1" y="-1"/>
            <a:ext cx="453186" cy="433252"/>
          </a:xfrm>
          <a:prstGeom prst="ellipse">
            <a:avLst/>
          </a:prstGeom>
          <a:noFill/>
          <a:ln w="28575" cap="flat">
            <a:solidFill>
              <a:srgbClr val="203B7D"/>
            </a:solidFill>
            <a:prstDash val="solid"/>
            <a:miter lim="800000"/>
          </a:ln>
          <a:effectLst/>
        </xdr:spPr>
        <xdr:txBody>
          <a:bodyPr/>
          <a:lstStyle/>
          <a:p>
            <a:pPr/>
          </a:p>
        </xdr:txBody>
      </xdr:sp>
      <xdr:sp>
        <xdr:nvSpPr>
          <xdr:cNvPr id="768" name="2"/>
          <xdr:cNvSpPr txBox="1"/>
        </xdr:nvSpPr>
        <xdr:spPr>
          <a:xfrm>
            <a:off x="116352" y="56902"/>
            <a:ext cx="220479" cy="319445"/>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203B7D"/>
                </a:solidFill>
                <a:uFillTx/>
                <a:latin typeface="Calibri"/>
                <a:ea typeface="Calibri"/>
                <a:cs typeface="Calibri"/>
                <a:sym typeface="Calibri"/>
              </a:defRPr>
            </a:pPr>
            <a:r>
              <a:rPr b="0" baseline="0" cap="none" i="0" spc="0" strike="noStrike" sz="2600" u="none">
                <a:solidFill>
                  <a:srgbClr val="203B7D"/>
                </a:solidFill>
                <a:uFillTx/>
                <a:latin typeface="Calibri"/>
                <a:ea typeface="Calibri"/>
                <a:cs typeface="Calibri"/>
                <a:sym typeface="Calibri"/>
              </a:rPr>
              <a:t>2</a:t>
            </a:r>
          </a:p>
        </xdr:txBody>
      </xdr:sp>
    </xdr:grpSp>
    <xdr:clientData/>
  </xdr:twoCellAnchor>
  <xdr:twoCellAnchor>
    <xdr:from>
      <xdr:col>5</xdr:col>
      <xdr:colOff>18362</xdr:colOff>
      <xdr:row>40</xdr:row>
      <xdr:rowOff>119534</xdr:rowOff>
    </xdr:from>
    <xdr:to>
      <xdr:col>5</xdr:col>
      <xdr:colOff>471546</xdr:colOff>
      <xdr:row>41</xdr:row>
      <xdr:rowOff>362286</xdr:rowOff>
    </xdr:to>
    <xdr:grpSp>
      <xdr:nvGrpSpPr>
        <xdr:cNvPr id="772" name="Ellipse 61"/>
        <xdr:cNvGrpSpPr/>
      </xdr:nvGrpSpPr>
      <xdr:grpSpPr>
        <a:xfrm>
          <a:off x="539062" y="22126094"/>
          <a:ext cx="453185" cy="433253"/>
          <a:chOff x="0" y="0"/>
          <a:chExt cx="453184" cy="433251"/>
        </a:xfrm>
      </xdr:grpSpPr>
      <xdr:sp>
        <xdr:nvSpPr>
          <xdr:cNvPr id="770" name="Ovale"/>
          <xdr:cNvSpPr/>
        </xdr:nvSpPr>
        <xdr:spPr>
          <a:xfrm>
            <a:off x="-1" y="0"/>
            <a:ext cx="453186" cy="433252"/>
          </a:xfrm>
          <a:prstGeom prst="ellipse">
            <a:avLst/>
          </a:prstGeom>
          <a:noFill/>
          <a:ln w="28575" cap="flat">
            <a:solidFill>
              <a:srgbClr val="203B7D"/>
            </a:solidFill>
            <a:prstDash val="solid"/>
            <a:miter lim="800000"/>
          </a:ln>
          <a:effectLst/>
        </xdr:spPr>
        <xdr:txBody>
          <a:bodyPr/>
          <a:lstStyle/>
          <a:p>
            <a:pPr/>
          </a:p>
        </xdr:txBody>
      </xdr:sp>
      <xdr:sp>
        <xdr:nvSpPr>
          <xdr:cNvPr id="771" name="3"/>
          <xdr:cNvSpPr txBox="1"/>
        </xdr:nvSpPr>
        <xdr:spPr>
          <a:xfrm>
            <a:off x="116352" y="56901"/>
            <a:ext cx="220479" cy="319449"/>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203B7D"/>
                </a:solidFill>
                <a:uFillTx/>
                <a:latin typeface="Calibri"/>
                <a:ea typeface="Calibri"/>
                <a:cs typeface="Calibri"/>
                <a:sym typeface="Calibri"/>
              </a:defRPr>
            </a:pPr>
            <a:r>
              <a:rPr b="0" baseline="0" cap="none" i="0" spc="0" strike="noStrike" sz="2600" u="none">
                <a:solidFill>
                  <a:srgbClr val="203B7D"/>
                </a:solidFill>
                <a:uFillTx/>
                <a:latin typeface="Calibri"/>
                <a:ea typeface="Calibri"/>
                <a:cs typeface="Calibri"/>
                <a:sym typeface="Calibri"/>
              </a:rPr>
              <a:t>3</a:t>
            </a:r>
          </a:p>
        </xdr:txBody>
      </xdr:sp>
    </xdr:grpSp>
    <xdr:clientData/>
  </xdr:twoCellAnchor>
  <xdr:twoCellAnchor>
    <xdr:from>
      <xdr:col>1</xdr:col>
      <xdr:colOff>304800</xdr:colOff>
      <xdr:row>56</xdr:row>
      <xdr:rowOff>89053</xdr:rowOff>
    </xdr:from>
    <xdr:to>
      <xdr:col>5</xdr:col>
      <xdr:colOff>453184</xdr:colOff>
      <xdr:row>57</xdr:row>
      <xdr:rowOff>331801</xdr:rowOff>
    </xdr:to>
    <xdr:grpSp>
      <xdr:nvGrpSpPr>
        <xdr:cNvPr id="775" name="Ellipse 62"/>
        <xdr:cNvGrpSpPr/>
      </xdr:nvGrpSpPr>
      <xdr:grpSpPr>
        <a:xfrm>
          <a:off x="520699" y="29551783"/>
          <a:ext cx="453186" cy="433249"/>
          <a:chOff x="0" y="0"/>
          <a:chExt cx="453184" cy="433248"/>
        </a:xfrm>
      </xdr:grpSpPr>
      <xdr:sp>
        <xdr:nvSpPr>
          <xdr:cNvPr id="773" name="Ovale"/>
          <xdr:cNvSpPr/>
        </xdr:nvSpPr>
        <xdr:spPr>
          <a:xfrm>
            <a:off x="-1" y="-1"/>
            <a:ext cx="453186" cy="433250"/>
          </a:xfrm>
          <a:prstGeom prst="ellipse">
            <a:avLst/>
          </a:prstGeom>
          <a:noFill/>
          <a:ln w="28575" cap="flat">
            <a:solidFill>
              <a:srgbClr val="203B7D"/>
            </a:solidFill>
            <a:prstDash val="solid"/>
            <a:miter lim="800000"/>
          </a:ln>
          <a:effectLst/>
        </xdr:spPr>
        <xdr:txBody>
          <a:bodyPr/>
          <a:lstStyle/>
          <a:p>
            <a:pPr/>
          </a:p>
        </xdr:txBody>
      </xdr:sp>
      <xdr:sp>
        <xdr:nvSpPr>
          <xdr:cNvPr id="774" name="4"/>
          <xdr:cNvSpPr txBox="1"/>
        </xdr:nvSpPr>
        <xdr:spPr>
          <a:xfrm>
            <a:off x="116352" y="56902"/>
            <a:ext cx="220479" cy="319443"/>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203B7D"/>
                </a:solidFill>
                <a:uFillTx/>
                <a:latin typeface="Calibri"/>
                <a:ea typeface="Calibri"/>
                <a:cs typeface="Calibri"/>
                <a:sym typeface="Calibri"/>
              </a:defRPr>
            </a:pPr>
            <a:r>
              <a:rPr b="0" baseline="0" cap="none" i="0" spc="0" strike="noStrike" sz="2600" u="none">
                <a:solidFill>
                  <a:srgbClr val="203B7D"/>
                </a:solidFill>
                <a:uFillTx/>
                <a:latin typeface="Calibri"/>
                <a:ea typeface="Calibri"/>
                <a:cs typeface="Calibri"/>
                <a:sym typeface="Calibri"/>
              </a:rPr>
              <a:t>4</a:t>
            </a:r>
          </a:p>
        </xdr:txBody>
      </xdr:sp>
    </xdr:grpSp>
    <xdr:clientData/>
  </xdr:twoCellAnchor>
  <xdr:twoCellAnchor>
    <xdr:from>
      <xdr:col>5</xdr:col>
      <xdr:colOff>9180</xdr:colOff>
      <xdr:row>74</xdr:row>
      <xdr:rowOff>58568</xdr:rowOff>
    </xdr:from>
    <xdr:to>
      <xdr:col>5</xdr:col>
      <xdr:colOff>462365</xdr:colOff>
      <xdr:row>75</xdr:row>
      <xdr:rowOff>301316</xdr:rowOff>
    </xdr:to>
    <xdr:grpSp>
      <xdr:nvGrpSpPr>
        <xdr:cNvPr id="778" name="Ellipse 158719"/>
        <xdr:cNvGrpSpPr/>
      </xdr:nvGrpSpPr>
      <xdr:grpSpPr>
        <a:xfrm>
          <a:off x="529880" y="41999048"/>
          <a:ext cx="453185" cy="433249"/>
          <a:chOff x="0" y="0"/>
          <a:chExt cx="453184" cy="433248"/>
        </a:xfrm>
      </xdr:grpSpPr>
      <xdr:sp>
        <xdr:nvSpPr>
          <xdr:cNvPr id="776" name="Ovale"/>
          <xdr:cNvSpPr/>
        </xdr:nvSpPr>
        <xdr:spPr>
          <a:xfrm>
            <a:off x="-1" y="-1"/>
            <a:ext cx="453186" cy="433250"/>
          </a:xfrm>
          <a:prstGeom prst="ellipse">
            <a:avLst/>
          </a:prstGeom>
          <a:noFill/>
          <a:ln w="28575" cap="flat">
            <a:solidFill>
              <a:srgbClr val="203B7D"/>
            </a:solidFill>
            <a:prstDash val="solid"/>
            <a:miter lim="800000"/>
          </a:ln>
          <a:effectLst/>
        </xdr:spPr>
        <xdr:txBody>
          <a:bodyPr/>
          <a:lstStyle/>
          <a:p>
            <a:pPr/>
          </a:p>
        </xdr:txBody>
      </xdr:sp>
      <xdr:sp>
        <xdr:nvSpPr>
          <xdr:cNvPr id="777" name="5"/>
          <xdr:cNvSpPr txBox="1"/>
        </xdr:nvSpPr>
        <xdr:spPr>
          <a:xfrm>
            <a:off x="116352" y="56902"/>
            <a:ext cx="220479" cy="319443"/>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203B7D"/>
                </a:solidFill>
                <a:uFillTx/>
                <a:latin typeface="Calibri"/>
                <a:ea typeface="Calibri"/>
                <a:cs typeface="Calibri"/>
                <a:sym typeface="Calibri"/>
              </a:defRPr>
            </a:pPr>
            <a:r>
              <a:rPr b="0" baseline="0" cap="none" i="0" spc="0" strike="noStrike" sz="2600" u="none">
                <a:solidFill>
                  <a:srgbClr val="203B7D"/>
                </a:solidFill>
                <a:uFillTx/>
                <a:latin typeface="Calibri"/>
                <a:ea typeface="Calibri"/>
                <a:cs typeface="Calibri"/>
                <a:sym typeface="Calibri"/>
              </a:rPr>
              <a:t>5</a:t>
            </a:r>
          </a:p>
        </xdr:txBody>
      </xdr:sp>
    </xdr:grpSp>
    <xdr:clientData/>
  </xdr:twoCellAnchor>
  <xdr:twoCellAnchor>
    <xdr:from>
      <xdr:col>9</xdr:col>
      <xdr:colOff>10634</xdr:colOff>
      <xdr:row>63</xdr:row>
      <xdr:rowOff>1583055</xdr:rowOff>
    </xdr:from>
    <xdr:to>
      <xdr:col>9</xdr:col>
      <xdr:colOff>4574992</xdr:colOff>
      <xdr:row>67</xdr:row>
      <xdr:rowOff>76528</xdr:rowOff>
    </xdr:to>
    <xdr:sp>
      <xdr:nvSpPr>
        <xdr:cNvPr id="779" name="ZoneTexte 1"/>
        <xdr:cNvSpPr/>
      </xdr:nvSpPr>
      <xdr:spPr>
        <a:xfrm>
          <a:off x="7630634" y="38452424"/>
          <a:ext cx="4564359" cy="1987245"/>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10952</xdr:colOff>
      <xdr:row>64</xdr:row>
      <xdr:rowOff>1560198</xdr:rowOff>
    </xdr:from>
    <xdr:to>
      <xdr:col>9</xdr:col>
      <xdr:colOff>4575309</xdr:colOff>
      <xdr:row>72</xdr:row>
      <xdr:rowOff>199921</xdr:rowOff>
    </xdr:to>
    <xdr:sp>
      <xdr:nvSpPr>
        <xdr:cNvPr id="780" name="ZoneTexte 1"/>
        <xdr:cNvSpPr/>
      </xdr:nvSpPr>
      <xdr:spPr>
        <a:xfrm>
          <a:off x="7630952" y="40081203"/>
          <a:ext cx="4564358" cy="1601999"/>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45</xdr:row>
      <xdr:rowOff>1590679</xdr:rowOff>
    </xdr:from>
    <xdr:to>
      <xdr:col>9</xdr:col>
      <xdr:colOff>4542761</xdr:colOff>
      <xdr:row>56</xdr:row>
      <xdr:rowOff>127206</xdr:rowOff>
    </xdr:to>
    <xdr:sp>
      <xdr:nvSpPr>
        <xdr:cNvPr id="781" name="ZoneTexte 1"/>
        <xdr:cNvSpPr/>
      </xdr:nvSpPr>
      <xdr:spPr>
        <a:xfrm>
          <a:off x="7648574" y="27953974"/>
          <a:ext cx="4514188" cy="163596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10635</xdr:colOff>
      <xdr:row>45</xdr:row>
      <xdr:rowOff>1590679</xdr:rowOff>
    </xdr:from>
    <xdr:to>
      <xdr:col>9</xdr:col>
      <xdr:colOff>4572000</xdr:colOff>
      <xdr:row>55</xdr:row>
      <xdr:rowOff>220986</xdr:rowOff>
    </xdr:to>
    <xdr:sp>
      <xdr:nvSpPr>
        <xdr:cNvPr id="782" name="ZoneTexte 1"/>
        <xdr:cNvSpPr/>
      </xdr:nvSpPr>
      <xdr:spPr>
        <a:xfrm>
          <a:off x="7630635" y="27953974"/>
          <a:ext cx="4561365" cy="150114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45</xdr:row>
      <xdr:rowOff>1590679</xdr:rowOff>
    </xdr:from>
    <xdr:to>
      <xdr:col>9</xdr:col>
      <xdr:colOff>4542761</xdr:colOff>
      <xdr:row>56</xdr:row>
      <xdr:rowOff>127206</xdr:rowOff>
    </xdr:to>
    <xdr:sp>
      <xdr:nvSpPr>
        <xdr:cNvPr id="783" name="ZoneTexte 1"/>
        <xdr:cNvSpPr/>
      </xdr:nvSpPr>
      <xdr:spPr>
        <a:xfrm>
          <a:off x="7648574" y="27953974"/>
          <a:ext cx="4514188" cy="163596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10636</xdr:colOff>
      <xdr:row>79</xdr:row>
      <xdr:rowOff>1529711</xdr:rowOff>
    </xdr:from>
    <xdr:to>
      <xdr:col>9</xdr:col>
      <xdr:colOff>4532585</xdr:colOff>
      <xdr:row>91</xdr:row>
      <xdr:rowOff>306636</xdr:rowOff>
    </xdr:to>
    <xdr:sp>
      <xdr:nvSpPr>
        <xdr:cNvPr id="784" name="ZoneTexte 1"/>
        <xdr:cNvSpPr/>
      </xdr:nvSpPr>
      <xdr:spPr>
        <a:xfrm>
          <a:off x="7630636" y="48306986"/>
          <a:ext cx="4521950" cy="201352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10953</xdr:colOff>
      <xdr:row>79</xdr:row>
      <xdr:rowOff>1529711</xdr:rowOff>
    </xdr:from>
    <xdr:to>
      <xdr:col>9</xdr:col>
      <xdr:colOff>4532903</xdr:colOff>
      <xdr:row>90</xdr:row>
      <xdr:rowOff>85614</xdr:rowOff>
    </xdr:to>
    <xdr:sp>
      <xdr:nvSpPr>
        <xdr:cNvPr id="785" name="ZoneTexte 1"/>
        <xdr:cNvSpPr/>
      </xdr:nvSpPr>
      <xdr:spPr>
        <a:xfrm>
          <a:off x="7630953" y="48306986"/>
          <a:ext cx="4521950" cy="1601999"/>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92</xdr:row>
      <xdr:rowOff>68570</xdr:rowOff>
    </xdr:from>
    <xdr:to>
      <xdr:col>9</xdr:col>
      <xdr:colOff>4503756</xdr:colOff>
      <xdr:row>93</xdr:row>
      <xdr:rowOff>1506841</xdr:rowOff>
    </xdr:to>
    <xdr:sp>
      <xdr:nvSpPr>
        <xdr:cNvPr id="786" name="ZoneTexte 1"/>
        <xdr:cNvSpPr/>
      </xdr:nvSpPr>
      <xdr:spPr>
        <a:xfrm>
          <a:off x="7648574" y="50501540"/>
          <a:ext cx="4475183" cy="1628772"/>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93</xdr:row>
      <xdr:rowOff>1563992</xdr:rowOff>
    </xdr:from>
    <xdr:to>
      <xdr:col>9</xdr:col>
      <xdr:colOff>4451453</xdr:colOff>
      <xdr:row>94</xdr:row>
      <xdr:rowOff>1506839</xdr:rowOff>
    </xdr:to>
    <xdr:sp>
      <xdr:nvSpPr>
        <xdr:cNvPr id="787" name="ZoneTexte 1"/>
        <xdr:cNvSpPr/>
      </xdr:nvSpPr>
      <xdr:spPr>
        <a:xfrm>
          <a:off x="7648574" y="52187462"/>
          <a:ext cx="4422880" cy="159448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94</xdr:row>
      <xdr:rowOff>1522516</xdr:rowOff>
    </xdr:from>
    <xdr:to>
      <xdr:col>9</xdr:col>
      <xdr:colOff>4503756</xdr:colOff>
      <xdr:row>95</xdr:row>
      <xdr:rowOff>1506837</xdr:rowOff>
    </xdr:to>
    <xdr:sp>
      <xdr:nvSpPr>
        <xdr:cNvPr id="788" name="ZoneTexte 1"/>
        <xdr:cNvSpPr/>
      </xdr:nvSpPr>
      <xdr:spPr>
        <a:xfrm>
          <a:off x="7648574" y="53797621"/>
          <a:ext cx="4475183" cy="1635957"/>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10636</xdr:colOff>
      <xdr:row>95</xdr:row>
      <xdr:rowOff>1529695</xdr:rowOff>
    </xdr:from>
    <xdr:to>
      <xdr:col>9</xdr:col>
      <xdr:colOff>4532585</xdr:colOff>
      <xdr:row>96</xdr:row>
      <xdr:rowOff>1443781</xdr:rowOff>
    </xdr:to>
    <xdr:sp>
      <xdr:nvSpPr>
        <xdr:cNvPr id="789" name="ZoneTexte 1"/>
        <xdr:cNvSpPr/>
      </xdr:nvSpPr>
      <xdr:spPr>
        <a:xfrm>
          <a:off x="7630636" y="55456435"/>
          <a:ext cx="4521950" cy="1565722"/>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10953</xdr:colOff>
      <xdr:row>96</xdr:row>
      <xdr:rowOff>1526573</xdr:rowOff>
    </xdr:from>
    <xdr:to>
      <xdr:col>9</xdr:col>
      <xdr:colOff>4532903</xdr:colOff>
      <xdr:row>97</xdr:row>
      <xdr:rowOff>1476936</xdr:rowOff>
    </xdr:to>
    <xdr:sp>
      <xdr:nvSpPr>
        <xdr:cNvPr id="790" name="ZoneTexte 1"/>
        <xdr:cNvSpPr/>
      </xdr:nvSpPr>
      <xdr:spPr>
        <a:xfrm>
          <a:off x="7630953" y="57104948"/>
          <a:ext cx="4521950" cy="1601999"/>
        </a:xfrm>
        <a:prstGeom prst="rect">
          <a:avLst/>
        </a:prstGeom>
        <a:solidFill>
          <a:srgbClr val="FFFFFF"/>
        </a:solidFill>
        <a:ln w="12700" cap="flat">
          <a:noFill/>
          <a:miter lim="400000"/>
        </a:ln>
        <a:effectLst/>
      </xdr:spPr>
      <xdr:txBody>
        <a:bodyPr/>
        <a:lstStyle/>
        <a:p>
          <a:pPr/>
        </a:p>
      </xdr:txBody>
    </xdr:sp>
    <xdr:clientData/>
  </xdr:twoCellAnchor>
  <xdr:twoCellAnchor>
    <xdr:from>
      <xdr:col>5</xdr:col>
      <xdr:colOff>9180</xdr:colOff>
      <xdr:row>90</xdr:row>
      <xdr:rowOff>35704</xdr:rowOff>
    </xdr:from>
    <xdr:to>
      <xdr:col>5</xdr:col>
      <xdr:colOff>462365</xdr:colOff>
      <xdr:row>91</xdr:row>
      <xdr:rowOff>278452</xdr:rowOff>
    </xdr:to>
    <xdr:grpSp>
      <xdr:nvGrpSpPr>
        <xdr:cNvPr id="793" name="Ellipse 158942"/>
        <xdr:cNvGrpSpPr/>
      </xdr:nvGrpSpPr>
      <xdr:grpSpPr>
        <a:xfrm>
          <a:off x="529880" y="49859074"/>
          <a:ext cx="453185" cy="433249"/>
          <a:chOff x="0" y="0"/>
          <a:chExt cx="453184" cy="433248"/>
        </a:xfrm>
      </xdr:grpSpPr>
      <xdr:sp>
        <xdr:nvSpPr>
          <xdr:cNvPr id="791" name="Ovale"/>
          <xdr:cNvSpPr/>
        </xdr:nvSpPr>
        <xdr:spPr>
          <a:xfrm>
            <a:off x="-1" y="-1"/>
            <a:ext cx="453186" cy="433250"/>
          </a:xfrm>
          <a:prstGeom prst="ellipse">
            <a:avLst/>
          </a:prstGeom>
          <a:noFill/>
          <a:ln w="28575" cap="flat">
            <a:solidFill>
              <a:srgbClr val="203B7D"/>
            </a:solidFill>
            <a:prstDash val="solid"/>
            <a:miter lim="800000"/>
          </a:ln>
          <a:effectLst/>
        </xdr:spPr>
        <xdr:txBody>
          <a:bodyPr/>
          <a:lstStyle/>
          <a:p>
            <a:pPr/>
          </a:p>
        </xdr:txBody>
      </xdr:sp>
      <xdr:sp>
        <xdr:nvSpPr>
          <xdr:cNvPr id="792" name="6"/>
          <xdr:cNvSpPr txBox="1"/>
        </xdr:nvSpPr>
        <xdr:spPr>
          <a:xfrm>
            <a:off x="116352" y="56902"/>
            <a:ext cx="220479" cy="319443"/>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203B7D"/>
                </a:solidFill>
                <a:uFillTx/>
                <a:latin typeface="Calibri"/>
                <a:ea typeface="Calibri"/>
                <a:cs typeface="Calibri"/>
                <a:sym typeface="Calibri"/>
              </a:defRPr>
            </a:pPr>
            <a:r>
              <a:rPr b="0" baseline="0" cap="none" i="0" spc="0" strike="noStrike" sz="2600" u="none">
                <a:solidFill>
                  <a:srgbClr val="203B7D"/>
                </a:solidFill>
                <a:uFillTx/>
                <a:latin typeface="Calibri"/>
                <a:ea typeface="Calibri"/>
                <a:cs typeface="Calibri"/>
                <a:sym typeface="Calibri"/>
              </a:rPr>
              <a:t>6</a:t>
            </a:r>
          </a:p>
        </xdr:txBody>
      </xdr:sp>
    </xdr:grpSp>
    <xdr:clientData/>
  </xdr:twoCellAnchor>
  <xdr:twoCellAnchor>
    <xdr:from>
      <xdr:col>9</xdr:col>
      <xdr:colOff>10636</xdr:colOff>
      <xdr:row>97</xdr:row>
      <xdr:rowOff>1529690</xdr:rowOff>
    </xdr:from>
    <xdr:to>
      <xdr:col>9</xdr:col>
      <xdr:colOff>4532585</xdr:colOff>
      <xdr:row>98</xdr:row>
      <xdr:rowOff>1443776</xdr:rowOff>
    </xdr:to>
    <xdr:sp>
      <xdr:nvSpPr>
        <xdr:cNvPr id="794" name="ZoneTexte 1"/>
        <xdr:cNvSpPr/>
      </xdr:nvSpPr>
      <xdr:spPr>
        <a:xfrm>
          <a:off x="7630636" y="58759700"/>
          <a:ext cx="4521950" cy="1565722"/>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10953</xdr:colOff>
      <xdr:row>98</xdr:row>
      <xdr:rowOff>1506830</xdr:rowOff>
    </xdr:from>
    <xdr:to>
      <xdr:col>9</xdr:col>
      <xdr:colOff>4532903</xdr:colOff>
      <xdr:row>122</xdr:row>
      <xdr:rowOff>177033</xdr:rowOff>
    </xdr:to>
    <xdr:sp>
      <xdr:nvSpPr>
        <xdr:cNvPr id="795" name="ZoneTexte 1"/>
        <xdr:cNvSpPr/>
      </xdr:nvSpPr>
      <xdr:spPr>
        <a:xfrm>
          <a:off x="7630953" y="60388475"/>
          <a:ext cx="4521950" cy="1601999"/>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100</xdr:row>
      <xdr:rowOff>38073</xdr:rowOff>
    </xdr:from>
    <xdr:to>
      <xdr:col>9</xdr:col>
      <xdr:colOff>4503756</xdr:colOff>
      <xdr:row>124</xdr:row>
      <xdr:rowOff>20928</xdr:rowOff>
    </xdr:to>
    <xdr:sp>
      <xdr:nvSpPr>
        <xdr:cNvPr id="796" name="ZoneTexte 1"/>
        <xdr:cNvSpPr/>
      </xdr:nvSpPr>
      <xdr:spPr>
        <a:xfrm>
          <a:off x="7648574" y="60571353"/>
          <a:ext cx="4475183" cy="162877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100</xdr:row>
      <xdr:rowOff>38073</xdr:rowOff>
    </xdr:from>
    <xdr:to>
      <xdr:col>9</xdr:col>
      <xdr:colOff>4451453</xdr:colOff>
      <xdr:row>123</xdr:row>
      <xdr:rowOff>169515</xdr:rowOff>
    </xdr:to>
    <xdr:sp>
      <xdr:nvSpPr>
        <xdr:cNvPr id="797" name="ZoneTexte 1"/>
        <xdr:cNvSpPr/>
      </xdr:nvSpPr>
      <xdr:spPr>
        <a:xfrm>
          <a:off x="7648574" y="60571353"/>
          <a:ext cx="4422880" cy="159448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100</xdr:row>
      <xdr:rowOff>38073</xdr:rowOff>
    </xdr:from>
    <xdr:to>
      <xdr:col>9</xdr:col>
      <xdr:colOff>4503756</xdr:colOff>
      <xdr:row>124</xdr:row>
      <xdr:rowOff>28109</xdr:rowOff>
    </xdr:to>
    <xdr:sp>
      <xdr:nvSpPr>
        <xdr:cNvPr id="798" name="ZoneTexte 1"/>
        <xdr:cNvSpPr/>
      </xdr:nvSpPr>
      <xdr:spPr>
        <a:xfrm>
          <a:off x="7648574" y="60571353"/>
          <a:ext cx="4475183" cy="1635957"/>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10636</xdr:colOff>
      <xdr:row>100</xdr:row>
      <xdr:rowOff>38073</xdr:rowOff>
    </xdr:from>
    <xdr:to>
      <xdr:col>9</xdr:col>
      <xdr:colOff>4532585</xdr:colOff>
      <xdr:row>126</xdr:row>
      <xdr:rowOff>39914</xdr:rowOff>
    </xdr:to>
    <xdr:sp>
      <xdr:nvSpPr>
        <xdr:cNvPr id="799" name="ZoneTexte 1"/>
        <xdr:cNvSpPr/>
      </xdr:nvSpPr>
      <xdr:spPr>
        <a:xfrm>
          <a:off x="7630636" y="60571353"/>
          <a:ext cx="4521950" cy="2013522"/>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10953</xdr:colOff>
      <xdr:row>100</xdr:row>
      <xdr:rowOff>38073</xdr:rowOff>
    </xdr:from>
    <xdr:to>
      <xdr:col>9</xdr:col>
      <xdr:colOff>4532903</xdr:colOff>
      <xdr:row>123</xdr:row>
      <xdr:rowOff>177031</xdr:rowOff>
    </xdr:to>
    <xdr:sp>
      <xdr:nvSpPr>
        <xdr:cNvPr id="800" name="ZoneTexte 1"/>
        <xdr:cNvSpPr/>
      </xdr:nvSpPr>
      <xdr:spPr>
        <a:xfrm>
          <a:off x="7630953" y="60571353"/>
          <a:ext cx="4521950" cy="1601999"/>
        </a:xfrm>
        <a:prstGeom prst="rect">
          <a:avLst/>
        </a:prstGeom>
        <a:solidFill>
          <a:srgbClr val="FFFFFF"/>
        </a:solidFill>
        <a:ln w="12700" cap="flat">
          <a:noFill/>
          <a:miter lim="400000"/>
        </a:ln>
        <a:effectLst/>
      </xdr:spPr>
      <xdr:txBody>
        <a:bodyPr/>
        <a:lstStyle/>
        <a:p>
          <a:pPr/>
        </a:p>
      </xdr:txBody>
    </xdr:sp>
    <xdr:clientData/>
  </xdr:twoCellAnchor>
  <xdr:twoCellAnchor>
    <xdr:from>
      <xdr:col>5</xdr:col>
      <xdr:colOff>9180</xdr:colOff>
      <xdr:row>100</xdr:row>
      <xdr:rowOff>38073</xdr:rowOff>
    </xdr:from>
    <xdr:to>
      <xdr:col>5</xdr:col>
      <xdr:colOff>462365</xdr:colOff>
      <xdr:row>117</xdr:row>
      <xdr:rowOff>105565</xdr:rowOff>
    </xdr:to>
    <xdr:grpSp>
      <xdr:nvGrpSpPr>
        <xdr:cNvPr id="803" name="Ellipse 158992"/>
        <xdr:cNvGrpSpPr/>
      </xdr:nvGrpSpPr>
      <xdr:grpSpPr>
        <a:xfrm>
          <a:off x="529880" y="60571353"/>
          <a:ext cx="453185" cy="433253"/>
          <a:chOff x="0" y="0"/>
          <a:chExt cx="453184" cy="433251"/>
        </a:xfrm>
      </xdr:grpSpPr>
      <xdr:sp>
        <xdr:nvSpPr>
          <xdr:cNvPr id="801" name="Ovale"/>
          <xdr:cNvSpPr/>
        </xdr:nvSpPr>
        <xdr:spPr>
          <a:xfrm>
            <a:off x="-1" y="0"/>
            <a:ext cx="453186" cy="433252"/>
          </a:xfrm>
          <a:prstGeom prst="ellipse">
            <a:avLst/>
          </a:prstGeom>
          <a:noFill/>
          <a:ln w="28575" cap="flat">
            <a:solidFill>
              <a:srgbClr val="203B7D"/>
            </a:solidFill>
            <a:prstDash val="solid"/>
            <a:miter lim="800000"/>
          </a:ln>
          <a:effectLst/>
        </xdr:spPr>
        <xdr:txBody>
          <a:bodyPr/>
          <a:lstStyle/>
          <a:p>
            <a:pPr/>
          </a:p>
        </xdr:txBody>
      </xdr:sp>
      <xdr:sp>
        <xdr:nvSpPr>
          <xdr:cNvPr id="802" name="7"/>
          <xdr:cNvSpPr txBox="1"/>
        </xdr:nvSpPr>
        <xdr:spPr>
          <a:xfrm>
            <a:off x="116352" y="56901"/>
            <a:ext cx="220479" cy="319449"/>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203B7D"/>
                </a:solidFill>
                <a:uFillTx/>
                <a:latin typeface="Calibri"/>
                <a:ea typeface="Calibri"/>
                <a:cs typeface="Calibri"/>
                <a:sym typeface="Calibri"/>
              </a:defRPr>
            </a:pPr>
            <a:r>
              <a:rPr b="0" baseline="0" cap="none" i="0" spc="0" strike="noStrike" sz="2600" u="none">
                <a:solidFill>
                  <a:srgbClr val="203B7D"/>
                </a:solidFill>
                <a:uFillTx/>
                <a:latin typeface="Calibri"/>
                <a:ea typeface="Calibri"/>
                <a:cs typeface="Calibri"/>
                <a:sym typeface="Calibri"/>
              </a:rPr>
              <a:t>7</a:t>
            </a:r>
          </a:p>
        </xdr:txBody>
      </xdr:sp>
    </xdr:grpSp>
    <xdr:clientData/>
  </xdr:twoCellAnchor>
  <xdr:twoCellAnchor>
    <xdr:from>
      <xdr:col>9</xdr:col>
      <xdr:colOff>10636</xdr:colOff>
      <xdr:row>100</xdr:row>
      <xdr:rowOff>38073</xdr:rowOff>
    </xdr:from>
    <xdr:to>
      <xdr:col>9</xdr:col>
      <xdr:colOff>4532585</xdr:colOff>
      <xdr:row>126</xdr:row>
      <xdr:rowOff>39914</xdr:rowOff>
    </xdr:to>
    <xdr:sp>
      <xdr:nvSpPr>
        <xdr:cNvPr id="804" name="ZoneTexte 1"/>
        <xdr:cNvSpPr/>
      </xdr:nvSpPr>
      <xdr:spPr>
        <a:xfrm>
          <a:off x="7630636" y="60571353"/>
          <a:ext cx="4521950" cy="2013522"/>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10953</xdr:colOff>
      <xdr:row>100</xdr:row>
      <xdr:rowOff>38073</xdr:rowOff>
    </xdr:from>
    <xdr:to>
      <xdr:col>9</xdr:col>
      <xdr:colOff>4532903</xdr:colOff>
      <xdr:row>123</xdr:row>
      <xdr:rowOff>177031</xdr:rowOff>
    </xdr:to>
    <xdr:sp>
      <xdr:nvSpPr>
        <xdr:cNvPr id="805" name="ZoneTexte 1"/>
        <xdr:cNvSpPr/>
      </xdr:nvSpPr>
      <xdr:spPr>
        <a:xfrm>
          <a:off x="7630953" y="60571353"/>
          <a:ext cx="4521950" cy="1601999"/>
        </a:xfrm>
        <a:prstGeom prst="rect">
          <a:avLst/>
        </a:prstGeom>
        <a:solidFill>
          <a:srgbClr val="FFFFFF"/>
        </a:solidFill>
        <a:ln w="12700" cap="flat">
          <a:noFill/>
          <a:miter lim="400000"/>
        </a:ln>
        <a:effectLst/>
      </xdr:spPr>
      <xdr:txBody>
        <a:bodyPr/>
        <a:lstStyle/>
        <a:p>
          <a:pPr/>
        </a:p>
      </xdr:txBody>
    </xdr:sp>
    <xdr:clientData/>
  </xdr:twoCellAnchor>
</xdr:wsDr>
</file>

<file path=xl/drawings/drawing24.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6</xdr:col>
      <xdr:colOff>997531</xdr:colOff>
      <xdr:row>21</xdr:row>
      <xdr:rowOff>96981</xdr:rowOff>
    </xdr:from>
    <xdr:to>
      <xdr:col>6</xdr:col>
      <xdr:colOff>4061406</xdr:colOff>
      <xdr:row>22</xdr:row>
      <xdr:rowOff>132195</xdr:rowOff>
    </xdr:to>
    <xdr:grpSp>
      <xdr:nvGrpSpPr>
        <xdr:cNvPr id="809" name="Rectangle : coins arrondis 1"/>
        <xdr:cNvGrpSpPr/>
      </xdr:nvGrpSpPr>
      <xdr:grpSpPr>
        <a:xfrm>
          <a:off x="3829630" y="9134301"/>
          <a:ext cx="3063877" cy="675295"/>
          <a:chOff x="0" y="0"/>
          <a:chExt cx="3063875" cy="675293"/>
        </a:xfrm>
      </xdr:grpSpPr>
      <xdr:sp>
        <xdr:nvSpPr>
          <xdr:cNvPr id="807" name="Rectangle aux angles arrondis"/>
          <xdr:cNvSpPr/>
        </xdr:nvSpPr>
        <xdr:spPr>
          <a:xfrm>
            <a:off x="0" y="0"/>
            <a:ext cx="3063876" cy="675294"/>
          </a:xfrm>
          <a:prstGeom prst="roundRect">
            <a:avLst>
              <a:gd name="adj" fmla="val 16667"/>
            </a:avLst>
          </a:prstGeom>
          <a:solidFill>
            <a:srgbClr val="DEEBF7"/>
          </a:solidFill>
          <a:ln w="28575" cap="flat">
            <a:solidFill>
              <a:srgbClr val="C00000"/>
            </a:solidFill>
            <a:prstDash val="solid"/>
            <a:miter lim="800000"/>
          </a:ln>
          <a:effectLst>
            <a:outerShdw sx="100000" sy="100000" kx="0" ky="0" algn="b" rotWithShape="0" blurRad="63500" dist="0" dir="0">
              <a:srgbClr val="000000">
                <a:alpha val="40000"/>
              </a:srgbClr>
            </a:outerShdw>
          </a:effectLst>
        </xdr:spPr>
        <xdr:txBody>
          <a:bodyPr/>
          <a:lstStyle/>
          <a:p>
            <a:pPr/>
          </a:p>
        </xdr:txBody>
      </xdr:sp>
      <xdr:sp>
        <xdr:nvSpPr>
          <xdr:cNvPr id="808" name="Calculer la maturité"/>
          <xdr:cNvSpPr txBox="1"/>
        </xdr:nvSpPr>
        <xdr:spPr>
          <a:xfrm>
            <a:off x="73922" y="3693"/>
            <a:ext cx="2916031" cy="667907"/>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1" baseline="0" cap="none" i="0" spc="0" strike="noStrike" sz="1800" u="none">
                <a:solidFill>
                  <a:srgbClr val="C00000"/>
                </a:solidFill>
                <a:uFillTx/>
                <a:latin typeface="Aptos Light"/>
                <a:ea typeface="Aptos Light"/>
                <a:cs typeface="Aptos Light"/>
                <a:sym typeface="Aptos Light"/>
              </a:defRPr>
            </a:pPr>
            <a:r>
              <a:rPr b="1" baseline="0" cap="none" i="0" spc="0" strike="noStrike" sz="1800" u="none">
                <a:solidFill>
                  <a:srgbClr val="C00000"/>
                </a:solidFill>
                <a:uFillTx/>
                <a:latin typeface="Aptos Light"/>
                <a:ea typeface="Aptos Light"/>
                <a:cs typeface="Aptos Light"/>
                <a:sym typeface="Aptos Light"/>
              </a:rPr>
              <a:t>Calculer la maturité</a:t>
            </a:r>
          </a:p>
        </xdr:txBody>
      </xdr:sp>
    </xdr:grpSp>
    <xdr:clientData/>
  </xdr:twoCellAnchor>
</xdr:wsDr>
</file>

<file path=xl/drawings/drawing25.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9</xdr:col>
      <xdr:colOff>28574</xdr:colOff>
      <xdr:row>11</xdr:row>
      <xdr:rowOff>22859</xdr:rowOff>
    </xdr:from>
    <xdr:to>
      <xdr:col>9</xdr:col>
      <xdr:colOff>4500553</xdr:colOff>
      <xdr:row>11</xdr:row>
      <xdr:rowOff>1651634</xdr:rowOff>
    </xdr:to>
    <xdr:sp>
      <xdr:nvSpPr>
        <xdr:cNvPr id="811" name="ZoneTexte 1"/>
        <xdr:cNvSpPr/>
      </xdr:nvSpPr>
      <xdr:spPr>
        <a:xfrm>
          <a:off x="7648574" y="3398519"/>
          <a:ext cx="4471980" cy="162877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12</xdr:row>
      <xdr:rowOff>57149</xdr:rowOff>
    </xdr:from>
    <xdr:to>
      <xdr:col>9</xdr:col>
      <xdr:colOff>4529666</xdr:colOff>
      <xdr:row>12</xdr:row>
      <xdr:rowOff>1651633</xdr:rowOff>
    </xdr:to>
    <xdr:sp>
      <xdr:nvSpPr>
        <xdr:cNvPr id="812" name="ZoneTexte 1"/>
        <xdr:cNvSpPr/>
      </xdr:nvSpPr>
      <xdr:spPr>
        <a:xfrm>
          <a:off x="7648574" y="5084444"/>
          <a:ext cx="4501093" cy="1594485"/>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12</xdr:row>
      <xdr:rowOff>1651634</xdr:rowOff>
    </xdr:from>
    <xdr:to>
      <xdr:col>9</xdr:col>
      <xdr:colOff>4500553</xdr:colOff>
      <xdr:row>24</xdr:row>
      <xdr:rowOff>188158</xdr:rowOff>
    </xdr:to>
    <xdr:sp>
      <xdr:nvSpPr>
        <xdr:cNvPr id="813" name="ZoneTexte 1"/>
        <xdr:cNvSpPr/>
      </xdr:nvSpPr>
      <xdr:spPr>
        <a:xfrm>
          <a:off x="7648574" y="6678929"/>
          <a:ext cx="4471980" cy="1635960"/>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10635</xdr:colOff>
      <xdr:row>12</xdr:row>
      <xdr:rowOff>1651634</xdr:rowOff>
    </xdr:from>
    <xdr:to>
      <xdr:col>9</xdr:col>
      <xdr:colOff>4529350</xdr:colOff>
      <xdr:row>25</xdr:row>
      <xdr:rowOff>413172</xdr:rowOff>
    </xdr:to>
    <xdr:sp>
      <xdr:nvSpPr>
        <xdr:cNvPr id="814" name="ZoneTexte 1"/>
        <xdr:cNvSpPr/>
      </xdr:nvSpPr>
      <xdr:spPr>
        <a:xfrm>
          <a:off x="7630635" y="6678929"/>
          <a:ext cx="4518715" cy="2051474"/>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10952</xdr:colOff>
      <xdr:row>12</xdr:row>
      <xdr:rowOff>1651634</xdr:rowOff>
    </xdr:from>
    <xdr:to>
      <xdr:col>9</xdr:col>
      <xdr:colOff>4529667</xdr:colOff>
      <xdr:row>24</xdr:row>
      <xdr:rowOff>154198</xdr:rowOff>
    </xdr:to>
    <xdr:sp>
      <xdr:nvSpPr>
        <xdr:cNvPr id="815" name="ZoneTexte 1"/>
        <xdr:cNvSpPr/>
      </xdr:nvSpPr>
      <xdr:spPr>
        <a:xfrm>
          <a:off x="7630952" y="6678929"/>
          <a:ext cx="4518715" cy="1602000"/>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10952</xdr:colOff>
      <xdr:row>12</xdr:row>
      <xdr:rowOff>1651634</xdr:rowOff>
    </xdr:from>
    <xdr:to>
      <xdr:col>9</xdr:col>
      <xdr:colOff>4529667</xdr:colOff>
      <xdr:row>24</xdr:row>
      <xdr:rowOff>154199</xdr:rowOff>
    </xdr:to>
    <xdr:sp>
      <xdr:nvSpPr>
        <xdr:cNvPr id="816" name="ZoneTexte 1"/>
        <xdr:cNvSpPr/>
      </xdr:nvSpPr>
      <xdr:spPr>
        <a:xfrm>
          <a:off x="7630952" y="6678929"/>
          <a:ext cx="4518715" cy="160200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15715</xdr:colOff>
      <xdr:row>12</xdr:row>
      <xdr:rowOff>1651634</xdr:rowOff>
    </xdr:from>
    <xdr:to>
      <xdr:col>9</xdr:col>
      <xdr:colOff>4534430</xdr:colOff>
      <xdr:row>24</xdr:row>
      <xdr:rowOff>154198</xdr:rowOff>
    </xdr:to>
    <xdr:sp>
      <xdr:nvSpPr>
        <xdr:cNvPr id="817" name="ZoneTexte 1"/>
        <xdr:cNvSpPr/>
      </xdr:nvSpPr>
      <xdr:spPr>
        <a:xfrm>
          <a:off x="7635715" y="6678929"/>
          <a:ext cx="4518716" cy="1602000"/>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26</xdr:row>
      <xdr:rowOff>182880</xdr:rowOff>
    </xdr:from>
    <xdr:to>
      <xdr:col>9</xdr:col>
      <xdr:colOff>4519448</xdr:colOff>
      <xdr:row>27</xdr:row>
      <xdr:rowOff>1621155</xdr:rowOff>
    </xdr:to>
    <xdr:sp>
      <xdr:nvSpPr>
        <xdr:cNvPr id="818" name="ZoneTexte 1"/>
        <xdr:cNvSpPr/>
      </xdr:nvSpPr>
      <xdr:spPr>
        <a:xfrm>
          <a:off x="7648574" y="8919210"/>
          <a:ext cx="4490875" cy="162877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28</xdr:row>
      <xdr:rowOff>26670</xdr:rowOff>
    </xdr:from>
    <xdr:to>
      <xdr:col>9</xdr:col>
      <xdr:colOff>4466961</xdr:colOff>
      <xdr:row>28</xdr:row>
      <xdr:rowOff>1621154</xdr:rowOff>
    </xdr:to>
    <xdr:sp>
      <xdr:nvSpPr>
        <xdr:cNvPr id="819" name="ZoneTexte 1"/>
        <xdr:cNvSpPr/>
      </xdr:nvSpPr>
      <xdr:spPr>
        <a:xfrm>
          <a:off x="7648574" y="10605135"/>
          <a:ext cx="4438388" cy="1594485"/>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28</xdr:row>
      <xdr:rowOff>1636830</xdr:rowOff>
    </xdr:from>
    <xdr:to>
      <xdr:col>9</xdr:col>
      <xdr:colOff>4519448</xdr:colOff>
      <xdr:row>29</xdr:row>
      <xdr:rowOff>1621154</xdr:rowOff>
    </xdr:to>
    <xdr:sp>
      <xdr:nvSpPr>
        <xdr:cNvPr id="820" name="ZoneTexte 1"/>
        <xdr:cNvSpPr/>
      </xdr:nvSpPr>
      <xdr:spPr>
        <a:xfrm>
          <a:off x="7648574" y="12215295"/>
          <a:ext cx="4490875" cy="1635960"/>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10635</xdr:colOff>
      <xdr:row>29</xdr:row>
      <xdr:rowOff>1644015</xdr:rowOff>
    </xdr:from>
    <xdr:to>
      <xdr:col>9</xdr:col>
      <xdr:colOff>4548441</xdr:colOff>
      <xdr:row>30</xdr:row>
      <xdr:rowOff>1623742</xdr:rowOff>
    </xdr:to>
    <xdr:sp>
      <xdr:nvSpPr>
        <xdr:cNvPr id="821" name="ZoneTexte 1"/>
        <xdr:cNvSpPr/>
      </xdr:nvSpPr>
      <xdr:spPr>
        <a:xfrm>
          <a:off x="7630635" y="13874116"/>
          <a:ext cx="4537807" cy="1631362"/>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10952</xdr:colOff>
      <xdr:row>30</xdr:row>
      <xdr:rowOff>1640894</xdr:rowOff>
    </xdr:from>
    <xdr:to>
      <xdr:col>9</xdr:col>
      <xdr:colOff>4548759</xdr:colOff>
      <xdr:row>31</xdr:row>
      <xdr:rowOff>1591258</xdr:rowOff>
    </xdr:to>
    <xdr:sp>
      <xdr:nvSpPr>
        <xdr:cNvPr id="822" name="ZoneTexte 1"/>
        <xdr:cNvSpPr/>
      </xdr:nvSpPr>
      <xdr:spPr>
        <a:xfrm>
          <a:off x="7630952" y="15522629"/>
          <a:ext cx="4537807" cy="1602000"/>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10952</xdr:colOff>
      <xdr:row>32</xdr:row>
      <xdr:rowOff>7989</xdr:rowOff>
    </xdr:from>
    <xdr:to>
      <xdr:col>9</xdr:col>
      <xdr:colOff>4548759</xdr:colOff>
      <xdr:row>32</xdr:row>
      <xdr:rowOff>1609989</xdr:rowOff>
    </xdr:to>
    <xdr:sp>
      <xdr:nvSpPr>
        <xdr:cNvPr id="823" name="ZoneTexte 1"/>
        <xdr:cNvSpPr/>
      </xdr:nvSpPr>
      <xdr:spPr>
        <a:xfrm>
          <a:off x="7630952" y="17192994"/>
          <a:ext cx="4537807" cy="160200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15716</xdr:colOff>
      <xdr:row>32</xdr:row>
      <xdr:rowOff>1621157</xdr:rowOff>
    </xdr:from>
    <xdr:to>
      <xdr:col>9</xdr:col>
      <xdr:colOff>4553522</xdr:colOff>
      <xdr:row>40</xdr:row>
      <xdr:rowOff>123720</xdr:rowOff>
    </xdr:to>
    <xdr:sp>
      <xdr:nvSpPr>
        <xdr:cNvPr id="824" name="ZoneTexte 1"/>
        <xdr:cNvSpPr/>
      </xdr:nvSpPr>
      <xdr:spPr>
        <a:xfrm>
          <a:off x="7635716" y="18806162"/>
          <a:ext cx="4537807" cy="1601999"/>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42</xdr:row>
      <xdr:rowOff>152404</xdr:rowOff>
    </xdr:from>
    <xdr:to>
      <xdr:col>9</xdr:col>
      <xdr:colOff>2636519</xdr:colOff>
      <xdr:row>43</xdr:row>
      <xdr:rowOff>1590679</xdr:rowOff>
    </xdr:to>
    <xdr:sp>
      <xdr:nvSpPr>
        <xdr:cNvPr id="825" name="ZoneTexte 1"/>
        <xdr:cNvSpPr/>
      </xdr:nvSpPr>
      <xdr:spPr>
        <a:xfrm>
          <a:off x="7648574" y="21046444"/>
          <a:ext cx="2607946" cy="162877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42</xdr:row>
      <xdr:rowOff>152404</xdr:rowOff>
    </xdr:from>
    <xdr:to>
      <xdr:col>9</xdr:col>
      <xdr:colOff>4542761</xdr:colOff>
      <xdr:row>43</xdr:row>
      <xdr:rowOff>1590679</xdr:rowOff>
    </xdr:to>
    <xdr:sp>
      <xdr:nvSpPr>
        <xdr:cNvPr id="826" name="ZoneTexte 1"/>
        <xdr:cNvSpPr/>
      </xdr:nvSpPr>
      <xdr:spPr>
        <a:xfrm>
          <a:off x="7648574" y="21046444"/>
          <a:ext cx="4514188" cy="162877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40481</xdr:colOff>
      <xdr:row>43</xdr:row>
      <xdr:rowOff>1624016</xdr:rowOff>
    </xdr:from>
    <xdr:to>
      <xdr:col>9</xdr:col>
      <xdr:colOff>4540480</xdr:colOff>
      <xdr:row>44</xdr:row>
      <xdr:rowOff>1556382</xdr:rowOff>
    </xdr:to>
    <xdr:sp>
      <xdr:nvSpPr>
        <xdr:cNvPr id="827" name="ZoneTexte 1"/>
        <xdr:cNvSpPr/>
      </xdr:nvSpPr>
      <xdr:spPr>
        <a:xfrm>
          <a:off x="7660481" y="22708556"/>
          <a:ext cx="4500000" cy="1584002"/>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44</xdr:row>
      <xdr:rowOff>1606354</xdr:rowOff>
    </xdr:from>
    <xdr:to>
      <xdr:col>9</xdr:col>
      <xdr:colOff>4542761</xdr:colOff>
      <xdr:row>45</xdr:row>
      <xdr:rowOff>1590679</xdr:rowOff>
    </xdr:to>
    <xdr:sp>
      <xdr:nvSpPr>
        <xdr:cNvPr id="828" name="ZoneTexte 1"/>
        <xdr:cNvSpPr/>
      </xdr:nvSpPr>
      <xdr:spPr>
        <a:xfrm>
          <a:off x="7648574" y="24342529"/>
          <a:ext cx="4514188" cy="163596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10635</xdr:colOff>
      <xdr:row>45</xdr:row>
      <xdr:rowOff>1613539</xdr:rowOff>
    </xdr:from>
    <xdr:to>
      <xdr:col>9</xdr:col>
      <xdr:colOff>4572000</xdr:colOff>
      <xdr:row>46</xdr:row>
      <xdr:rowOff>1844043</xdr:rowOff>
    </xdr:to>
    <xdr:sp>
      <xdr:nvSpPr>
        <xdr:cNvPr id="829" name="ZoneTexte 1"/>
        <xdr:cNvSpPr/>
      </xdr:nvSpPr>
      <xdr:spPr>
        <a:xfrm>
          <a:off x="7630635" y="26001349"/>
          <a:ext cx="4561365" cy="1882140"/>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58</xdr:row>
      <xdr:rowOff>121920</xdr:rowOff>
    </xdr:from>
    <xdr:to>
      <xdr:col>9</xdr:col>
      <xdr:colOff>4545724</xdr:colOff>
      <xdr:row>59</xdr:row>
      <xdr:rowOff>1560195</xdr:rowOff>
    </xdr:to>
    <xdr:sp>
      <xdr:nvSpPr>
        <xdr:cNvPr id="830" name="ZoneTexte 1"/>
        <xdr:cNvSpPr/>
      </xdr:nvSpPr>
      <xdr:spPr>
        <a:xfrm>
          <a:off x="7648574" y="31775400"/>
          <a:ext cx="4517151" cy="1628775"/>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59</xdr:row>
      <xdr:rowOff>1617345</xdr:rowOff>
    </xdr:from>
    <xdr:to>
      <xdr:col>9</xdr:col>
      <xdr:colOff>4492930</xdr:colOff>
      <xdr:row>60</xdr:row>
      <xdr:rowOff>1560195</xdr:rowOff>
    </xdr:to>
    <xdr:sp>
      <xdr:nvSpPr>
        <xdr:cNvPr id="831" name="ZoneTexte 1"/>
        <xdr:cNvSpPr/>
      </xdr:nvSpPr>
      <xdr:spPr>
        <a:xfrm>
          <a:off x="7648574" y="33461324"/>
          <a:ext cx="4464357" cy="1594487"/>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60</xdr:row>
      <xdr:rowOff>1575869</xdr:rowOff>
    </xdr:from>
    <xdr:to>
      <xdr:col>9</xdr:col>
      <xdr:colOff>4545724</xdr:colOff>
      <xdr:row>61</xdr:row>
      <xdr:rowOff>1560196</xdr:rowOff>
    </xdr:to>
    <xdr:sp>
      <xdr:nvSpPr>
        <xdr:cNvPr id="832" name="ZoneTexte 1"/>
        <xdr:cNvSpPr/>
      </xdr:nvSpPr>
      <xdr:spPr>
        <a:xfrm>
          <a:off x="7648574" y="35071484"/>
          <a:ext cx="4517151" cy="163596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10634</xdr:colOff>
      <xdr:row>61</xdr:row>
      <xdr:rowOff>1583053</xdr:rowOff>
    </xdr:from>
    <xdr:to>
      <xdr:col>9</xdr:col>
      <xdr:colOff>4574992</xdr:colOff>
      <xdr:row>63</xdr:row>
      <xdr:rowOff>267026</xdr:rowOff>
    </xdr:to>
    <xdr:sp>
      <xdr:nvSpPr>
        <xdr:cNvPr id="833" name="ZoneTexte 1"/>
        <xdr:cNvSpPr/>
      </xdr:nvSpPr>
      <xdr:spPr>
        <a:xfrm>
          <a:off x="7630634" y="36730303"/>
          <a:ext cx="4564359" cy="1987244"/>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10952</xdr:colOff>
      <xdr:row>62</xdr:row>
      <xdr:rowOff>1579935</xdr:rowOff>
    </xdr:from>
    <xdr:to>
      <xdr:col>9</xdr:col>
      <xdr:colOff>4575309</xdr:colOff>
      <xdr:row>63</xdr:row>
      <xdr:rowOff>1530301</xdr:rowOff>
    </xdr:to>
    <xdr:sp>
      <xdr:nvSpPr>
        <xdr:cNvPr id="834" name="ZoneTexte 1"/>
        <xdr:cNvSpPr/>
      </xdr:nvSpPr>
      <xdr:spPr>
        <a:xfrm>
          <a:off x="7630952" y="38378820"/>
          <a:ext cx="4564358" cy="1602002"/>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10952</xdr:colOff>
      <xdr:row>63</xdr:row>
      <xdr:rowOff>1684022</xdr:rowOff>
    </xdr:from>
    <xdr:to>
      <xdr:col>9</xdr:col>
      <xdr:colOff>4571998</xdr:colOff>
      <xdr:row>72</xdr:row>
      <xdr:rowOff>199926</xdr:rowOff>
    </xdr:to>
    <xdr:sp>
      <xdr:nvSpPr>
        <xdr:cNvPr id="835" name="ZoneTexte 1"/>
        <xdr:cNvSpPr/>
      </xdr:nvSpPr>
      <xdr:spPr>
        <a:xfrm>
          <a:off x="7630952" y="40134542"/>
          <a:ext cx="4561047" cy="1602005"/>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76</xdr:row>
      <xdr:rowOff>91434</xdr:rowOff>
    </xdr:from>
    <xdr:to>
      <xdr:col>9</xdr:col>
      <xdr:colOff>4503756</xdr:colOff>
      <xdr:row>77</xdr:row>
      <xdr:rowOff>1529709</xdr:rowOff>
    </xdr:to>
    <xdr:sp>
      <xdr:nvSpPr>
        <xdr:cNvPr id="836" name="ZoneTexte 1"/>
        <xdr:cNvSpPr/>
      </xdr:nvSpPr>
      <xdr:spPr>
        <a:xfrm>
          <a:off x="7648574" y="42694854"/>
          <a:ext cx="4475183" cy="162877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77</xdr:row>
      <xdr:rowOff>1586859</xdr:rowOff>
    </xdr:from>
    <xdr:to>
      <xdr:col>9</xdr:col>
      <xdr:colOff>4451453</xdr:colOff>
      <xdr:row>78</xdr:row>
      <xdr:rowOff>2446013</xdr:rowOff>
    </xdr:to>
    <xdr:sp>
      <xdr:nvSpPr>
        <xdr:cNvPr id="837" name="ZoneTexte 1"/>
        <xdr:cNvSpPr/>
      </xdr:nvSpPr>
      <xdr:spPr>
        <a:xfrm>
          <a:off x="7648574" y="44380779"/>
          <a:ext cx="4422880" cy="2510790"/>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78</xdr:row>
      <xdr:rowOff>2461687</xdr:rowOff>
    </xdr:from>
    <xdr:to>
      <xdr:col>9</xdr:col>
      <xdr:colOff>4503756</xdr:colOff>
      <xdr:row>79</xdr:row>
      <xdr:rowOff>2369813</xdr:rowOff>
    </xdr:to>
    <xdr:sp>
      <xdr:nvSpPr>
        <xdr:cNvPr id="838" name="ZoneTexte 1"/>
        <xdr:cNvSpPr/>
      </xdr:nvSpPr>
      <xdr:spPr>
        <a:xfrm>
          <a:off x="7648574" y="46907242"/>
          <a:ext cx="4475183" cy="2476067"/>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10636</xdr:colOff>
      <xdr:row>79</xdr:row>
      <xdr:rowOff>2392673</xdr:rowOff>
    </xdr:from>
    <xdr:to>
      <xdr:col>9</xdr:col>
      <xdr:colOff>4532585</xdr:colOff>
      <xdr:row>81</xdr:row>
      <xdr:rowOff>262818</xdr:rowOff>
    </xdr:to>
    <xdr:sp>
      <xdr:nvSpPr>
        <xdr:cNvPr id="839" name="ZoneTexte 1"/>
        <xdr:cNvSpPr/>
      </xdr:nvSpPr>
      <xdr:spPr>
        <a:xfrm>
          <a:off x="7630636" y="49406168"/>
          <a:ext cx="4521950" cy="201352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10953</xdr:colOff>
      <xdr:row>80</xdr:row>
      <xdr:rowOff>1549447</xdr:rowOff>
    </xdr:from>
    <xdr:to>
      <xdr:col>9</xdr:col>
      <xdr:colOff>4532903</xdr:colOff>
      <xdr:row>81</xdr:row>
      <xdr:rowOff>1499810</xdr:rowOff>
    </xdr:to>
    <xdr:sp>
      <xdr:nvSpPr>
        <xdr:cNvPr id="840" name="ZoneTexte 1"/>
        <xdr:cNvSpPr/>
      </xdr:nvSpPr>
      <xdr:spPr>
        <a:xfrm>
          <a:off x="7630953" y="51054682"/>
          <a:ext cx="4521950" cy="1601999"/>
        </a:xfrm>
        <a:prstGeom prst="rect">
          <a:avLst/>
        </a:prstGeom>
        <a:solidFill>
          <a:srgbClr val="FFFFFF"/>
        </a:solidFill>
        <a:ln w="12700" cap="flat">
          <a:noFill/>
          <a:miter lim="400000"/>
        </a:ln>
        <a:effectLst/>
      </xdr:spPr>
      <xdr:txBody>
        <a:bodyPr/>
        <a:lstStyle/>
        <a:p>
          <a:pPr/>
        </a:p>
      </xdr:txBody>
    </xdr:sp>
    <xdr:clientData/>
  </xdr:twoCellAnchor>
  <xdr:twoCellAnchor>
    <xdr:from>
      <xdr:col>5</xdr:col>
      <xdr:colOff>11781</xdr:colOff>
      <xdr:row>8</xdr:row>
      <xdr:rowOff>167760</xdr:rowOff>
    </xdr:from>
    <xdr:to>
      <xdr:col>5</xdr:col>
      <xdr:colOff>464966</xdr:colOff>
      <xdr:row>10</xdr:row>
      <xdr:rowOff>2896</xdr:rowOff>
    </xdr:to>
    <xdr:grpSp>
      <xdr:nvGrpSpPr>
        <xdr:cNvPr id="843" name="Ellipse 59"/>
        <xdr:cNvGrpSpPr/>
      </xdr:nvGrpSpPr>
      <xdr:grpSpPr>
        <a:xfrm>
          <a:off x="532481" y="2758560"/>
          <a:ext cx="453185" cy="437117"/>
          <a:chOff x="0" y="0"/>
          <a:chExt cx="453184" cy="437115"/>
        </a:xfrm>
      </xdr:grpSpPr>
      <xdr:sp>
        <xdr:nvSpPr>
          <xdr:cNvPr id="841" name="Ovale"/>
          <xdr:cNvSpPr/>
        </xdr:nvSpPr>
        <xdr:spPr>
          <a:xfrm>
            <a:off x="-1" y="0"/>
            <a:ext cx="453186" cy="437116"/>
          </a:xfrm>
          <a:prstGeom prst="ellipse">
            <a:avLst/>
          </a:prstGeom>
          <a:noFill/>
          <a:ln w="28575" cap="flat">
            <a:solidFill>
              <a:srgbClr val="203B7D"/>
            </a:solidFill>
            <a:prstDash val="solid"/>
            <a:miter lim="800000"/>
          </a:ln>
          <a:effectLst/>
        </xdr:spPr>
        <xdr:txBody>
          <a:bodyPr/>
          <a:lstStyle/>
          <a:p>
            <a:pPr/>
          </a:p>
        </xdr:txBody>
      </xdr:sp>
      <xdr:sp>
        <xdr:nvSpPr>
          <xdr:cNvPr id="842" name="1"/>
          <xdr:cNvSpPr txBox="1"/>
        </xdr:nvSpPr>
        <xdr:spPr>
          <a:xfrm>
            <a:off x="116352" y="57263"/>
            <a:ext cx="220479" cy="322590"/>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203864"/>
                </a:solidFill>
                <a:uFillTx/>
                <a:latin typeface="Calibri"/>
                <a:ea typeface="Calibri"/>
                <a:cs typeface="Calibri"/>
                <a:sym typeface="Calibri"/>
              </a:defRPr>
            </a:pPr>
            <a:r>
              <a:rPr b="0" baseline="0" cap="none" i="0" spc="0" strike="noStrike" sz="2600" u="none">
                <a:solidFill>
                  <a:srgbClr val="203864"/>
                </a:solidFill>
                <a:uFillTx/>
                <a:latin typeface="Calibri"/>
                <a:ea typeface="Calibri"/>
                <a:cs typeface="Calibri"/>
                <a:sym typeface="Calibri"/>
              </a:rPr>
              <a:t>1</a:t>
            </a:r>
          </a:p>
        </xdr:txBody>
      </xdr:sp>
    </xdr:grpSp>
    <xdr:clientData/>
  </xdr:twoCellAnchor>
  <xdr:twoCellAnchor>
    <xdr:from>
      <xdr:col>1</xdr:col>
      <xdr:colOff>304800</xdr:colOff>
      <xdr:row>24</xdr:row>
      <xdr:rowOff>153556</xdr:rowOff>
    </xdr:from>
    <xdr:to>
      <xdr:col>5</xdr:col>
      <xdr:colOff>453184</xdr:colOff>
      <xdr:row>25</xdr:row>
      <xdr:rowOff>396306</xdr:rowOff>
    </xdr:to>
    <xdr:grpSp>
      <xdr:nvGrpSpPr>
        <xdr:cNvPr id="846" name="Ellipse 60"/>
        <xdr:cNvGrpSpPr/>
      </xdr:nvGrpSpPr>
      <xdr:grpSpPr>
        <a:xfrm>
          <a:off x="520699" y="8280286"/>
          <a:ext cx="453186" cy="433251"/>
          <a:chOff x="0" y="0"/>
          <a:chExt cx="453184" cy="433250"/>
        </a:xfrm>
      </xdr:grpSpPr>
      <xdr:sp>
        <xdr:nvSpPr>
          <xdr:cNvPr id="844" name="Ovale"/>
          <xdr:cNvSpPr/>
        </xdr:nvSpPr>
        <xdr:spPr>
          <a:xfrm>
            <a:off x="-1" y="-1"/>
            <a:ext cx="453186" cy="433252"/>
          </a:xfrm>
          <a:prstGeom prst="ellipse">
            <a:avLst/>
          </a:prstGeom>
          <a:noFill/>
          <a:ln w="28575" cap="flat">
            <a:solidFill>
              <a:srgbClr val="203B7D"/>
            </a:solidFill>
            <a:prstDash val="solid"/>
            <a:miter lim="800000"/>
          </a:ln>
          <a:effectLst/>
        </xdr:spPr>
        <xdr:txBody>
          <a:bodyPr/>
          <a:lstStyle/>
          <a:p>
            <a:pPr/>
          </a:p>
        </xdr:txBody>
      </xdr:sp>
      <xdr:sp>
        <xdr:nvSpPr>
          <xdr:cNvPr id="845" name="2"/>
          <xdr:cNvSpPr txBox="1"/>
        </xdr:nvSpPr>
        <xdr:spPr>
          <a:xfrm>
            <a:off x="116352" y="56902"/>
            <a:ext cx="220479" cy="319445"/>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203B7D"/>
                </a:solidFill>
                <a:uFillTx/>
                <a:latin typeface="Calibri"/>
                <a:ea typeface="Calibri"/>
                <a:cs typeface="Calibri"/>
                <a:sym typeface="Calibri"/>
              </a:defRPr>
            </a:pPr>
            <a:r>
              <a:rPr b="0" baseline="0" cap="none" i="0" spc="0" strike="noStrike" sz="2600" u="none">
                <a:solidFill>
                  <a:srgbClr val="203B7D"/>
                </a:solidFill>
                <a:uFillTx/>
                <a:latin typeface="Calibri"/>
                <a:ea typeface="Calibri"/>
                <a:cs typeface="Calibri"/>
                <a:sym typeface="Calibri"/>
              </a:rPr>
              <a:t>2</a:t>
            </a:r>
          </a:p>
        </xdr:txBody>
      </xdr:sp>
    </xdr:grpSp>
    <xdr:clientData/>
  </xdr:twoCellAnchor>
  <xdr:twoCellAnchor>
    <xdr:from>
      <xdr:col>5</xdr:col>
      <xdr:colOff>18362</xdr:colOff>
      <xdr:row>40</xdr:row>
      <xdr:rowOff>119533</xdr:rowOff>
    </xdr:from>
    <xdr:to>
      <xdr:col>5</xdr:col>
      <xdr:colOff>471546</xdr:colOff>
      <xdr:row>41</xdr:row>
      <xdr:rowOff>362285</xdr:rowOff>
    </xdr:to>
    <xdr:grpSp>
      <xdr:nvGrpSpPr>
        <xdr:cNvPr id="849" name="Ellipse 61"/>
        <xdr:cNvGrpSpPr/>
      </xdr:nvGrpSpPr>
      <xdr:grpSpPr>
        <a:xfrm>
          <a:off x="539062" y="20403973"/>
          <a:ext cx="453185" cy="433253"/>
          <a:chOff x="0" y="0"/>
          <a:chExt cx="453184" cy="433251"/>
        </a:xfrm>
      </xdr:grpSpPr>
      <xdr:sp>
        <xdr:nvSpPr>
          <xdr:cNvPr id="847" name="Ovale"/>
          <xdr:cNvSpPr/>
        </xdr:nvSpPr>
        <xdr:spPr>
          <a:xfrm>
            <a:off x="-1" y="0"/>
            <a:ext cx="453186" cy="433252"/>
          </a:xfrm>
          <a:prstGeom prst="ellipse">
            <a:avLst/>
          </a:prstGeom>
          <a:noFill/>
          <a:ln w="28575" cap="flat">
            <a:solidFill>
              <a:srgbClr val="203B7D"/>
            </a:solidFill>
            <a:prstDash val="solid"/>
            <a:miter lim="800000"/>
          </a:ln>
          <a:effectLst/>
        </xdr:spPr>
        <xdr:txBody>
          <a:bodyPr/>
          <a:lstStyle/>
          <a:p>
            <a:pPr/>
          </a:p>
        </xdr:txBody>
      </xdr:sp>
      <xdr:sp>
        <xdr:nvSpPr>
          <xdr:cNvPr id="848" name="3"/>
          <xdr:cNvSpPr txBox="1"/>
        </xdr:nvSpPr>
        <xdr:spPr>
          <a:xfrm>
            <a:off x="116352" y="56901"/>
            <a:ext cx="220479" cy="319449"/>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203B7D"/>
                </a:solidFill>
                <a:uFillTx/>
                <a:latin typeface="Calibri"/>
                <a:ea typeface="Calibri"/>
                <a:cs typeface="Calibri"/>
                <a:sym typeface="Calibri"/>
              </a:defRPr>
            </a:pPr>
            <a:r>
              <a:rPr b="0" baseline="0" cap="none" i="0" spc="0" strike="noStrike" sz="2600" u="none">
                <a:solidFill>
                  <a:srgbClr val="203B7D"/>
                </a:solidFill>
                <a:uFillTx/>
                <a:latin typeface="Calibri"/>
                <a:ea typeface="Calibri"/>
                <a:cs typeface="Calibri"/>
                <a:sym typeface="Calibri"/>
              </a:rPr>
              <a:t>3</a:t>
            </a:r>
          </a:p>
        </xdr:txBody>
      </xdr:sp>
    </xdr:grpSp>
    <xdr:clientData/>
  </xdr:twoCellAnchor>
  <xdr:twoCellAnchor>
    <xdr:from>
      <xdr:col>1</xdr:col>
      <xdr:colOff>304800</xdr:colOff>
      <xdr:row>56</xdr:row>
      <xdr:rowOff>89053</xdr:rowOff>
    </xdr:from>
    <xdr:to>
      <xdr:col>5</xdr:col>
      <xdr:colOff>453184</xdr:colOff>
      <xdr:row>57</xdr:row>
      <xdr:rowOff>331801</xdr:rowOff>
    </xdr:to>
    <xdr:grpSp>
      <xdr:nvGrpSpPr>
        <xdr:cNvPr id="852" name="Ellipse 62"/>
        <xdr:cNvGrpSpPr/>
      </xdr:nvGrpSpPr>
      <xdr:grpSpPr>
        <a:xfrm>
          <a:off x="520699" y="31132933"/>
          <a:ext cx="453186" cy="433249"/>
          <a:chOff x="0" y="0"/>
          <a:chExt cx="453184" cy="433248"/>
        </a:xfrm>
      </xdr:grpSpPr>
      <xdr:sp>
        <xdr:nvSpPr>
          <xdr:cNvPr id="850" name="Ovale"/>
          <xdr:cNvSpPr/>
        </xdr:nvSpPr>
        <xdr:spPr>
          <a:xfrm>
            <a:off x="-1" y="-1"/>
            <a:ext cx="453186" cy="433250"/>
          </a:xfrm>
          <a:prstGeom prst="ellipse">
            <a:avLst/>
          </a:prstGeom>
          <a:noFill/>
          <a:ln w="28575" cap="flat">
            <a:solidFill>
              <a:srgbClr val="203B7D"/>
            </a:solidFill>
            <a:prstDash val="solid"/>
            <a:miter lim="800000"/>
          </a:ln>
          <a:effectLst/>
        </xdr:spPr>
        <xdr:txBody>
          <a:bodyPr/>
          <a:lstStyle/>
          <a:p>
            <a:pPr/>
          </a:p>
        </xdr:txBody>
      </xdr:sp>
      <xdr:sp>
        <xdr:nvSpPr>
          <xdr:cNvPr id="851" name="4"/>
          <xdr:cNvSpPr txBox="1"/>
        </xdr:nvSpPr>
        <xdr:spPr>
          <a:xfrm>
            <a:off x="116352" y="56902"/>
            <a:ext cx="220479" cy="319443"/>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203B7D"/>
                </a:solidFill>
                <a:uFillTx/>
                <a:latin typeface="Calibri"/>
                <a:ea typeface="Calibri"/>
                <a:cs typeface="Calibri"/>
                <a:sym typeface="Calibri"/>
              </a:defRPr>
            </a:pPr>
            <a:r>
              <a:rPr b="0" baseline="0" cap="none" i="0" spc="0" strike="noStrike" sz="2600" u="none">
                <a:solidFill>
                  <a:srgbClr val="203B7D"/>
                </a:solidFill>
                <a:uFillTx/>
                <a:latin typeface="Calibri"/>
                <a:ea typeface="Calibri"/>
                <a:cs typeface="Calibri"/>
                <a:sym typeface="Calibri"/>
              </a:rPr>
              <a:t>4</a:t>
            </a:r>
          </a:p>
        </xdr:txBody>
      </xdr:sp>
    </xdr:grpSp>
    <xdr:clientData/>
  </xdr:twoCellAnchor>
  <xdr:twoCellAnchor>
    <xdr:from>
      <xdr:col>5</xdr:col>
      <xdr:colOff>9180</xdr:colOff>
      <xdr:row>74</xdr:row>
      <xdr:rowOff>58568</xdr:rowOff>
    </xdr:from>
    <xdr:to>
      <xdr:col>5</xdr:col>
      <xdr:colOff>462365</xdr:colOff>
      <xdr:row>75</xdr:row>
      <xdr:rowOff>301316</xdr:rowOff>
    </xdr:to>
    <xdr:grpSp>
      <xdr:nvGrpSpPr>
        <xdr:cNvPr id="855" name="Ellipse 159743"/>
        <xdr:cNvGrpSpPr/>
      </xdr:nvGrpSpPr>
      <xdr:grpSpPr>
        <a:xfrm>
          <a:off x="529880" y="42052388"/>
          <a:ext cx="453185" cy="433249"/>
          <a:chOff x="0" y="0"/>
          <a:chExt cx="453184" cy="433248"/>
        </a:xfrm>
      </xdr:grpSpPr>
      <xdr:sp>
        <xdr:nvSpPr>
          <xdr:cNvPr id="853" name="Ovale"/>
          <xdr:cNvSpPr/>
        </xdr:nvSpPr>
        <xdr:spPr>
          <a:xfrm>
            <a:off x="-1" y="-1"/>
            <a:ext cx="453186" cy="433250"/>
          </a:xfrm>
          <a:prstGeom prst="ellipse">
            <a:avLst/>
          </a:prstGeom>
          <a:noFill/>
          <a:ln w="28575" cap="flat">
            <a:solidFill>
              <a:srgbClr val="203B7D"/>
            </a:solidFill>
            <a:prstDash val="solid"/>
            <a:miter lim="800000"/>
          </a:ln>
          <a:effectLst/>
        </xdr:spPr>
        <xdr:txBody>
          <a:bodyPr/>
          <a:lstStyle/>
          <a:p>
            <a:pPr/>
          </a:p>
        </xdr:txBody>
      </xdr:sp>
      <xdr:sp>
        <xdr:nvSpPr>
          <xdr:cNvPr id="854" name="5"/>
          <xdr:cNvSpPr txBox="1"/>
        </xdr:nvSpPr>
        <xdr:spPr>
          <a:xfrm>
            <a:off x="116352" y="56902"/>
            <a:ext cx="220479" cy="319443"/>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203B7D"/>
                </a:solidFill>
                <a:uFillTx/>
                <a:latin typeface="Calibri"/>
                <a:ea typeface="Calibri"/>
                <a:cs typeface="Calibri"/>
                <a:sym typeface="Calibri"/>
              </a:defRPr>
            </a:pPr>
            <a:r>
              <a:rPr b="0" baseline="0" cap="none" i="0" spc="0" strike="noStrike" sz="2600" u="none">
                <a:solidFill>
                  <a:srgbClr val="203B7D"/>
                </a:solidFill>
                <a:uFillTx/>
                <a:latin typeface="Calibri"/>
                <a:ea typeface="Calibri"/>
                <a:cs typeface="Calibri"/>
                <a:sym typeface="Calibri"/>
              </a:rPr>
              <a:t>5</a:t>
            </a:r>
          </a:p>
        </xdr:txBody>
      </xdr:sp>
    </xdr:grpSp>
    <xdr:clientData/>
  </xdr:twoCellAnchor>
  <xdr:twoCellAnchor>
    <xdr:from>
      <xdr:col>9</xdr:col>
      <xdr:colOff>10634</xdr:colOff>
      <xdr:row>63</xdr:row>
      <xdr:rowOff>1684022</xdr:rowOff>
    </xdr:from>
    <xdr:to>
      <xdr:col>9</xdr:col>
      <xdr:colOff>4574992</xdr:colOff>
      <xdr:row>74</xdr:row>
      <xdr:rowOff>127968</xdr:rowOff>
    </xdr:to>
    <xdr:sp>
      <xdr:nvSpPr>
        <xdr:cNvPr id="856" name="ZoneTexte 1"/>
        <xdr:cNvSpPr/>
      </xdr:nvSpPr>
      <xdr:spPr>
        <a:xfrm>
          <a:off x="7630634" y="40134542"/>
          <a:ext cx="4564359" cy="1987247"/>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10952</xdr:colOff>
      <xdr:row>63</xdr:row>
      <xdr:rowOff>1684022</xdr:rowOff>
    </xdr:from>
    <xdr:to>
      <xdr:col>9</xdr:col>
      <xdr:colOff>4575309</xdr:colOff>
      <xdr:row>72</xdr:row>
      <xdr:rowOff>199920</xdr:rowOff>
    </xdr:to>
    <xdr:sp>
      <xdr:nvSpPr>
        <xdr:cNvPr id="857" name="ZoneTexte 1"/>
        <xdr:cNvSpPr/>
      </xdr:nvSpPr>
      <xdr:spPr>
        <a:xfrm>
          <a:off x="7630952" y="40134542"/>
          <a:ext cx="4564358" cy="1601999"/>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46</xdr:row>
      <xdr:rowOff>1859717</xdr:rowOff>
    </xdr:from>
    <xdr:to>
      <xdr:col>9</xdr:col>
      <xdr:colOff>4542761</xdr:colOff>
      <xdr:row>47</xdr:row>
      <xdr:rowOff>1590679</xdr:rowOff>
    </xdr:to>
    <xdr:sp>
      <xdr:nvSpPr>
        <xdr:cNvPr id="858" name="ZoneTexte 1"/>
        <xdr:cNvSpPr/>
      </xdr:nvSpPr>
      <xdr:spPr>
        <a:xfrm>
          <a:off x="7648574" y="27899162"/>
          <a:ext cx="4514188" cy="163596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10635</xdr:colOff>
      <xdr:row>47</xdr:row>
      <xdr:rowOff>1590679</xdr:rowOff>
    </xdr:from>
    <xdr:to>
      <xdr:col>9</xdr:col>
      <xdr:colOff>4572000</xdr:colOff>
      <xdr:row>55</xdr:row>
      <xdr:rowOff>220986</xdr:rowOff>
    </xdr:to>
    <xdr:sp>
      <xdr:nvSpPr>
        <xdr:cNvPr id="859" name="ZoneTexte 1"/>
        <xdr:cNvSpPr/>
      </xdr:nvSpPr>
      <xdr:spPr>
        <a:xfrm>
          <a:off x="7630635" y="29535124"/>
          <a:ext cx="4561365" cy="150114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47</xdr:row>
      <xdr:rowOff>1590679</xdr:rowOff>
    </xdr:from>
    <xdr:to>
      <xdr:col>9</xdr:col>
      <xdr:colOff>4542761</xdr:colOff>
      <xdr:row>56</xdr:row>
      <xdr:rowOff>127206</xdr:rowOff>
    </xdr:to>
    <xdr:sp>
      <xdr:nvSpPr>
        <xdr:cNvPr id="860" name="ZoneTexte 1"/>
        <xdr:cNvSpPr/>
      </xdr:nvSpPr>
      <xdr:spPr>
        <a:xfrm>
          <a:off x="7648574" y="29535124"/>
          <a:ext cx="4514188" cy="163596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10636</xdr:colOff>
      <xdr:row>81</xdr:row>
      <xdr:rowOff>1552563</xdr:rowOff>
    </xdr:from>
    <xdr:to>
      <xdr:col>9</xdr:col>
      <xdr:colOff>4532585</xdr:colOff>
      <xdr:row>83</xdr:row>
      <xdr:rowOff>262813</xdr:rowOff>
    </xdr:to>
    <xdr:sp>
      <xdr:nvSpPr>
        <xdr:cNvPr id="861" name="ZoneTexte 1"/>
        <xdr:cNvSpPr/>
      </xdr:nvSpPr>
      <xdr:spPr>
        <a:xfrm>
          <a:off x="7630636" y="52709433"/>
          <a:ext cx="4521950" cy="201352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10953</xdr:colOff>
      <xdr:row>82</xdr:row>
      <xdr:rowOff>1549442</xdr:rowOff>
    </xdr:from>
    <xdr:to>
      <xdr:col>9</xdr:col>
      <xdr:colOff>4532903</xdr:colOff>
      <xdr:row>83</xdr:row>
      <xdr:rowOff>1499805</xdr:rowOff>
    </xdr:to>
    <xdr:sp>
      <xdr:nvSpPr>
        <xdr:cNvPr id="862" name="ZoneTexte 1"/>
        <xdr:cNvSpPr/>
      </xdr:nvSpPr>
      <xdr:spPr>
        <a:xfrm>
          <a:off x="7630953" y="54357947"/>
          <a:ext cx="4521950" cy="1601999"/>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92</xdr:row>
      <xdr:rowOff>68557</xdr:rowOff>
    </xdr:from>
    <xdr:to>
      <xdr:col>9</xdr:col>
      <xdr:colOff>4503756</xdr:colOff>
      <xdr:row>93</xdr:row>
      <xdr:rowOff>1506832</xdr:rowOff>
    </xdr:to>
    <xdr:sp>
      <xdr:nvSpPr>
        <xdr:cNvPr id="863" name="ZoneTexte 1"/>
        <xdr:cNvSpPr/>
      </xdr:nvSpPr>
      <xdr:spPr>
        <a:xfrm>
          <a:off x="7648574" y="58184392"/>
          <a:ext cx="4475183" cy="162877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93</xdr:row>
      <xdr:rowOff>1563982</xdr:rowOff>
    </xdr:from>
    <xdr:to>
      <xdr:col>9</xdr:col>
      <xdr:colOff>4451453</xdr:colOff>
      <xdr:row>94</xdr:row>
      <xdr:rowOff>1506829</xdr:rowOff>
    </xdr:to>
    <xdr:sp>
      <xdr:nvSpPr>
        <xdr:cNvPr id="864" name="ZoneTexte 1"/>
        <xdr:cNvSpPr/>
      </xdr:nvSpPr>
      <xdr:spPr>
        <a:xfrm>
          <a:off x="7648574" y="59870317"/>
          <a:ext cx="4422880" cy="159448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94</xdr:row>
      <xdr:rowOff>1522506</xdr:rowOff>
    </xdr:from>
    <xdr:to>
      <xdr:col>9</xdr:col>
      <xdr:colOff>4503756</xdr:colOff>
      <xdr:row>95</xdr:row>
      <xdr:rowOff>1506827</xdr:rowOff>
    </xdr:to>
    <xdr:sp>
      <xdr:nvSpPr>
        <xdr:cNvPr id="865" name="ZoneTexte 1"/>
        <xdr:cNvSpPr/>
      </xdr:nvSpPr>
      <xdr:spPr>
        <a:xfrm>
          <a:off x="7648574" y="61480476"/>
          <a:ext cx="4475183" cy="1635957"/>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10636</xdr:colOff>
      <xdr:row>95</xdr:row>
      <xdr:rowOff>1529685</xdr:rowOff>
    </xdr:from>
    <xdr:to>
      <xdr:col>9</xdr:col>
      <xdr:colOff>4532585</xdr:colOff>
      <xdr:row>101</xdr:row>
      <xdr:rowOff>57055</xdr:rowOff>
    </xdr:to>
    <xdr:sp>
      <xdr:nvSpPr>
        <xdr:cNvPr id="866" name="ZoneTexte 1"/>
        <xdr:cNvSpPr/>
      </xdr:nvSpPr>
      <xdr:spPr>
        <a:xfrm>
          <a:off x="7630636" y="63139290"/>
          <a:ext cx="4521950" cy="201352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10953</xdr:colOff>
      <xdr:row>96</xdr:row>
      <xdr:rowOff>1506825</xdr:rowOff>
    </xdr:from>
    <xdr:to>
      <xdr:col>9</xdr:col>
      <xdr:colOff>4532903</xdr:colOff>
      <xdr:row>106</xdr:row>
      <xdr:rowOff>62728</xdr:rowOff>
    </xdr:to>
    <xdr:sp>
      <xdr:nvSpPr>
        <xdr:cNvPr id="867" name="ZoneTexte 1"/>
        <xdr:cNvSpPr/>
      </xdr:nvSpPr>
      <xdr:spPr>
        <a:xfrm>
          <a:off x="7630953" y="64768065"/>
          <a:ext cx="4521950" cy="1601999"/>
        </a:xfrm>
        <a:prstGeom prst="rect">
          <a:avLst/>
        </a:prstGeom>
        <a:solidFill>
          <a:srgbClr val="FFFFFF"/>
        </a:solidFill>
        <a:ln w="12700" cap="flat">
          <a:noFill/>
          <a:miter lim="400000"/>
        </a:ln>
        <a:effectLst/>
      </xdr:spPr>
      <xdr:txBody>
        <a:bodyPr/>
        <a:lstStyle/>
        <a:p>
          <a:pPr/>
        </a:p>
      </xdr:txBody>
    </xdr:sp>
    <xdr:clientData/>
  </xdr:twoCellAnchor>
  <xdr:twoCellAnchor>
    <xdr:from>
      <xdr:col>5</xdr:col>
      <xdr:colOff>9180</xdr:colOff>
      <xdr:row>90</xdr:row>
      <xdr:rowOff>35691</xdr:rowOff>
    </xdr:from>
    <xdr:to>
      <xdr:col>5</xdr:col>
      <xdr:colOff>462365</xdr:colOff>
      <xdr:row>91</xdr:row>
      <xdr:rowOff>278443</xdr:rowOff>
    </xdr:to>
    <xdr:grpSp>
      <xdr:nvGrpSpPr>
        <xdr:cNvPr id="870" name="Ellipse 159966"/>
        <xdr:cNvGrpSpPr/>
      </xdr:nvGrpSpPr>
      <xdr:grpSpPr>
        <a:xfrm>
          <a:off x="529880" y="57541926"/>
          <a:ext cx="453185" cy="433253"/>
          <a:chOff x="0" y="0"/>
          <a:chExt cx="453184" cy="433251"/>
        </a:xfrm>
      </xdr:grpSpPr>
      <xdr:sp>
        <xdr:nvSpPr>
          <xdr:cNvPr id="868" name="Ovale"/>
          <xdr:cNvSpPr/>
        </xdr:nvSpPr>
        <xdr:spPr>
          <a:xfrm>
            <a:off x="-1" y="0"/>
            <a:ext cx="453186" cy="433252"/>
          </a:xfrm>
          <a:prstGeom prst="ellipse">
            <a:avLst/>
          </a:prstGeom>
          <a:noFill/>
          <a:ln w="28575" cap="flat">
            <a:solidFill>
              <a:srgbClr val="203B7D"/>
            </a:solidFill>
            <a:prstDash val="solid"/>
            <a:miter lim="800000"/>
          </a:ln>
          <a:effectLst/>
        </xdr:spPr>
        <xdr:txBody>
          <a:bodyPr/>
          <a:lstStyle/>
          <a:p>
            <a:pPr/>
          </a:p>
        </xdr:txBody>
      </xdr:sp>
      <xdr:sp>
        <xdr:nvSpPr>
          <xdr:cNvPr id="869" name="6"/>
          <xdr:cNvSpPr txBox="1"/>
        </xdr:nvSpPr>
        <xdr:spPr>
          <a:xfrm>
            <a:off x="116352" y="56901"/>
            <a:ext cx="220479" cy="319449"/>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203B7D"/>
                </a:solidFill>
                <a:uFillTx/>
                <a:latin typeface="Calibri"/>
                <a:ea typeface="Calibri"/>
                <a:cs typeface="Calibri"/>
                <a:sym typeface="Calibri"/>
              </a:defRPr>
            </a:pPr>
            <a:r>
              <a:rPr b="0" baseline="0" cap="none" i="0" spc="0" strike="noStrike" sz="2600" u="none">
                <a:solidFill>
                  <a:srgbClr val="203B7D"/>
                </a:solidFill>
                <a:uFillTx/>
                <a:latin typeface="Calibri"/>
                <a:ea typeface="Calibri"/>
                <a:cs typeface="Calibri"/>
                <a:sym typeface="Calibri"/>
              </a:rPr>
              <a:t>6</a:t>
            </a:r>
          </a:p>
        </xdr:txBody>
      </xdr:sp>
    </xdr:grpSp>
    <xdr:clientData/>
  </xdr:twoCellAnchor>
  <xdr:twoCellAnchor>
    <xdr:from>
      <xdr:col>9</xdr:col>
      <xdr:colOff>10636</xdr:colOff>
      <xdr:row>96</xdr:row>
      <xdr:rowOff>1506825</xdr:rowOff>
    </xdr:from>
    <xdr:to>
      <xdr:col>9</xdr:col>
      <xdr:colOff>4532585</xdr:colOff>
      <xdr:row>107</xdr:row>
      <xdr:rowOff>283750</xdr:rowOff>
    </xdr:to>
    <xdr:sp>
      <xdr:nvSpPr>
        <xdr:cNvPr id="871" name="ZoneTexte 1"/>
        <xdr:cNvSpPr/>
      </xdr:nvSpPr>
      <xdr:spPr>
        <a:xfrm>
          <a:off x="7630636" y="64768065"/>
          <a:ext cx="4521950" cy="201352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10953</xdr:colOff>
      <xdr:row>96</xdr:row>
      <xdr:rowOff>1506825</xdr:rowOff>
    </xdr:from>
    <xdr:to>
      <xdr:col>9</xdr:col>
      <xdr:colOff>4532903</xdr:colOff>
      <xdr:row>106</xdr:row>
      <xdr:rowOff>62728</xdr:rowOff>
    </xdr:to>
    <xdr:sp>
      <xdr:nvSpPr>
        <xdr:cNvPr id="872" name="ZoneTexte 1"/>
        <xdr:cNvSpPr/>
      </xdr:nvSpPr>
      <xdr:spPr>
        <a:xfrm>
          <a:off x="7630953" y="64768065"/>
          <a:ext cx="4521950" cy="1601999"/>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108</xdr:row>
      <xdr:rowOff>45681</xdr:rowOff>
    </xdr:from>
    <xdr:to>
      <xdr:col>9</xdr:col>
      <xdr:colOff>4503756</xdr:colOff>
      <xdr:row>109</xdr:row>
      <xdr:rowOff>1483956</xdr:rowOff>
    </xdr:to>
    <xdr:sp>
      <xdr:nvSpPr>
        <xdr:cNvPr id="873" name="ZoneTexte 1"/>
        <xdr:cNvSpPr/>
      </xdr:nvSpPr>
      <xdr:spPr>
        <a:xfrm>
          <a:off x="7648574" y="66962616"/>
          <a:ext cx="4475183" cy="162877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109</xdr:row>
      <xdr:rowOff>1541106</xdr:rowOff>
    </xdr:from>
    <xdr:to>
      <xdr:col>9</xdr:col>
      <xdr:colOff>4451453</xdr:colOff>
      <xdr:row>110</xdr:row>
      <xdr:rowOff>1483953</xdr:rowOff>
    </xdr:to>
    <xdr:sp>
      <xdr:nvSpPr>
        <xdr:cNvPr id="874" name="ZoneTexte 1"/>
        <xdr:cNvSpPr/>
      </xdr:nvSpPr>
      <xdr:spPr>
        <a:xfrm>
          <a:off x="7648574" y="68648541"/>
          <a:ext cx="4422880" cy="159448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110</xdr:row>
      <xdr:rowOff>1499630</xdr:rowOff>
    </xdr:from>
    <xdr:to>
      <xdr:col>9</xdr:col>
      <xdr:colOff>4503756</xdr:colOff>
      <xdr:row>111</xdr:row>
      <xdr:rowOff>1483951</xdr:rowOff>
    </xdr:to>
    <xdr:sp>
      <xdr:nvSpPr>
        <xdr:cNvPr id="875" name="ZoneTexte 1"/>
        <xdr:cNvSpPr/>
      </xdr:nvSpPr>
      <xdr:spPr>
        <a:xfrm>
          <a:off x="7648574" y="70258700"/>
          <a:ext cx="4475183" cy="1635957"/>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10636</xdr:colOff>
      <xdr:row>111</xdr:row>
      <xdr:rowOff>1506809</xdr:rowOff>
    </xdr:from>
    <xdr:to>
      <xdr:col>9</xdr:col>
      <xdr:colOff>4532585</xdr:colOff>
      <xdr:row>112</xdr:row>
      <xdr:rowOff>1619072</xdr:rowOff>
    </xdr:to>
    <xdr:sp>
      <xdr:nvSpPr>
        <xdr:cNvPr id="876" name="ZoneTexte 1"/>
        <xdr:cNvSpPr/>
      </xdr:nvSpPr>
      <xdr:spPr>
        <a:xfrm>
          <a:off x="7630636" y="71917514"/>
          <a:ext cx="4521950" cy="1763899"/>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10953</xdr:colOff>
      <xdr:row>112</xdr:row>
      <xdr:rowOff>1696097</xdr:rowOff>
    </xdr:from>
    <xdr:to>
      <xdr:col>9</xdr:col>
      <xdr:colOff>4532903</xdr:colOff>
      <xdr:row>113</xdr:row>
      <xdr:rowOff>1454055</xdr:rowOff>
    </xdr:to>
    <xdr:sp>
      <xdr:nvSpPr>
        <xdr:cNvPr id="877" name="ZoneTexte 1"/>
        <xdr:cNvSpPr/>
      </xdr:nvSpPr>
      <xdr:spPr>
        <a:xfrm>
          <a:off x="7630953" y="73758437"/>
          <a:ext cx="4521950" cy="1601999"/>
        </a:xfrm>
        <a:prstGeom prst="rect">
          <a:avLst/>
        </a:prstGeom>
        <a:solidFill>
          <a:srgbClr val="FFFFFF"/>
        </a:solidFill>
        <a:ln w="12700" cap="flat">
          <a:noFill/>
          <a:miter lim="400000"/>
        </a:ln>
        <a:effectLst/>
      </xdr:spPr>
      <xdr:txBody>
        <a:bodyPr/>
        <a:lstStyle/>
        <a:p>
          <a:pPr/>
        </a:p>
      </xdr:txBody>
    </xdr:sp>
    <xdr:clientData/>
  </xdr:twoCellAnchor>
  <xdr:twoCellAnchor>
    <xdr:from>
      <xdr:col>5</xdr:col>
      <xdr:colOff>9180</xdr:colOff>
      <xdr:row>106</xdr:row>
      <xdr:rowOff>12815</xdr:rowOff>
    </xdr:from>
    <xdr:to>
      <xdr:col>5</xdr:col>
      <xdr:colOff>462365</xdr:colOff>
      <xdr:row>107</xdr:row>
      <xdr:rowOff>255567</xdr:rowOff>
    </xdr:to>
    <xdr:grpSp>
      <xdr:nvGrpSpPr>
        <xdr:cNvPr id="880" name="Ellipse 160016"/>
        <xdr:cNvGrpSpPr/>
      </xdr:nvGrpSpPr>
      <xdr:grpSpPr>
        <a:xfrm>
          <a:off x="529880" y="66320150"/>
          <a:ext cx="453185" cy="433253"/>
          <a:chOff x="0" y="0"/>
          <a:chExt cx="453184" cy="433251"/>
        </a:xfrm>
      </xdr:grpSpPr>
      <xdr:sp>
        <xdr:nvSpPr>
          <xdr:cNvPr id="878" name="Ovale"/>
          <xdr:cNvSpPr/>
        </xdr:nvSpPr>
        <xdr:spPr>
          <a:xfrm>
            <a:off x="-1" y="0"/>
            <a:ext cx="453186" cy="433252"/>
          </a:xfrm>
          <a:prstGeom prst="ellipse">
            <a:avLst/>
          </a:prstGeom>
          <a:noFill/>
          <a:ln w="28575" cap="flat">
            <a:solidFill>
              <a:srgbClr val="203B7D"/>
            </a:solidFill>
            <a:prstDash val="solid"/>
            <a:miter lim="800000"/>
          </a:ln>
          <a:effectLst/>
        </xdr:spPr>
        <xdr:txBody>
          <a:bodyPr/>
          <a:lstStyle/>
          <a:p>
            <a:pPr/>
          </a:p>
        </xdr:txBody>
      </xdr:sp>
      <xdr:sp>
        <xdr:nvSpPr>
          <xdr:cNvPr id="879" name="7"/>
          <xdr:cNvSpPr txBox="1"/>
        </xdr:nvSpPr>
        <xdr:spPr>
          <a:xfrm>
            <a:off x="116352" y="56901"/>
            <a:ext cx="220479" cy="319449"/>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203B7D"/>
                </a:solidFill>
                <a:uFillTx/>
                <a:latin typeface="Calibri"/>
                <a:ea typeface="Calibri"/>
                <a:cs typeface="Calibri"/>
                <a:sym typeface="Calibri"/>
              </a:defRPr>
            </a:pPr>
            <a:r>
              <a:rPr b="0" baseline="0" cap="none" i="0" spc="0" strike="noStrike" sz="2600" u="none">
                <a:solidFill>
                  <a:srgbClr val="203B7D"/>
                </a:solidFill>
                <a:uFillTx/>
                <a:latin typeface="Calibri"/>
                <a:ea typeface="Calibri"/>
                <a:cs typeface="Calibri"/>
                <a:sym typeface="Calibri"/>
              </a:rPr>
              <a:t>7</a:t>
            </a:r>
          </a:p>
        </xdr:txBody>
      </xdr:sp>
    </xdr:grpSp>
    <xdr:clientData/>
  </xdr:twoCellAnchor>
  <xdr:twoCellAnchor>
    <xdr:from>
      <xdr:col>9</xdr:col>
      <xdr:colOff>10636</xdr:colOff>
      <xdr:row>113</xdr:row>
      <xdr:rowOff>1483951</xdr:rowOff>
    </xdr:from>
    <xdr:to>
      <xdr:col>9</xdr:col>
      <xdr:colOff>4532585</xdr:colOff>
      <xdr:row>126</xdr:row>
      <xdr:rowOff>17036</xdr:rowOff>
    </xdr:to>
    <xdr:sp>
      <xdr:nvSpPr>
        <xdr:cNvPr id="881" name="ZoneTexte 1"/>
        <xdr:cNvSpPr/>
      </xdr:nvSpPr>
      <xdr:spPr>
        <a:xfrm>
          <a:off x="7630636" y="75390331"/>
          <a:ext cx="4521950" cy="201352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10953</xdr:colOff>
      <xdr:row>113</xdr:row>
      <xdr:rowOff>1483951</xdr:rowOff>
    </xdr:from>
    <xdr:to>
      <xdr:col>9</xdr:col>
      <xdr:colOff>4532903</xdr:colOff>
      <xdr:row>123</xdr:row>
      <xdr:rowOff>154154</xdr:rowOff>
    </xdr:to>
    <xdr:sp>
      <xdr:nvSpPr>
        <xdr:cNvPr id="882" name="ZoneTexte 1"/>
        <xdr:cNvSpPr/>
      </xdr:nvSpPr>
      <xdr:spPr>
        <a:xfrm>
          <a:off x="7630953" y="75390331"/>
          <a:ext cx="4521950" cy="1601999"/>
        </a:xfrm>
        <a:prstGeom prst="rect">
          <a:avLst/>
        </a:prstGeom>
        <a:solidFill>
          <a:srgbClr val="FFFFFF"/>
        </a:solidFill>
        <a:ln w="12700" cap="flat">
          <a:noFill/>
          <a:miter lim="400000"/>
        </a:ln>
        <a:effectLst/>
      </xdr:spPr>
      <xdr:txBody>
        <a:bodyPr/>
        <a:lstStyle/>
        <a:p>
          <a:pPr/>
        </a:p>
      </xdr:txBody>
    </xdr:sp>
    <xdr:clientData/>
  </xdr:twoCellAnchor>
</xdr:wsDr>
</file>

<file path=xl/drawings/drawing26.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6</xdr:col>
      <xdr:colOff>1006414</xdr:colOff>
      <xdr:row>21</xdr:row>
      <xdr:rowOff>115015</xdr:rowOff>
    </xdr:from>
    <xdr:to>
      <xdr:col>6</xdr:col>
      <xdr:colOff>4070289</xdr:colOff>
      <xdr:row>22</xdr:row>
      <xdr:rowOff>140554</xdr:rowOff>
    </xdr:to>
    <xdr:grpSp>
      <xdr:nvGrpSpPr>
        <xdr:cNvPr id="886" name="Rectangle : coins arrondis 1"/>
        <xdr:cNvGrpSpPr/>
      </xdr:nvGrpSpPr>
      <xdr:grpSpPr>
        <a:xfrm>
          <a:off x="3838514" y="10028635"/>
          <a:ext cx="3063876" cy="665620"/>
          <a:chOff x="0" y="0"/>
          <a:chExt cx="3063874" cy="665619"/>
        </a:xfrm>
      </xdr:grpSpPr>
      <xdr:sp>
        <xdr:nvSpPr>
          <xdr:cNvPr id="884" name="Rectangle aux angles arrondis"/>
          <xdr:cNvSpPr/>
        </xdr:nvSpPr>
        <xdr:spPr>
          <a:xfrm>
            <a:off x="0" y="0"/>
            <a:ext cx="3063875" cy="665620"/>
          </a:xfrm>
          <a:prstGeom prst="roundRect">
            <a:avLst>
              <a:gd name="adj" fmla="val 16667"/>
            </a:avLst>
          </a:prstGeom>
          <a:solidFill>
            <a:srgbClr val="DEEBF7"/>
          </a:solidFill>
          <a:ln w="28575" cap="flat">
            <a:solidFill>
              <a:srgbClr val="C00000"/>
            </a:solidFill>
            <a:prstDash val="solid"/>
            <a:miter lim="800000"/>
          </a:ln>
          <a:effectLst>
            <a:outerShdw sx="100000" sy="100000" kx="0" ky="0" algn="b" rotWithShape="0" blurRad="63500" dist="0" dir="0">
              <a:srgbClr val="000000">
                <a:alpha val="40000"/>
              </a:srgbClr>
            </a:outerShdw>
          </a:effectLst>
        </xdr:spPr>
        <xdr:txBody>
          <a:bodyPr/>
          <a:lstStyle/>
          <a:p>
            <a:pPr/>
          </a:p>
        </xdr:txBody>
      </xdr:sp>
      <xdr:sp>
        <xdr:nvSpPr>
          <xdr:cNvPr id="885" name="Calculer la maturité"/>
          <xdr:cNvSpPr txBox="1"/>
        </xdr:nvSpPr>
        <xdr:spPr>
          <a:xfrm>
            <a:off x="73450" y="3876"/>
            <a:ext cx="2916974" cy="657867"/>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1" baseline="0" cap="none" i="0" spc="0" strike="noStrike" sz="1800" u="none">
                <a:solidFill>
                  <a:srgbClr val="C00000"/>
                </a:solidFill>
                <a:uFillTx/>
                <a:latin typeface="Aptos Light"/>
                <a:ea typeface="Aptos Light"/>
                <a:cs typeface="Aptos Light"/>
                <a:sym typeface="Aptos Light"/>
              </a:defRPr>
            </a:pPr>
            <a:r>
              <a:rPr b="1" baseline="0" cap="none" i="0" spc="0" strike="noStrike" sz="1800" u="none">
                <a:solidFill>
                  <a:srgbClr val="C00000"/>
                </a:solidFill>
                <a:uFillTx/>
                <a:latin typeface="Aptos Light"/>
                <a:ea typeface="Aptos Light"/>
                <a:cs typeface="Aptos Light"/>
                <a:sym typeface="Aptos Light"/>
              </a:rPr>
              <a:t>Calculer la maturité</a:t>
            </a:r>
          </a:p>
        </xdr:txBody>
      </xdr:sp>
    </xdr:grpSp>
    <xdr:clientData/>
  </xdr:twoCellAnchor>
</xdr:wsDr>
</file>

<file path=xl/drawings/drawing27.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9</xdr:col>
      <xdr:colOff>28574</xdr:colOff>
      <xdr:row>11</xdr:row>
      <xdr:rowOff>22859</xdr:rowOff>
    </xdr:from>
    <xdr:to>
      <xdr:col>9</xdr:col>
      <xdr:colOff>4500553</xdr:colOff>
      <xdr:row>11</xdr:row>
      <xdr:rowOff>1651634</xdr:rowOff>
    </xdr:to>
    <xdr:sp>
      <xdr:nvSpPr>
        <xdr:cNvPr id="888" name="ZoneTexte 1"/>
        <xdr:cNvSpPr/>
      </xdr:nvSpPr>
      <xdr:spPr>
        <a:xfrm>
          <a:off x="7648574" y="3398519"/>
          <a:ext cx="4471980" cy="162877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12</xdr:row>
      <xdr:rowOff>57149</xdr:rowOff>
    </xdr:from>
    <xdr:to>
      <xdr:col>9</xdr:col>
      <xdr:colOff>4529666</xdr:colOff>
      <xdr:row>12</xdr:row>
      <xdr:rowOff>1651633</xdr:rowOff>
    </xdr:to>
    <xdr:sp>
      <xdr:nvSpPr>
        <xdr:cNvPr id="889" name="ZoneTexte 1"/>
        <xdr:cNvSpPr/>
      </xdr:nvSpPr>
      <xdr:spPr>
        <a:xfrm>
          <a:off x="7648574" y="5084444"/>
          <a:ext cx="4501093" cy="1594485"/>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13</xdr:row>
      <xdr:rowOff>15674</xdr:rowOff>
    </xdr:from>
    <xdr:to>
      <xdr:col>9</xdr:col>
      <xdr:colOff>4500553</xdr:colOff>
      <xdr:row>13</xdr:row>
      <xdr:rowOff>1651633</xdr:rowOff>
    </xdr:to>
    <xdr:sp>
      <xdr:nvSpPr>
        <xdr:cNvPr id="890" name="ZoneTexte 1"/>
        <xdr:cNvSpPr/>
      </xdr:nvSpPr>
      <xdr:spPr>
        <a:xfrm>
          <a:off x="7648574" y="6694604"/>
          <a:ext cx="4471980" cy="1635960"/>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10635</xdr:colOff>
      <xdr:row>14</xdr:row>
      <xdr:rowOff>22858</xdr:rowOff>
    </xdr:from>
    <xdr:to>
      <xdr:col>9</xdr:col>
      <xdr:colOff>4529350</xdr:colOff>
      <xdr:row>15</xdr:row>
      <xdr:rowOff>422696</xdr:rowOff>
    </xdr:to>
    <xdr:sp>
      <xdr:nvSpPr>
        <xdr:cNvPr id="891" name="ZoneTexte 1"/>
        <xdr:cNvSpPr/>
      </xdr:nvSpPr>
      <xdr:spPr>
        <a:xfrm>
          <a:off x="7630635" y="8353423"/>
          <a:ext cx="4518715" cy="2051474"/>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10952</xdr:colOff>
      <xdr:row>15</xdr:row>
      <xdr:rowOff>19738</xdr:rowOff>
    </xdr:from>
    <xdr:to>
      <xdr:col>9</xdr:col>
      <xdr:colOff>4529667</xdr:colOff>
      <xdr:row>15</xdr:row>
      <xdr:rowOff>1621737</xdr:rowOff>
    </xdr:to>
    <xdr:sp>
      <xdr:nvSpPr>
        <xdr:cNvPr id="892" name="ZoneTexte 1"/>
        <xdr:cNvSpPr/>
      </xdr:nvSpPr>
      <xdr:spPr>
        <a:xfrm>
          <a:off x="7630952" y="10001938"/>
          <a:ext cx="4518715" cy="1602000"/>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10952</xdr:colOff>
      <xdr:row>16</xdr:row>
      <xdr:rowOff>38467</xdr:rowOff>
    </xdr:from>
    <xdr:to>
      <xdr:col>9</xdr:col>
      <xdr:colOff>4529667</xdr:colOff>
      <xdr:row>16</xdr:row>
      <xdr:rowOff>1640467</xdr:rowOff>
    </xdr:to>
    <xdr:sp>
      <xdr:nvSpPr>
        <xdr:cNvPr id="893" name="ZoneTexte 1"/>
        <xdr:cNvSpPr/>
      </xdr:nvSpPr>
      <xdr:spPr>
        <a:xfrm>
          <a:off x="7630952" y="11672302"/>
          <a:ext cx="4518715" cy="160200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15715</xdr:colOff>
      <xdr:row>17</xdr:row>
      <xdr:rowOff>12059</xdr:rowOff>
    </xdr:from>
    <xdr:to>
      <xdr:col>9</xdr:col>
      <xdr:colOff>4534430</xdr:colOff>
      <xdr:row>17</xdr:row>
      <xdr:rowOff>1614058</xdr:rowOff>
    </xdr:to>
    <xdr:sp>
      <xdr:nvSpPr>
        <xdr:cNvPr id="894" name="ZoneTexte 1"/>
        <xdr:cNvSpPr/>
      </xdr:nvSpPr>
      <xdr:spPr>
        <a:xfrm>
          <a:off x="7635715" y="13297529"/>
          <a:ext cx="4518716" cy="1602000"/>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26</xdr:row>
      <xdr:rowOff>182882</xdr:rowOff>
    </xdr:from>
    <xdr:to>
      <xdr:col>9</xdr:col>
      <xdr:colOff>4519448</xdr:colOff>
      <xdr:row>27</xdr:row>
      <xdr:rowOff>1621157</xdr:rowOff>
    </xdr:to>
    <xdr:sp>
      <xdr:nvSpPr>
        <xdr:cNvPr id="895" name="ZoneTexte 1"/>
        <xdr:cNvSpPr/>
      </xdr:nvSpPr>
      <xdr:spPr>
        <a:xfrm>
          <a:off x="7648574" y="18600422"/>
          <a:ext cx="4490875" cy="162877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28</xdr:row>
      <xdr:rowOff>26672</xdr:rowOff>
    </xdr:from>
    <xdr:to>
      <xdr:col>9</xdr:col>
      <xdr:colOff>4466961</xdr:colOff>
      <xdr:row>28</xdr:row>
      <xdr:rowOff>1621157</xdr:rowOff>
    </xdr:to>
    <xdr:sp>
      <xdr:nvSpPr>
        <xdr:cNvPr id="896" name="ZoneTexte 1"/>
        <xdr:cNvSpPr/>
      </xdr:nvSpPr>
      <xdr:spPr>
        <a:xfrm>
          <a:off x="7648574" y="20286347"/>
          <a:ext cx="4438388" cy="159448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28</xdr:row>
      <xdr:rowOff>1636833</xdr:rowOff>
    </xdr:from>
    <xdr:to>
      <xdr:col>9</xdr:col>
      <xdr:colOff>4519448</xdr:colOff>
      <xdr:row>29</xdr:row>
      <xdr:rowOff>1621158</xdr:rowOff>
    </xdr:to>
    <xdr:sp>
      <xdr:nvSpPr>
        <xdr:cNvPr id="897" name="ZoneTexte 1"/>
        <xdr:cNvSpPr/>
      </xdr:nvSpPr>
      <xdr:spPr>
        <a:xfrm>
          <a:off x="7648574" y="21896508"/>
          <a:ext cx="4490875" cy="163596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10635</xdr:colOff>
      <xdr:row>29</xdr:row>
      <xdr:rowOff>1644019</xdr:rowOff>
    </xdr:from>
    <xdr:to>
      <xdr:col>9</xdr:col>
      <xdr:colOff>4548441</xdr:colOff>
      <xdr:row>30</xdr:row>
      <xdr:rowOff>1623746</xdr:rowOff>
    </xdr:to>
    <xdr:sp>
      <xdr:nvSpPr>
        <xdr:cNvPr id="898" name="ZoneTexte 1"/>
        <xdr:cNvSpPr/>
      </xdr:nvSpPr>
      <xdr:spPr>
        <a:xfrm>
          <a:off x="7630635" y="23555329"/>
          <a:ext cx="4537807" cy="163136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10952</xdr:colOff>
      <xdr:row>30</xdr:row>
      <xdr:rowOff>1640897</xdr:rowOff>
    </xdr:from>
    <xdr:to>
      <xdr:col>9</xdr:col>
      <xdr:colOff>4548759</xdr:colOff>
      <xdr:row>31</xdr:row>
      <xdr:rowOff>1591262</xdr:rowOff>
    </xdr:to>
    <xdr:sp>
      <xdr:nvSpPr>
        <xdr:cNvPr id="899" name="ZoneTexte 1"/>
        <xdr:cNvSpPr/>
      </xdr:nvSpPr>
      <xdr:spPr>
        <a:xfrm>
          <a:off x="7630952" y="25203842"/>
          <a:ext cx="4537807" cy="1602000"/>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10952</xdr:colOff>
      <xdr:row>31</xdr:row>
      <xdr:rowOff>1621158</xdr:rowOff>
    </xdr:from>
    <xdr:to>
      <xdr:col>9</xdr:col>
      <xdr:colOff>4548759</xdr:colOff>
      <xdr:row>40</xdr:row>
      <xdr:rowOff>123721</xdr:rowOff>
    </xdr:to>
    <xdr:sp>
      <xdr:nvSpPr>
        <xdr:cNvPr id="900" name="ZoneTexte 1"/>
        <xdr:cNvSpPr/>
      </xdr:nvSpPr>
      <xdr:spPr>
        <a:xfrm>
          <a:off x="7630952" y="26835738"/>
          <a:ext cx="4537807" cy="1601999"/>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15716</xdr:colOff>
      <xdr:row>31</xdr:row>
      <xdr:rowOff>1621158</xdr:rowOff>
    </xdr:from>
    <xdr:to>
      <xdr:col>9</xdr:col>
      <xdr:colOff>4553522</xdr:colOff>
      <xdr:row>40</xdr:row>
      <xdr:rowOff>123721</xdr:rowOff>
    </xdr:to>
    <xdr:sp>
      <xdr:nvSpPr>
        <xdr:cNvPr id="901" name="ZoneTexte 1"/>
        <xdr:cNvSpPr/>
      </xdr:nvSpPr>
      <xdr:spPr>
        <a:xfrm>
          <a:off x="7635716" y="26835738"/>
          <a:ext cx="4537807" cy="1601999"/>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42</xdr:row>
      <xdr:rowOff>152399</xdr:rowOff>
    </xdr:from>
    <xdr:to>
      <xdr:col>9</xdr:col>
      <xdr:colOff>2636519</xdr:colOff>
      <xdr:row>43</xdr:row>
      <xdr:rowOff>1590674</xdr:rowOff>
    </xdr:to>
    <xdr:sp>
      <xdr:nvSpPr>
        <xdr:cNvPr id="902" name="ZoneTexte 1"/>
        <xdr:cNvSpPr/>
      </xdr:nvSpPr>
      <xdr:spPr>
        <a:xfrm>
          <a:off x="7648574" y="29076014"/>
          <a:ext cx="2607946" cy="162877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42</xdr:row>
      <xdr:rowOff>152399</xdr:rowOff>
    </xdr:from>
    <xdr:to>
      <xdr:col>9</xdr:col>
      <xdr:colOff>4542761</xdr:colOff>
      <xdr:row>43</xdr:row>
      <xdr:rowOff>1590674</xdr:rowOff>
    </xdr:to>
    <xdr:sp>
      <xdr:nvSpPr>
        <xdr:cNvPr id="903" name="ZoneTexte 1"/>
        <xdr:cNvSpPr/>
      </xdr:nvSpPr>
      <xdr:spPr>
        <a:xfrm>
          <a:off x="7648574" y="29076014"/>
          <a:ext cx="4514188" cy="162877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43</xdr:row>
      <xdr:rowOff>1647824</xdr:rowOff>
    </xdr:from>
    <xdr:to>
      <xdr:col>9</xdr:col>
      <xdr:colOff>4490003</xdr:colOff>
      <xdr:row>44</xdr:row>
      <xdr:rowOff>1844039</xdr:rowOff>
    </xdr:to>
    <xdr:sp>
      <xdr:nvSpPr>
        <xdr:cNvPr id="904" name="ZoneTexte 1"/>
        <xdr:cNvSpPr/>
      </xdr:nvSpPr>
      <xdr:spPr>
        <a:xfrm>
          <a:off x="7648574" y="30761939"/>
          <a:ext cx="4461430" cy="184785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44</xdr:row>
      <xdr:rowOff>1859712</xdr:rowOff>
    </xdr:from>
    <xdr:to>
      <xdr:col>9</xdr:col>
      <xdr:colOff>4542761</xdr:colOff>
      <xdr:row>45</xdr:row>
      <xdr:rowOff>1590674</xdr:rowOff>
    </xdr:to>
    <xdr:sp>
      <xdr:nvSpPr>
        <xdr:cNvPr id="905" name="ZoneTexte 1"/>
        <xdr:cNvSpPr/>
      </xdr:nvSpPr>
      <xdr:spPr>
        <a:xfrm>
          <a:off x="7648574" y="32625462"/>
          <a:ext cx="4514188" cy="163596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10635</xdr:colOff>
      <xdr:row>45</xdr:row>
      <xdr:rowOff>1613532</xdr:rowOff>
    </xdr:from>
    <xdr:to>
      <xdr:col>9</xdr:col>
      <xdr:colOff>4572000</xdr:colOff>
      <xdr:row>46</xdr:row>
      <xdr:rowOff>1463039</xdr:rowOff>
    </xdr:to>
    <xdr:sp>
      <xdr:nvSpPr>
        <xdr:cNvPr id="906" name="ZoneTexte 1"/>
        <xdr:cNvSpPr/>
      </xdr:nvSpPr>
      <xdr:spPr>
        <a:xfrm>
          <a:off x="7630635" y="34284282"/>
          <a:ext cx="4561365" cy="150114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58</xdr:row>
      <xdr:rowOff>121913</xdr:rowOff>
    </xdr:from>
    <xdr:to>
      <xdr:col>9</xdr:col>
      <xdr:colOff>4545724</xdr:colOff>
      <xdr:row>59</xdr:row>
      <xdr:rowOff>1560188</xdr:rowOff>
    </xdr:to>
    <xdr:sp>
      <xdr:nvSpPr>
        <xdr:cNvPr id="907" name="ZoneTexte 1"/>
        <xdr:cNvSpPr/>
      </xdr:nvSpPr>
      <xdr:spPr>
        <a:xfrm>
          <a:off x="7648574" y="43938818"/>
          <a:ext cx="4517151" cy="162877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59</xdr:row>
      <xdr:rowOff>1617338</xdr:rowOff>
    </xdr:from>
    <xdr:to>
      <xdr:col>9</xdr:col>
      <xdr:colOff>4492930</xdr:colOff>
      <xdr:row>60</xdr:row>
      <xdr:rowOff>1560188</xdr:rowOff>
    </xdr:to>
    <xdr:sp>
      <xdr:nvSpPr>
        <xdr:cNvPr id="908" name="ZoneTexte 1"/>
        <xdr:cNvSpPr/>
      </xdr:nvSpPr>
      <xdr:spPr>
        <a:xfrm>
          <a:off x="7648574" y="45624743"/>
          <a:ext cx="4464357" cy="159448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60</xdr:row>
      <xdr:rowOff>1575862</xdr:rowOff>
    </xdr:from>
    <xdr:to>
      <xdr:col>9</xdr:col>
      <xdr:colOff>4545724</xdr:colOff>
      <xdr:row>61</xdr:row>
      <xdr:rowOff>2354575</xdr:rowOff>
    </xdr:to>
    <xdr:sp>
      <xdr:nvSpPr>
        <xdr:cNvPr id="909" name="ZoneTexte 1"/>
        <xdr:cNvSpPr/>
      </xdr:nvSpPr>
      <xdr:spPr>
        <a:xfrm>
          <a:off x="7648574" y="47234902"/>
          <a:ext cx="4517151" cy="2430348"/>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10634</xdr:colOff>
      <xdr:row>61</xdr:row>
      <xdr:rowOff>2377433</xdr:rowOff>
    </xdr:from>
    <xdr:to>
      <xdr:col>9</xdr:col>
      <xdr:colOff>4574992</xdr:colOff>
      <xdr:row>63</xdr:row>
      <xdr:rowOff>267021</xdr:rowOff>
    </xdr:to>
    <xdr:sp>
      <xdr:nvSpPr>
        <xdr:cNvPr id="910" name="ZoneTexte 1"/>
        <xdr:cNvSpPr/>
      </xdr:nvSpPr>
      <xdr:spPr>
        <a:xfrm>
          <a:off x="7630634" y="49688108"/>
          <a:ext cx="4564359" cy="1987244"/>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10952</xdr:colOff>
      <xdr:row>62</xdr:row>
      <xdr:rowOff>1579929</xdr:rowOff>
    </xdr:from>
    <xdr:to>
      <xdr:col>9</xdr:col>
      <xdr:colOff>4575309</xdr:colOff>
      <xdr:row>63</xdr:row>
      <xdr:rowOff>1530292</xdr:rowOff>
    </xdr:to>
    <xdr:sp>
      <xdr:nvSpPr>
        <xdr:cNvPr id="911" name="ZoneTexte 1"/>
        <xdr:cNvSpPr/>
      </xdr:nvSpPr>
      <xdr:spPr>
        <a:xfrm>
          <a:off x="7630952" y="51336624"/>
          <a:ext cx="4564358" cy="1601999"/>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10952</xdr:colOff>
      <xdr:row>63</xdr:row>
      <xdr:rowOff>1560188</xdr:rowOff>
    </xdr:from>
    <xdr:to>
      <xdr:col>9</xdr:col>
      <xdr:colOff>4571998</xdr:colOff>
      <xdr:row>72</xdr:row>
      <xdr:rowOff>199917</xdr:rowOff>
    </xdr:to>
    <xdr:sp>
      <xdr:nvSpPr>
        <xdr:cNvPr id="912" name="ZoneTexte 1"/>
        <xdr:cNvSpPr/>
      </xdr:nvSpPr>
      <xdr:spPr>
        <a:xfrm>
          <a:off x="7630952" y="52968518"/>
          <a:ext cx="4561047" cy="1602005"/>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76</xdr:row>
      <xdr:rowOff>91422</xdr:rowOff>
    </xdr:from>
    <xdr:to>
      <xdr:col>9</xdr:col>
      <xdr:colOff>4503756</xdr:colOff>
      <xdr:row>77</xdr:row>
      <xdr:rowOff>1529697</xdr:rowOff>
    </xdr:to>
    <xdr:sp>
      <xdr:nvSpPr>
        <xdr:cNvPr id="913" name="ZoneTexte 1"/>
        <xdr:cNvSpPr/>
      </xdr:nvSpPr>
      <xdr:spPr>
        <a:xfrm>
          <a:off x="7648574" y="55528827"/>
          <a:ext cx="4475183" cy="162877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77</xdr:row>
      <xdr:rowOff>1586847</xdr:rowOff>
    </xdr:from>
    <xdr:to>
      <xdr:col>9</xdr:col>
      <xdr:colOff>4451453</xdr:colOff>
      <xdr:row>78</xdr:row>
      <xdr:rowOff>1529694</xdr:rowOff>
    </xdr:to>
    <xdr:sp>
      <xdr:nvSpPr>
        <xdr:cNvPr id="914" name="ZoneTexte 1"/>
        <xdr:cNvSpPr/>
      </xdr:nvSpPr>
      <xdr:spPr>
        <a:xfrm>
          <a:off x="7648574" y="57214752"/>
          <a:ext cx="4422880" cy="159448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78</xdr:row>
      <xdr:rowOff>1545371</xdr:rowOff>
    </xdr:from>
    <xdr:to>
      <xdr:col>9</xdr:col>
      <xdr:colOff>4503756</xdr:colOff>
      <xdr:row>79</xdr:row>
      <xdr:rowOff>1529692</xdr:rowOff>
    </xdr:to>
    <xdr:sp>
      <xdr:nvSpPr>
        <xdr:cNvPr id="915" name="ZoneTexte 1"/>
        <xdr:cNvSpPr/>
      </xdr:nvSpPr>
      <xdr:spPr>
        <a:xfrm>
          <a:off x="7648574" y="58824911"/>
          <a:ext cx="4475183" cy="1635957"/>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10636</xdr:colOff>
      <xdr:row>79</xdr:row>
      <xdr:rowOff>1552550</xdr:rowOff>
    </xdr:from>
    <xdr:to>
      <xdr:col>9</xdr:col>
      <xdr:colOff>4532585</xdr:colOff>
      <xdr:row>81</xdr:row>
      <xdr:rowOff>262800</xdr:rowOff>
    </xdr:to>
    <xdr:sp>
      <xdr:nvSpPr>
        <xdr:cNvPr id="916" name="ZoneTexte 1"/>
        <xdr:cNvSpPr/>
      </xdr:nvSpPr>
      <xdr:spPr>
        <a:xfrm>
          <a:off x="7630636" y="60483725"/>
          <a:ext cx="4521950" cy="201352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10953</xdr:colOff>
      <xdr:row>80</xdr:row>
      <xdr:rowOff>1549428</xdr:rowOff>
    </xdr:from>
    <xdr:to>
      <xdr:col>9</xdr:col>
      <xdr:colOff>4532903</xdr:colOff>
      <xdr:row>81</xdr:row>
      <xdr:rowOff>1499791</xdr:rowOff>
    </xdr:to>
    <xdr:sp>
      <xdr:nvSpPr>
        <xdr:cNvPr id="917" name="ZoneTexte 1"/>
        <xdr:cNvSpPr/>
      </xdr:nvSpPr>
      <xdr:spPr>
        <a:xfrm>
          <a:off x="7630953" y="62132238"/>
          <a:ext cx="4521950" cy="1601999"/>
        </a:xfrm>
        <a:prstGeom prst="rect">
          <a:avLst/>
        </a:prstGeom>
        <a:solidFill>
          <a:srgbClr val="FFFFFF"/>
        </a:solidFill>
        <a:ln w="12700" cap="flat">
          <a:noFill/>
          <a:miter lim="400000"/>
        </a:ln>
        <a:effectLst/>
      </xdr:spPr>
      <xdr:txBody>
        <a:bodyPr/>
        <a:lstStyle/>
        <a:p>
          <a:pPr/>
        </a:p>
      </xdr:txBody>
    </xdr:sp>
    <xdr:clientData/>
  </xdr:twoCellAnchor>
  <xdr:twoCellAnchor>
    <xdr:from>
      <xdr:col>5</xdr:col>
      <xdr:colOff>11781</xdr:colOff>
      <xdr:row>8</xdr:row>
      <xdr:rowOff>167760</xdr:rowOff>
    </xdr:from>
    <xdr:to>
      <xdr:col>5</xdr:col>
      <xdr:colOff>464966</xdr:colOff>
      <xdr:row>10</xdr:row>
      <xdr:rowOff>2896</xdr:rowOff>
    </xdr:to>
    <xdr:grpSp>
      <xdr:nvGrpSpPr>
        <xdr:cNvPr id="920" name="Ellipse 59"/>
        <xdr:cNvGrpSpPr/>
      </xdr:nvGrpSpPr>
      <xdr:grpSpPr>
        <a:xfrm>
          <a:off x="532481" y="2758560"/>
          <a:ext cx="453185" cy="437117"/>
          <a:chOff x="0" y="0"/>
          <a:chExt cx="453184" cy="437115"/>
        </a:xfrm>
      </xdr:grpSpPr>
      <xdr:sp>
        <xdr:nvSpPr>
          <xdr:cNvPr id="918" name="Ovale"/>
          <xdr:cNvSpPr/>
        </xdr:nvSpPr>
        <xdr:spPr>
          <a:xfrm>
            <a:off x="-1" y="0"/>
            <a:ext cx="453186" cy="437116"/>
          </a:xfrm>
          <a:prstGeom prst="ellipse">
            <a:avLst/>
          </a:prstGeom>
          <a:noFill/>
          <a:ln w="28575" cap="flat">
            <a:solidFill>
              <a:srgbClr val="203B7D"/>
            </a:solidFill>
            <a:prstDash val="solid"/>
            <a:miter lim="800000"/>
          </a:ln>
          <a:effectLst/>
        </xdr:spPr>
        <xdr:txBody>
          <a:bodyPr/>
          <a:lstStyle/>
          <a:p>
            <a:pPr/>
          </a:p>
        </xdr:txBody>
      </xdr:sp>
      <xdr:sp>
        <xdr:nvSpPr>
          <xdr:cNvPr id="919" name="1"/>
          <xdr:cNvSpPr txBox="1"/>
        </xdr:nvSpPr>
        <xdr:spPr>
          <a:xfrm>
            <a:off x="116352" y="57263"/>
            <a:ext cx="220479" cy="322590"/>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203864"/>
                </a:solidFill>
                <a:uFillTx/>
                <a:latin typeface="Calibri"/>
                <a:ea typeface="Calibri"/>
                <a:cs typeface="Calibri"/>
                <a:sym typeface="Calibri"/>
              </a:defRPr>
            </a:pPr>
            <a:r>
              <a:rPr b="0" baseline="0" cap="none" i="0" spc="0" strike="noStrike" sz="2600" u="none">
                <a:solidFill>
                  <a:srgbClr val="203864"/>
                </a:solidFill>
                <a:uFillTx/>
                <a:latin typeface="Calibri"/>
                <a:ea typeface="Calibri"/>
                <a:cs typeface="Calibri"/>
                <a:sym typeface="Calibri"/>
              </a:rPr>
              <a:t>1</a:t>
            </a:r>
          </a:p>
        </xdr:txBody>
      </xdr:sp>
    </xdr:grpSp>
    <xdr:clientData/>
  </xdr:twoCellAnchor>
  <xdr:twoCellAnchor>
    <xdr:from>
      <xdr:col>1</xdr:col>
      <xdr:colOff>304800</xdr:colOff>
      <xdr:row>24</xdr:row>
      <xdr:rowOff>153557</xdr:rowOff>
    </xdr:from>
    <xdr:to>
      <xdr:col>5</xdr:col>
      <xdr:colOff>453184</xdr:colOff>
      <xdr:row>25</xdr:row>
      <xdr:rowOff>396307</xdr:rowOff>
    </xdr:to>
    <xdr:grpSp>
      <xdr:nvGrpSpPr>
        <xdr:cNvPr id="923" name="Ellipse 60"/>
        <xdr:cNvGrpSpPr/>
      </xdr:nvGrpSpPr>
      <xdr:grpSpPr>
        <a:xfrm>
          <a:off x="520699" y="17961497"/>
          <a:ext cx="453186" cy="433251"/>
          <a:chOff x="0" y="0"/>
          <a:chExt cx="453184" cy="433250"/>
        </a:xfrm>
      </xdr:grpSpPr>
      <xdr:sp>
        <xdr:nvSpPr>
          <xdr:cNvPr id="921" name="Ovale"/>
          <xdr:cNvSpPr/>
        </xdr:nvSpPr>
        <xdr:spPr>
          <a:xfrm>
            <a:off x="-1" y="-1"/>
            <a:ext cx="453186" cy="433252"/>
          </a:xfrm>
          <a:prstGeom prst="ellipse">
            <a:avLst/>
          </a:prstGeom>
          <a:noFill/>
          <a:ln w="28575" cap="flat">
            <a:solidFill>
              <a:srgbClr val="203B7D"/>
            </a:solidFill>
            <a:prstDash val="solid"/>
            <a:miter lim="800000"/>
          </a:ln>
          <a:effectLst/>
        </xdr:spPr>
        <xdr:txBody>
          <a:bodyPr/>
          <a:lstStyle/>
          <a:p>
            <a:pPr/>
          </a:p>
        </xdr:txBody>
      </xdr:sp>
      <xdr:sp>
        <xdr:nvSpPr>
          <xdr:cNvPr id="922" name="2"/>
          <xdr:cNvSpPr txBox="1"/>
        </xdr:nvSpPr>
        <xdr:spPr>
          <a:xfrm>
            <a:off x="116352" y="56902"/>
            <a:ext cx="220479" cy="319445"/>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203B7D"/>
                </a:solidFill>
                <a:uFillTx/>
                <a:latin typeface="Calibri"/>
                <a:ea typeface="Calibri"/>
                <a:cs typeface="Calibri"/>
                <a:sym typeface="Calibri"/>
              </a:defRPr>
            </a:pPr>
            <a:r>
              <a:rPr b="0" baseline="0" cap="none" i="0" spc="0" strike="noStrike" sz="2600" u="none">
                <a:solidFill>
                  <a:srgbClr val="203B7D"/>
                </a:solidFill>
                <a:uFillTx/>
                <a:latin typeface="Calibri"/>
                <a:ea typeface="Calibri"/>
                <a:cs typeface="Calibri"/>
                <a:sym typeface="Calibri"/>
              </a:rPr>
              <a:t>2</a:t>
            </a:r>
          </a:p>
        </xdr:txBody>
      </xdr:sp>
    </xdr:grpSp>
    <xdr:clientData/>
  </xdr:twoCellAnchor>
  <xdr:twoCellAnchor>
    <xdr:from>
      <xdr:col>5</xdr:col>
      <xdr:colOff>18362</xdr:colOff>
      <xdr:row>40</xdr:row>
      <xdr:rowOff>119533</xdr:rowOff>
    </xdr:from>
    <xdr:to>
      <xdr:col>5</xdr:col>
      <xdr:colOff>471546</xdr:colOff>
      <xdr:row>41</xdr:row>
      <xdr:rowOff>362281</xdr:rowOff>
    </xdr:to>
    <xdr:grpSp>
      <xdr:nvGrpSpPr>
        <xdr:cNvPr id="926" name="Ellipse 61"/>
        <xdr:cNvGrpSpPr/>
      </xdr:nvGrpSpPr>
      <xdr:grpSpPr>
        <a:xfrm>
          <a:off x="539062" y="28433548"/>
          <a:ext cx="453185" cy="433249"/>
          <a:chOff x="0" y="0"/>
          <a:chExt cx="453184" cy="433248"/>
        </a:xfrm>
      </xdr:grpSpPr>
      <xdr:sp>
        <xdr:nvSpPr>
          <xdr:cNvPr id="924" name="Ovale"/>
          <xdr:cNvSpPr/>
        </xdr:nvSpPr>
        <xdr:spPr>
          <a:xfrm>
            <a:off x="-1" y="-1"/>
            <a:ext cx="453186" cy="433250"/>
          </a:xfrm>
          <a:prstGeom prst="ellipse">
            <a:avLst/>
          </a:prstGeom>
          <a:noFill/>
          <a:ln w="28575" cap="flat">
            <a:solidFill>
              <a:srgbClr val="203B7D"/>
            </a:solidFill>
            <a:prstDash val="solid"/>
            <a:miter lim="800000"/>
          </a:ln>
          <a:effectLst/>
        </xdr:spPr>
        <xdr:txBody>
          <a:bodyPr/>
          <a:lstStyle/>
          <a:p>
            <a:pPr/>
          </a:p>
        </xdr:txBody>
      </xdr:sp>
      <xdr:sp>
        <xdr:nvSpPr>
          <xdr:cNvPr id="925" name="3"/>
          <xdr:cNvSpPr txBox="1"/>
        </xdr:nvSpPr>
        <xdr:spPr>
          <a:xfrm>
            <a:off x="116352" y="56902"/>
            <a:ext cx="220479" cy="319443"/>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203B7D"/>
                </a:solidFill>
                <a:uFillTx/>
                <a:latin typeface="Calibri"/>
                <a:ea typeface="Calibri"/>
                <a:cs typeface="Calibri"/>
                <a:sym typeface="Calibri"/>
              </a:defRPr>
            </a:pPr>
            <a:r>
              <a:rPr b="0" baseline="0" cap="none" i="0" spc="0" strike="noStrike" sz="2600" u="none">
                <a:solidFill>
                  <a:srgbClr val="203B7D"/>
                </a:solidFill>
                <a:uFillTx/>
                <a:latin typeface="Calibri"/>
                <a:ea typeface="Calibri"/>
                <a:cs typeface="Calibri"/>
                <a:sym typeface="Calibri"/>
              </a:rPr>
              <a:t>3</a:t>
            </a:r>
          </a:p>
        </xdr:txBody>
      </xdr:sp>
    </xdr:grpSp>
    <xdr:clientData/>
  </xdr:twoCellAnchor>
  <xdr:twoCellAnchor>
    <xdr:from>
      <xdr:col>1</xdr:col>
      <xdr:colOff>304800</xdr:colOff>
      <xdr:row>56</xdr:row>
      <xdr:rowOff>89047</xdr:rowOff>
    </xdr:from>
    <xdr:to>
      <xdr:col>5</xdr:col>
      <xdr:colOff>453184</xdr:colOff>
      <xdr:row>57</xdr:row>
      <xdr:rowOff>331795</xdr:rowOff>
    </xdr:to>
    <xdr:grpSp>
      <xdr:nvGrpSpPr>
        <xdr:cNvPr id="929" name="Ellipse 62"/>
        <xdr:cNvGrpSpPr/>
      </xdr:nvGrpSpPr>
      <xdr:grpSpPr>
        <a:xfrm>
          <a:off x="520699" y="43296352"/>
          <a:ext cx="453186" cy="433249"/>
          <a:chOff x="0" y="0"/>
          <a:chExt cx="453184" cy="433248"/>
        </a:xfrm>
      </xdr:grpSpPr>
      <xdr:sp>
        <xdr:nvSpPr>
          <xdr:cNvPr id="927" name="Ovale"/>
          <xdr:cNvSpPr/>
        </xdr:nvSpPr>
        <xdr:spPr>
          <a:xfrm>
            <a:off x="-1" y="-1"/>
            <a:ext cx="453186" cy="433250"/>
          </a:xfrm>
          <a:prstGeom prst="ellipse">
            <a:avLst/>
          </a:prstGeom>
          <a:noFill/>
          <a:ln w="28575" cap="flat">
            <a:solidFill>
              <a:srgbClr val="203B7D"/>
            </a:solidFill>
            <a:prstDash val="solid"/>
            <a:miter lim="800000"/>
          </a:ln>
          <a:effectLst/>
        </xdr:spPr>
        <xdr:txBody>
          <a:bodyPr/>
          <a:lstStyle/>
          <a:p>
            <a:pPr/>
          </a:p>
        </xdr:txBody>
      </xdr:sp>
      <xdr:sp>
        <xdr:nvSpPr>
          <xdr:cNvPr id="928" name="4"/>
          <xdr:cNvSpPr txBox="1"/>
        </xdr:nvSpPr>
        <xdr:spPr>
          <a:xfrm>
            <a:off x="116352" y="56902"/>
            <a:ext cx="220479" cy="319443"/>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203B7D"/>
                </a:solidFill>
                <a:uFillTx/>
                <a:latin typeface="Calibri"/>
                <a:ea typeface="Calibri"/>
                <a:cs typeface="Calibri"/>
                <a:sym typeface="Calibri"/>
              </a:defRPr>
            </a:pPr>
            <a:r>
              <a:rPr b="0" baseline="0" cap="none" i="0" spc="0" strike="noStrike" sz="2600" u="none">
                <a:solidFill>
                  <a:srgbClr val="203B7D"/>
                </a:solidFill>
                <a:uFillTx/>
                <a:latin typeface="Calibri"/>
                <a:ea typeface="Calibri"/>
                <a:cs typeface="Calibri"/>
                <a:sym typeface="Calibri"/>
              </a:rPr>
              <a:t>4</a:t>
            </a:r>
          </a:p>
        </xdr:txBody>
      </xdr:sp>
    </xdr:grpSp>
    <xdr:clientData/>
  </xdr:twoCellAnchor>
  <xdr:twoCellAnchor>
    <xdr:from>
      <xdr:col>5</xdr:col>
      <xdr:colOff>9180</xdr:colOff>
      <xdr:row>74</xdr:row>
      <xdr:rowOff>58556</xdr:rowOff>
    </xdr:from>
    <xdr:to>
      <xdr:col>5</xdr:col>
      <xdr:colOff>462365</xdr:colOff>
      <xdr:row>75</xdr:row>
      <xdr:rowOff>301308</xdr:rowOff>
    </xdr:to>
    <xdr:grpSp>
      <xdr:nvGrpSpPr>
        <xdr:cNvPr id="932" name="Ellipse 160912"/>
        <xdr:cNvGrpSpPr/>
      </xdr:nvGrpSpPr>
      <xdr:grpSpPr>
        <a:xfrm>
          <a:off x="529880" y="54886361"/>
          <a:ext cx="453185" cy="433253"/>
          <a:chOff x="0" y="0"/>
          <a:chExt cx="453184" cy="433251"/>
        </a:xfrm>
      </xdr:grpSpPr>
      <xdr:sp>
        <xdr:nvSpPr>
          <xdr:cNvPr id="930" name="Ovale"/>
          <xdr:cNvSpPr/>
        </xdr:nvSpPr>
        <xdr:spPr>
          <a:xfrm>
            <a:off x="-1" y="0"/>
            <a:ext cx="453186" cy="433252"/>
          </a:xfrm>
          <a:prstGeom prst="ellipse">
            <a:avLst/>
          </a:prstGeom>
          <a:noFill/>
          <a:ln w="28575" cap="flat">
            <a:solidFill>
              <a:srgbClr val="203B7D"/>
            </a:solidFill>
            <a:prstDash val="solid"/>
            <a:miter lim="800000"/>
          </a:ln>
          <a:effectLst/>
        </xdr:spPr>
        <xdr:txBody>
          <a:bodyPr/>
          <a:lstStyle/>
          <a:p>
            <a:pPr/>
          </a:p>
        </xdr:txBody>
      </xdr:sp>
      <xdr:sp>
        <xdr:nvSpPr>
          <xdr:cNvPr id="931" name="5"/>
          <xdr:cNvSpPr txBox="1"/>
        </xdr:nvSpPr>
        <xdr:spPr>
          <a:xfrm>
            <a:off x="116352" y="56901"/>
            <a:ext cx="220479" cy="319449"/>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203B7D"/>
                </a:solidFill>
                <a:uFillTx/>
                <a:latin typeface="Calibri"/>
                <a:ea typeface="Calibri"/>
                <a:cs typeface="Calibri"/>
                <a:sym typeface="Calibri"/>
              </a:defRPr>
            </a:pPr>
            <a:r>
              <a:rPr b="0" baseline="0" cap="none" i="0" spc="0" strike="noStrike" sz="2600" u="none">
                <a:solidFill>
                  <a:srgbClr val="203B7D"/>
                </a:solidFill>
                <a:uFillTx/>
                <a:latin typeface="Calibri"/>
                <a:ea typeface="Calibri"/>
                <a:cs typeface="Calibri"/>
                <a:sym typeface="Calibri"/>
              </a:rPr>
              <a:t>5</a:t>
            </a:r>
          </a:p>
        </xdr:txBody>
      </xdr:sp>
    </xdr:grpSp>
    <xdr:clientData/>
  </xdr:twoCellAnchor>
  <xdr:twoCellAnchor>
    <xdr:from>
      <xdr:col>9</xdr:col>
      <xdr:colOff>10634</xdr:colOff>
      <xdr:row>63</xdr:row>
      <xdr:rowOff>1560188</xdr:rowOff>
    </xdr:from>
    <xdr:to>
      <xdr:col>9</xdr:col>
      <xdr:colOff>4574992</xdr:colOff>
      <xdr:row>74</xdr:row>
      <xdr:rowOff>127959</xdr:rowOff>
    </xdr:to>
    <xdr:sp>
      <xdr:nvSpPr>
        <xdr:cNvPr id="933" name="ZoneTexte 1"/>
        <xdr:cNvSpPr/>
      </xdr:nvSpPr>
      <xdr:spPr>
        <a:xfrm>
          <a:off x="7630634" y="52968518"/>
          <a:ext cx="4564359" cy="1987247"/>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10952</xdr:colOff>
      <xdr:row>63</xdr:row>
      <xdr:rowOff>1560188</xdr:rowOff>
    </xdr:from>
    <xdr:to>
      <xdr:col>9</xdr:col>
      <xdr:colOff>4575309</xdr:colOff>
      <xdr:row>72</xdr:row>
      <xdr:rowOff>199911</xdr:rowOff>
    </xdr:to>
    <xdr:sp>
      <xdr:nvSpPr>
        <xdr:cNvPr id="934" name="ZoneTexte 1"/>
        <xdr:cNvSpPr/>
      </xdr:nvSpPr>
      <xdr:spPr>
        <a:xfrm>
          <a:off x="7630952" y="52968518"/>
          <a:ext cx="4564358" cy="1601999"/>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46</xdr:row>
      <xdr:rowOff>1478713</xdr:rowOff>
    </xdr:from>
    <xdr:to>
      <xdr:col>9</xdr:col>
      <xdr:colOff>4542761</xdr:colOff>
      <xdr:row>47</xdr:row>
      <xdr:rowOff>2202179</xdr:rowOff>
    </xdr:to>
    <xdr:sp>
      <xdr:nvSpPr>
        <xdr:cNvPr id="935" name="ZoneTexte 1"/>
        <xdr:cNvSpPr/>
      </xdr:nvSpPr>
      <xdr:spPr>
        <a:xfrm>
          <a:off x="7648574" y="35801098"/>
          <a:ext cx="4514188" cy="2247467"/>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10635</xdr:colOff>
      <xdr:row>47</xdr:row>
      <xdr:rowOff>2225036</xdr:rowOff>
    </xdr:from>
    <xdr:to>
      <xdr:col>9</xdr:col>
      <xdr:colOff>4572000</xdr:colOff>
      <xdr:row>48</xdr:row>
      <xdr:rowOff>1463038</xdr:rowOff>
    </xdr:to>
    <xdr:sp>
      <xdr:nvSpPr>
        <xdr:cNvPr id="936" name="ZoneTexte 1"/>
        <xdr:cNvSpPr/>
      </xdr:nvSpPr>
      <xdr:spPr>
        <a:xfrm>
          <a:off x="7630635" y="38071421"/>
          <a:ext cx="4561365" cy="150114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48</xdr:row>
      <xdr:rowOff>1478712</xdr:rowOff>
    </xdr:from>
    <xdr:to>
      <xdr:col>9</xdr:col>
      <xdr:colOff>4542761</xdr:colOff>
      <xdr:row>49</xdr:row>
      <xdr:rowOff>2065018</xdr:rowOff>
    </xdr:to>
    <xdr:sp>
      <xdr:nvSpPr>
        <xdr:cNvPr id="937" name="ZoneTexte 1"/>
        <xdr:cNvSpPr/>
      </xdr:nvSpPr>
      <xdr:spPr>
        <a:xfrm>
          <a:off x="7648574" y="39588237"/>
          <a:ext cx="4514188" cy="211030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10636</xdr:colOff>
      <xdr:row>81</xdr:row>
      <xdr:rowOff>1552545</xdr:rowOff>
    </xdr:from>
    <xdr:to>
      <xdr:col>9</xdr:col>
      <xdr:colOff>4532585</xdr:colOff>
      <xdr:row>85</xdr:row>
      <xdr:rowOff>79915</xdr:rowOff>
    </xdr:to>
    <xdr:sp>
      <xdr:nvSpPr>
        <xdr:cNvPr id="938" name="ZoneTexte 1"/>
        <xdr:cNvSpPr/>
      </xdr:nvSpPr>
      <xdr:spPr>
        <a:xfrm>
          <a:off x="7630636" y="63786990"/>
          <a:ext cx="4521950" cy="201352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10953</xdr:colOff>
      <xdr:row>82</xdr:row>
      <xdr:rowOff>1529685</xdr:rowOff>
    </xdr:from>
    <xdr:to>
      <xdr:col>9</xdr:col>
      <xdr:colOff>4532903</xdr:colOff>
      <xdr:row>90</xdr:row>
      <xdr:rowOff>85588</xdr:rowOff>
    </xdr:to>
    <xdr:sp>
      <xdr:nvSpPr>
        <xdr:cNvPr id="939" name="ZoneTexte 1"/>
        <xdr:cNvSpPr/>
      </xdr:nvSpPr>
      <xdr:spPr>
        <a:xfrm>
          <a:off x="7630953" y="65415765"/>
          <a:ext cx="4521950" cy="1601999"/>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92</xdr:row>
      <xdr:rowOff>68541</xdr:rowOff>
    </xdr:from>
    <xdr:to>
      <xdr:col>9</xdr:col>
      <xdr:colOff>4503756</xdr:colOff>
      <xdr:row>93</xdr:row>
      <xdr:rowOff>1506816</xdr:rowOff>
    </xdr:to>
    <xdr:sp>
      <xdr:nvSpPr>
        <xdr:cNvPr id="940" name="ZoneTexte 1"/>
        <xdr:cNvSpPr/>
      </xdr:nvSpPr>
      <xdr:spPr>
        <a:xfrm>
          <a:off x="7648574" y="67610316"/>
          <a:ext cx="4475183" cy="162877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93</xdr:row>
      <xdr:rowOff>1563966</xdr:rowOff>
    </xdr:from>
    <xdr:to>
      <xdr:col>9</xdr:col>
      <xdr:colOff>4451453</xdr:colOff>
      <xdr:row>94</xdr:row>
      <xdr:rowOff>1506813</xdr:rowOff>
    </xdr:to>
    <xdr:sp>
      <xdr:nvSpPr>
        <xdr:cNvPr id="941" name="ZoneTexte 1"/>
        <xdr:cNvSpPr/>
      </xdr:nvSpPr>
      <xdr:spPr>
        <a:xfrm>
          <a:off x="7648574" y="69296241"/>
          <a:ext cx="4422880" cy="159448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94</xdr:row>
      <xdr:rowOff>1522490</xdr:rowOff>
    </xdr:from>
    <xdr:to>
      <xdr:col>9</xdr:col>
      <xdr:colOff>4503756</xdr:colOff>
      <xdr:row>95</xdr:row>
      <xdr:rowOff>1506811</xdr:rowOff>
    </xdr:to>
    <xdr:sp>
      <xdr:nvSpPr>
        <xdr:cNvPr id="942" name="ZoneTexte 1"/>
        <xdr:cNvSpPr/>
      </xdr:nvSpPr>
      <xdr:spPr>
        <a:xfrm>
          <a:off x="7648574" y="70906400"/>
          <a:ext cx="4475183" cy="1635957"/>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10636</xdr:colOff>
      <xdr:row>95</xdr:row>
      <xdr:rowOff>1529669</xdr:rowOff>
    </xdr:from>
    <xdr:to>
      <xdr:col>9</xdr:col>
      <xdr:colOff>4532585</xdr:colOff>
      <xdr:row>117</xdr:row>
      <xdr:rowOff>57039</xdr:rowOff>
    </xdr:to>
    <xdr:sp>
      <xdr:nvSpPr>
        <xdr:cNvPr id="943" name="ZoneTexte 1"/>
        <xdr:cNvSpPr/>
      </xdr:nvSpPr>
      <xdr:spPr>
        <a:xfrm>
          <a:off x="7630636" y="72565214"/>
          <a:ext cx="4521950" cy="201352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10953</xdr:colOff>
      <xdr:row>96</xdr:row>
      <xdr:rowOff>1506809</xdr:rowOff>
    </xdr:from>
    <xdr:to>
      <xdr:col>9</xdr:col>
      <xdr:colOff>4532903</xdr:colOff>
      <xdr:row>123</xdr:row>
      <xdr:rowOff>177012</xdr:rowOff>
    </xdr:to>
    <xdr:sp>
      <xdr:nvSpPr>
        <xdr:cNvPr id="944" name="ZoneTexte 1"/>
        <xdr:cNvSpPr/>
      </xdr:nvSpPr>
      <xdr:spPr>
        <a:xfrm>
          <a:off x="7630953" y="74193989"/>
          <a:ext cx="4521950" cy="1601999"/>
        </a:xfrm>
        <a:prstGeom prst="rect">
          <a:avLst/>
        </a:prstGeom>
        <a:solidFill>
          <a:srgbClr val="FFFFFF"/>
        </a:solidFill>
        <a:ln w="12700" cap="flat">
          <a:noFill/>
          <a:miter lim="400000"/>
        </a:ln>
        <a:effectLst/>
      </xdr:spPr>
      <xdr:txBody>
        <a:bodyPr/>
        <a:lstStyle/>
        <a:p>
          <a:pPr/>
        </a:p>
      </xdr:txBody>
    </xdr:sp>
    <xdr:clientData/>
  </xdr:twoCellAnchor>
  <xdr:twoCellAnchor>
    <xdr:from>
      <xdr:col>5</xdr:col>
      <xdr:colOff>9180</xdr:colOff>
      <xdr:row>90</xdr:row>
      <xdr:rowOff>35675</xdr:rowOff>
    </xdr:from>
    <xdr:to>
      <xdr:col>5</xdr:col>
      <xdr:colOff>462365</xdr:colOff>
      <xdr:row>91</xdr:row>
      <xdr:rowOff>278427</xdr:rowOff>
    </xdr:to>
    <xdr:grpSp>
      <xdr:nvGrpSpPr>
        <xdr:cNvPr id="947" name="Ellipse 160990"/>
        <xdr:cNvGrpSpPr/>
      </xdr:nvGrpSpPr>
      <xdr:grpSpPr>
        <a:xfrm>
          <a:off x="529880" y="66967850"/>
          <a:ext cx="453185" cy="433253"/>
          <a:chOff x="0" y="0"/>
          <a:chExt cx="453184" cy="433251"/>
        </a:xfrm>
      </xdr:grpSpPr>
      <xdr:sp>
        <xdr:nvSpPr>
          <xdr:cNvPr id="945" name="Ovale"/>
          <xdr:cNvSpPr/>
        </xdr:nvSpPr>
        <xdr:spPr>
          <a:xfrm>
            <a:off x="-1" y="0"/>
            <a:ext cx="453186" cy="433252"/>
          </a:xfrm>
          <a:prstGeom prst="ellipse">
            <a:avLst/>
          </a:prstGeom>
          <a:noFill/>
          <a:ln w="28575" cap="flat">
            <a:solidFill>
              <a:srgbClr val="203B7D"/>
            </a:solidFill>
            <a:prstDash val="solid"/>
            <a:miter lim="800000"/>
          </a:ln>
          <a:effectLst/>
        </xdr:spPr>
        <xdr:txBody>
          <a:bodyPr/>
          <a:lstStyle/>
          <a:p>
            <a:pPr/>
          </a:p>
        </xdr:txBody>
      </xdr:sp>
      <xdr:sp>
        <xdr:nvSpPr>
          <xdr:cNvPr id="946" name="6"/>
          <xdr:cNvSpPr txBox="1"/>
        </xdr:nvSpPr>
        <xdr:spPr>
          <a:xfrm>
            <a:off x="116352" y="56901"/>
            <a:ext cx="220479" cy="319449"/>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203B7D"/>
                </a:solidFill>
                <a:uFillTx/>
                <a:latin typeface="Calibri"/>
                <a:ea typeface="Calibri"/>
                <a:cs typeface="Calibri"/>
                <a:sym typeface="Calibri"/>
              </a:defRPr>
            </a:pPr>
            <a:r>
              <a:rPr b="0" baseline="0" cap="none" i="0" spc="0" strike="noStrike" sz="2600" u="none">
                <a:solidFill>
                  <a:srgbClr val="203B7D"/>
                </a:solidFill>
                <a:uFillTx/>
                <a:latin typeface="Calibri"/>
                <a:ea typeface="Calibri"/>
                <a:cs typeface="Calibri"/>
                <a:sym typeface="Calibri"/>
              </a:rPr>
              <a:t>6</a:t>
            </a:r>
          </a:p>
        </xdr:txBody>
      </xdr:sp>
    </xdr:grpSp>
    <xdr:clientData/>
  </xdr:twoCellAnchor>
  <xdr:twoCellAnchor>
    <xdr:from>
      <xdr:col>9</xdr:col>
      <xdr:colOff>10636</xdr:colOff>
      <xdr:row>96</xdr:row>
      <xdr:rowOff>1506809</xdr:rowOff>
    </xdr:from>
    <xdr:to>
      <xdr:col>9</xdr:col>
      <xdr:colOff>4532585</xdr:colOff>
      <xdr:row>126</xdr:row>
      <xdr:rowOff>39894</xdr:rowOff>
    </xdr:to>
    <xdr:sp>
      <xdr:nvSpPr>
        <xdr:cNvPr id="948" name="ZoneTexte 1"/>
        <xdr:cNvSpPr/>
      </xdr:nvSpPr>
      <xdr:spPr>
        <a:xfrm>
          <a:off x="7630636" y="74193989"/>
          <a:ext cx="4521950" cy="201352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10953</xdr:colOff>
      <xdr:row>96</xdr:row>
      <xdr:rowOff>1506809</xdr:rowOff>
    </xdr:from>
    <xdr:to>
      <xdr:col>9</xdr:col>
      <xdr:colOff>4532903</xdr:colOff>
      <xdr:row>123</xdr:row>
      <xdr:rowOff>177012</xdr:rowOff>
    </xdr:to>
    <xdr:sp>
      <xdr:nvSpPr>
        <xdr:cNvPr id="949" name="ZoneTexte 1"/>
        <xdr:cNvSpPr/>
      </xdr:nvSpPr>
      <xdr:spPr>
        <a:xfrm>
          <a:off x="7630953" y="74193989"/>
          <a:ext cx="4521950" cy="1601999"/>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96</xdr:row>
      <xdr:rowOff>1506809</xdr:rowOff>
    </xdr:from>
    <xdr:to>
      <xdr:col>9</xdr:col>
      <xdr:colOff>4503756</xdr:colOff>
      <xdr:row>124</xdr:row>
      <xdr:rowOff>20909</xdr:rowOff>
    </xdr:to>
    <xdr:sp>
      <xdr:nvSpPr>
        <xdr:cNvPr id="950" name="ZoneTexte 1"/>
        <xdr:cNvSpPr/>
      </xdr:nvSpPr>
      <xdr:spPr>
        <a:xfrm>
          <a:off x="7648574" y="74193989"/>
          <a:ext cx="4475183" cy="162877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96</xdr:row>
      <xdr:rowOff>1506809</xdr:rowOff>
    </xdr:from>
    <xdr:to>
      <xdr:col>9</xdr:col>
      <xdr:colOff>4451453</xdr:colOff>
      <xdr:row>123</xdr:row>
      <xdr:rowOff>169496</xdr:rowOff>
    </xdr:to>
    <xdr:sp>
      <xdr:nvSpPr>
        <xdr:cNvPr id="951" name="ZoneTexte 1"/>
        <xdr:cNvSpPr/>
      </xdr:nvSpPr>
      <xdr:spPr>
        <a:xfrm>
          <a:off x="7648574" y="74193989"/>
          <a:ext cx="4422880" cy="159448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96</xdr:row>
      <xdr:rowOff>1506809</xdr:rowOff>
    </xdr:from>
    <xdr:to>
      <xdr:col>9</xdr:col>
      <xdr:colOff>4503756</xdr:colOff>
      <xdr:row>124</xdr:row>
      <xdr:rowOff>28090</xdr:rowOff>
    </xdr:to>
    <xdr:sp>
      <xdr:nvSpPr>
        <xdr:cNvPr id="952" name="ZoneTexte 1"/>
        <xdr:cNvSpPr/>
      </xdr:nvSpPr>
      <xdr:spPr>
        <a:xfrm>
          <a:off x="7648574" y="74193989"/>
          <a:ext cx="4475183" cy="1635957"/>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10636</xdr:colOff>
      <xdr:row>96</xdr:row>
      <xdr:rowOff>1506809</xdr:rowOff>
    </xdr:from>
    <xdr:to>
      <xdr:col>9</xdr:col>
      <xdr:colOff>4532585</xdr:colOff>
      <xdr:row>126</xdr:row>
      <xdr:rowOff>39894</xdr:rowOff>
    </xdr:to>
    <xdr:sp>
      <xdr:nvSpPr>
        <xdr:cNvPr id="953" name="ZoneTexte 1"/>
        <xdr:cNvSpPr/>
      </xdr:nvSpPr>
      <xdr:spPr>
        <a:xfrm>
          <a:off x="7630636" y="74193989"/>
          <a:ext cx="4521950" cy="201352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10953</xdr:colOff>
      <xdr:row>96</xdr:row>
      <xdr:rowOff>1506809</xdr:rowOff>
    </xdr:from>
    <xdr:to>
      <xdr:col>9</xdr:col>
      <xdr:colOff>4532903</xdr:colOff>
      <xdr:row>123</xdr:row>
      <xdr:rowOff>177012</xdr:rowOff>
    </xdr:to>
    <xdr:sp>
      <xdr:nvSpPr>
        <xdr:cNvPr id="954" name="ZoneTexte 1"/>
        <xdr:cNvSpPr/>
      </xdr:nvSpPr>
      <xdr:spPr>
        <a:xfrm>
          <a:off x="7630953" y="74193989"/>
          <a:ext cx="4521950" cy="1601999"/>
        </a:xfrm>
        <a:prstGeom prst="rect">
          <a:avLst/>
        </a:prstGeom>
        <a:solidFill>
          <a:srgbClr val="FFFFFF"/>
        </a:solidFill>
        <a:ln w="12700" cap="flat">
          <a:noFill/>
          <a:miter lim="400000"/>
        </a:ln>
        <a:effectLst/>
      </xdr:spPr>
      <xdr:txBody>
        <a:bodyPr/>
        <a:lstStyle/>
        <a:p>
          <a:pPr/>
        </a:p>
      </xdr:txBody>
    </xdr:sp>
    <xdr:clientData/>
  </xdr:twoCellAnchor>
  <xdr:twoCellAnchor>
    <xdr:from>
      <xdr:col>5</xdr:col>
      <xdr:colOff>9180</xdr:colOff>
      <xdr:row>96</xdr:row>
      <xdr:rowOff>1506809</xdr:rowOff>
    </xdr:from>
    <xdr:to>
      <xdr:col>5</xdr:col>
      <xdr:colOff>462365</xdr:colOff>
      <xdr:row>117</xdr:row>
      <xdr:rowOff>105546</xdr:rowOff>
    </xdr:to>
    <xdr:grpSp>
      <xdr:nvGrpSpPr>
        <xdr:cNvPr id="957" name="Ellipse 161040"/>
        <xdr:cNvGrpSpPr/>
      </xdr:nvGrpSpPr>
      <xdr:grpSpPr>
        <a:xfrm>
          <a:off x="529880" y="74193989"/>
          <a:ext cx="453185" cy="433253"/>
          <a:chOff x="0" y="0"/>
          <a:chExt cx="453184" cy="433251"/>
        </a:xfrm>
      </xdr:grpSpPr>
      <xdr:sp>
        <xdr:nvSpPr>
          <xdr:cNvPr id="955" name="Ovale"/>
          <xdr:cNvSpPr/>
        </xdr:nvSpPr>
        <xdr:spPr>
          <a:xfrm>
            <a:off x="-1" y="0"/>
            <a:ext cx="453186" cy="433252"/>
          </a:xfrm>
          <a:prstGeom prst="ellipse">
            <a:avLst/>
          </a:prstGeom>
          <a:noFill/>
          <a:ln w="28575" cap="flat">
            <a:solidFill>
              <a:srgbClr val="203B7D"/>
            </a:solidFill>
            <a:prstDash val="solid"/>
            <a:miter lim="800000"/>
          </a:ln>
          <a:effectLst/>
        </xdr:spPr>
        <xdr:txBody>
          <a:bodyPr/>
          <a:lstStyle/>
          <a:p>
            <a:pPr/>
          </a:p>
        </xdr:txBody>
      </xdr:sp>
      <xdr:sp>
        <xdr:nvSpPr>
          <xdr:cNvPr id="956" name="7"/>
          <xdr:cNvSpPr txBox="1"/>
        </xdr:nvSpPr>
        <xdr:spPr>
          <a:xfrm>
            <a:off x="116352" y="56901"/>
            <a:ext cx="220479" cy="319449"/>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203B7D"/>
                </a:solidFill>
                <a:uFillTx/>
                <a:latin typeface="Calibri"/>
                <a:ea typeface="Calibri"/>
                <a:cs typeface="Calibri"/>
                <a:sym typeface="Calibri"/>
              </a:defRPr>
            </a:pPr>
            <a:r>
              <a:rPr b="0" baseline="0" cap="none" i="0" spc="0" strike="noStrike" sz="2600" u="none">
                <a:solidFill>
                  <a:srgbClr val="203B7D"/>
                </a:solidFill>
                <a:uFillTx/>
                <a:latin typeface="Calibri"/>
                <a:ea typeface="Calibri"/>
                <a:cs typeface="Calibri"/>
                <a:sym typeface="Calibri"/>
              </a:rPr>
              <a:t>7</a:t>
            </a:r>
          </a:p>
        </xdr:txBody>
      </xdr:sp>
    </xdr:grpSp>
    <xdr:clientData/>
  </xdr:twoCellAnchor>
  <xdr:twoCellAnchor>
    <xdr:from>
      <xdr:col>9</xdr:col>
      <xdr:colOff>10636</xdr:colOff>
      <xdr:row>96</xdr:row>
      <xdr:rowOff>1506809</xdr:rowOff>
    </xdr:from>
    <xdr:to>
      <xdr:col>9</xdr:col>
      <xdr:colOff>4532585</xdr:colOff>
      <xdr:row>126</xdr:row>
      <xdr:rowOff>39894</xdr:rowOff>
    </xdr:to>
    <xdr:sp>
      <xdr:nvSpPr>
        <xdr:cNvPr id="958" name="ZoneTexte 1"/>
        <xdr:cNvSpPr/>
      </xdr:nvSpPr>
      <xdr:spPr>
        <a:xfrm>
          <a:off x="7630636" y="74193989"/>
          <a:ext cx="4521950" cy="201352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10953</xdr:colOff>
      <xdr:row>96</xdr:row>
      <xdr:rowOff>1506809</xdr:rowOff>
    </xdr:from>
    <xdr:to>
      <xdr:col>9</xdr:col>
      <xdr:colOff>4532903</xdr:colOff>
      <xdr:row>123</xdr:row>
      <xdr:rowOff>177012</xdr:rowOff>
    </xdr:to>
    <xdr:sp>
      <xdr:nvSpPr>
        <xdr:cNvPr id="959" name="ZoneTexte 1"/>
        <xdr:cNvSpPr/>
      </xdr:nvSpPr>
      <xdr:spPr>
        <a:xfrm>
          <a:off x="7630953" y="74193989"/>
          <a:ext cx="4521950" cy="1601999"/>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10952</xdr:colOff>
      <xdr:row>18</xdr:row>
      <xdr:rowOff>38467</xdr:rowOff>
    </xdr:from>
    <xdr:to>
      <xdr:col>9</xdr:col>
      <xdr:colOff>4529667</xdr:colOff>
      <xdr:row>18</xdr:row>
      <xdr:rowOff>1640468</xdr:rowOff>
    </xdr:to>
    <xdr:sp>
      <xdr:nvSpPr>
        <xdr:cNvPr id="960" name="ZoneTexte 1"/>
        <xdr:cNvSpPr/>
      </xdr:nvSpPr>
      <xdr:spPr>
        <a:xfrm>
          <a:off x="7630952" y="14975572"/>
          <a:ext cx="4518715" cy="1602002"/>
        </a:xfrm>
        <a:prstGeom prst="rect">
          <a:avLst/>
        </a:prstGeom>
        <a:solidFill>
          <a:srgbClr val="FFFFFF"/>
        </a:solidFill>
        <a:ln w="12700" cap="flat">
          <a:noFill/>
          <a:miter lim="400000"/>
        </a:ln>
        <a:effectLst/>
      </xdr:spPr>
      <xdr:txBody>
        <a:bodyPr/>
        <a:lstStyle/>
        <a:p>
          <a:pPr/>
        </a:p>
      </xdr:txBody>
    </xdr:sp>
    <xdr:clientData/>
  </xdr:twoCellAnchor>
</xdr:wsDr>
</file>

<file path=xl/drawings/drawing28.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6</xdr:col>
      <xdr:colOff>996460</xdr:colOff>
      <xdr:row>21</xdr:row>
      <xdr:rowOff>102576</xdr:rowOff>
    </xdr:from>
    <xdr:to>
      <xdr:col>6</xdr:col>
      <xdr:colOff>4060336</xdr:colOff>
      <xdr:row>22</xdr:row>
      <xdr:rowOff>130330</xdr:rowOff>
    </xdr:to>
    <xdr:grpSp>
      <xdr:nvGrpSpPr>
        <xdr:cNvPr id="964" name="Rectangle : coins arrondis 1"/>
        <xdr:cNvGrpSpPr/>
      </xdr:nvGrpSpPr>
      <xdr:grpSpPr>
        <a:xfrm>
          <a:off x="3841260" y="8408376"/>
          <a:ext cx="3063876" cy="667835"/>
          <a:chOff x="0" y="0"/>
          <a:chExt cx="3063875" cy="667833"/>
        </a:xfrm>
      </xdr:grpSpPr>
      <xdr:sp>
        <xdr:nvSpPr>
          <xdr:cNvPr id="962" name="Rectangle aux angles arrondis"/>
          <xdr:cNvSpPr/>
        </xdr:nvSpPr>
        <xdr:spPr>
          <a:xfrm>
            <a:off x="0" y="0"/>
            <a:ext cx="3063875" cy="667834"/>
          </a:xfrm>
          <a:prstGeom prst="roundRect">
            <a:avLst>
              <a:gd name="adj" fmla="val 16667"/>
            </a:avLst>
          </a:prstGeom>
          <a:solidFill>
            <a:srgbClr val="DEEBF7"/>
          </a:solidFill>
          <a:ln w="28575" cap="flat">
            <a:solidFill>
              <a:srgbClr val="C00000"/>
            </a:solidFill>
            <a:prstDash val="solid"/>
            <a:miter lim="800000"/>
          </a:ln>
          <a:effectLst>
            <a:outerShdw sx="100000" sy="100000" kx="0" ky="0" algn="b" rotWithShape="0" blurRad="63500" dist="0" dir="0">
              <a:srgbClr val="000000">
                <a:alpha val="40000"/>
              </a:srgbClr>
            </a:outerShdw>
          </a:effectLst>
        </xdr:spPr>
        <xdr:txBody>
          <a:bodyPr/>
          <a:lstStyle/>
          <a:p>
            <a:pPr/>
          </a:p>
        </xdr:txBody>
      </xdr:sp>
      <xdr:sp>
        <xdr:nvSpPr>
          <xdr:cNvPr id="963" name="Calculer la maturité"/>
          <xdr:cNvSpPr txBox="1"/>
        </xdr:nvSpPr>
        <xdr:spPr>
          <a:xfrm>
            <a:off x="73558" y="3834"/>
            <a:ext cx="2916759" cy="660165"/>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1" baseline="0" cap="none" i="0" spc="0" strike="noStrike" sz="1800" u="none">
                <a:solidFill>
                  <a:srgbClr val="C00000"/>
                </a:solidFill>
                <a:uFillTx/>
                <a:latin typeface="Aptos Light"/>
                <a:ea typeface="Aptos Light"/>
                <a:cs typeface="Aptos Light"/>
                <a:sym typeface="Aptos Light"/>
              </a:defRPr>
            </a:pPr>
            <a:r>
              <a:rPr b="1" baseline="0" cap="none" i="0" spc="0" strike="noStrike" sz="1800" u="none">
                <a:solidFill>
                  <a:srgbClr val="C00000"/>
                </a:solidFill>
                <a:uFillTx/>
                <a:latin typeface="Aptos Light"/>
                <a:ea typeface="Aptos Light"/>
                <a:cs typeface="Aptos Light"/>
                <a:sym typeface="Aptos Light"/>
              </a:rPr>
              <a:t>Calculer la maturité</a:t>
            </a:r>
          </a:p>
        </xdr:txBody>
      </xdr:sp>
    </xdr:grpSp>
    <xdr:clientData/>
  </xdr:twoCellAnchor>
</xdr:wsDr>
</file>

<file path=xl/drawings/drawing29.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9</xdr:col>
      <xdr:colOff>28574</xdr:colOff>
      <xdr:row>11</xdr:row>
      <xdr:rowOff>22859</xdr:rowOff>
    </xdr:from>
    <xdr:to>
      <xdr:col>9</xdr:col>
      <xdr:colOff>4500553</xdr:colOff>
      <xdr:row>11</xdr:row>
      <xdr:rowOff>1651634</xdr:rowOff>
    </xdr:to>
    <xdr:sp>
      <xdr:nvSpPr>
        <xdr:cNvPr id="966" name="ZoneTexte 1"/>
        <xdr:cNvSpPr/>
      </xdr:nvSpPr>
      <xdr:spPr>
        <a:xfrm>
          <a:off x="7648574" y="3398519"/>
          <a:ext cx="4471980" cy="162877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12</xdr:row>
      <xdr:rowOff>57149</xdr:rowOff>
    </xdr:from>
    <xdr:to>
      <xdr:col>9</xdr:col>
      <xdr:colOff>4529666</xdr:colOff>
      <xdr:row>12</xdr:row>
      <xdr:rowOff>1651633</xdr:rowOff>
    </xdr:to>
    <xdr:sp>
      <xdr:nvSpPr>
        <xdr:cNvPr id="967" name="ZoneTexte 1"/>
        <xdr:cNvSpPr/>
      </xdr:nvSpPr>
      <xdr:spPr>
        <a:xfrm>
          <a:off x="7648574" y="5084444"/>
          <a:ext cx="4501093" cy="1594485"/>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13</xdr:row>
      <xdr:rowOff>15674</xdr:rowOff>
    </xdr:from>
    <xdr:to>
      <xdr:col>9</xdr:col>
      <xdr:colOff>4500553</xdr:colOff>
      <xdr:row>13</xdr:row>
      <xdr:rowOff>1651633</xdr:rowOff>
    </xdr:to>
    <xdr:sp>
      <xdr:nvSpPr>
        <xdr:cNvPr id="968" name="ZoneTexte 1"/>
        <xdr:cNvSpPr/>
      </xdr:nvSpPr>
      <xdr:spPr>
        <a:xfrm>
          <a:off x="7648574" y="6694604"/>
          <a:ext cx="4471980" cy="1635960"/>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10635</xdr:colOff>
      <xdr:row>14</xdr:row>
      <xdr:rowOff>22858</xdr:rowOff>
    </xdr:from>
    <xdr:to>
      <xdr:col>9</xdr:col>
      <xdr:colOff>4529350</xdr:colOff>
      <xdr:row>14</xdr:row>
      <xdr:rowOff>1549829</xdr:rowOff>
    </xdr:to>
    <xdr:sp>
      <xdr:nvSpPr>
        <xdr:cNvPr id="969" name="ZoneTexte 1"/>
        <xdr:cNvSpPr/>
      </xdr:nvSpPr>
      <xdr:spPr>
        <a:xfrm>
          <a:off x="7630635" y="8353423"/>
          <a:ext cx="4518715" cy="1526972"/>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10952</xdr:colOff>
      <xdr:row>15</xdr:row>
      <xdr:rowOff>19738</xdr:rowOff>
    </xdr:from>
    <xdr:to>
      <xdr:col>9</xdr:col>
      <xdr:colOff>4529667</xdr:colOff>
      <xdr:row>15</xdr:row>
      <xdr:rowOff>1621737</xdr:rowOff>
    </xdr:to>
    <xdr:sp>
      <xdr:nvSpPr>
        <xdr:cNvPr id="970" name="ZoneTexte 1"/>
        <xdr:cNvSpPr/>
      </xdr:nvSpPr>
      <xdr:spPr>
        <a:xfrm>
          <a:off x="7630952" y="10001938"/>
          <a:ext cx="4518715" cy="1602000"/>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10952</xdr:colOff>
      <xdr:row>16</xdr:row>
      <xdr:rowOff>38467</xdr:rowOff>
    </xdr:from>
    <xdr:to>
      <xdr:col>9</xdr:col>
      <xdr:colOff>4529667</xdr:colOff>
      <xdr:row>16</xdr:row>
      <xdr:rowOff>1640467</xdr:rowOff>
    </xdr:to>
    <xdr:sp>
      <xdr:nvSpPr>
        <xdr:cNvPr id="971" name="ZoneTexte 1"/>
        <xdr:cNvSpPr/>
      </xdr:nvSpPr>
      <xdr:spPr>
        <a:xfrm>
          <a:off x="7630952" y="11672302"/>
          <a:ext cx="4518715" cy="160200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26</xdr:row>
      <xdr:rowOff>182881</xdr:rowOff>
    </xdr:from>
    <xdr:to>
      <xdr:col>9</xdr:col>
      <xdr:colOff>4519448</xdr:colOff>
      <xdr:row>27</xdr:row>
      <xdr:rowOff>1621156</xdr:rowOff>
    </xdr:to>
    <xdr:sp>
      <xdr:nvSpPr>
        <xdr:cNvPr id="972" name="ZoneTexte 1"/>
        <xdr:cNvSpPr/>
      </xdr:nvSpPr>
      <xdr:spPr>
        <a:xfrm>
          <a:off x="7648574" y="15525751"/>
          <a:ext cx="4490875" cy="162877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28</xdr:row>
      <xdr:rowOff>26671</xdr:rowOff>
    </xdr:from>
    <xdr:to>
      <xdr:col>9</xdr:col>
      <xdr:colOff>4466961</xdr:colOff>
      <xdr:row>28</xdr:row>
      <xdr:rowOff>1744981</xdr:rowOff>
    </xdr:to>
    <xdr:sp>
      <xdr:nvSpPr>
        <xdr:cNvPr id="973" name="ZoneTexte 1"/>
        <xdr:cNvSpPr/>
      </xdr:nvSpPr>
      <xdr:spPr>
        <a:xfrm>
          <a:off x="7648574" y="17211676"/>
          <a:ext cx="4438388" cy="171831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28</xdr:row>
      <xdr:rowOff>1760657</xdr:rowOff>
    </xdr:from>
    <xdr:to>
      <xdr:col>9</xdr:col>
      <xdr:colOff>4519448</xdr:colOff>
      <xdr:row>29</xdr:row>
      <xdr:rowOff>1621157</xdr:rowOff>
    </xdr:to>
    <xdr:sp>
      <xdr:nvSpPr>
        <xdr:cNvPr id="974" name="ZoneTexte 1"/>
        <xdr:cNvSpPr/>
      </xdr:nvSpPr>
      <xdr:spPr>
        <a:xfrm>
          <a:off x="7648574" y="18945662"/>
          <a:ext cx="4490875" cy="163596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10635</xdr:colOff>
      <xdr:row>29</xdr:row>
      <xdr:rowOff>1644018</xdr:rowOff>
    </xdr:from>
    <xdr:to>
      <xdr:col>9</xdr:col>
      <xdr:colOff>4548441</xdr:colOff>
      <xdr:row>30</xdr:row>
      <xdr:rowOff>2113329</xdr:rowOff>
    </xdr:to>
    <xdr:sp>
      <xdr:nvSpPr>
        <xdr:cNvPr id="975" name="ZoneTexte 1"/>
        <xdr:cNvSpPr/>
      </xdr:nvSpPr>
      <xdr:spPr>
        <a:xfrm>
          <a:off x="7630635" y="20604483"/>
          <a:ext cx="4537807" cy="2120947"/>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10952</xdr:colOff>
      <xdr:row>30</xdr:row>
      <xdr:rowOff>2130480</xdr:rowOff>
    </xdr:from>
    <xdr:to>
      <xdr:col>9</xdr:col>
      <xdr:colOff>4548759</xdr:colOff>
      <xdr:row>31</xdr:row>
      <xdr:rowOff>1591261</xdr:rowOff>
    </xdr:to>
    <xdr:sp>
      <xdr:nvSpPr>
        <xdr:cNvPr id="976" name="ZoneTexte 1"/>
        <xdr:cNvSpPr/>
      </xdr:nvSpPr>
      <xdr:spPr>
        <a:xfrm>
          <a:off x="7630952" y="22742580"/>
          <a:ext cx="4537807" cy="1602002"/>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10952</xdr:colOff>
      <xdr:row>31</xdr:row>
      <xdr:rowOff>1621158</xdr:rowOff>
    </xdr:from>
    <xdr:to>
      <xdr:col>9</xdr:col>
      <xdr:colOff>4548759</xdr:colOff>
      <xdr:row>40</xdr:row>
      <xdr:rowOff>123721</xdr:rowOff>
    </xdr:to>
    <xdr:sp>
      <xdr:nvSpPr>
        <xdr:cNvPr id="977" name="ZoneTexte 1"/>
        <xdr:cNvSpPr/>
      </xdr:nvSpPr>
      <xdr:spPr>
        <a:xfrm>
          <a:off x="7630952" y="24374478"/>
          <a:ext cx="4537807" cy="1601999"/>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15716</xdr:colOff>
      <xdr:row>31</xdr:row>
      <xdr:rowOff>1621158</xdr:rowOff>
    </xdr:from>
    <xdr:to>
      <xdr:col>9</xdr:col>
      <xdr:colOff>4553522</xdr:colOff>
      <xdr:row>40</xdr:row>
      <xdr:rowOff>123721</xdr:rowOff>
    </xdr:to>
    <xdr:sp>
      <xdr:nvSpPr>
        <xdr:cNvPr id="978" name="ZoneTexte 1"/>
        <xdr:cNvSpPr/>
      </xdr:nvSpPr>
      <xdr:spPr>
        <a:xfrm>
          <a:off x="7635716" y="24374478"/>
          <a:ext cx="4537807" cy="1601999"/>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42</xdr:row>
      <xdr:rowOff>152401</xdr:rowOff>
    </xdr:from>
    <xdr:to>
      <xdr:col>9</xdr:col>
      <xdr:colOff>2636519</xdr:colOff>
      <xdr:row>43</xdr:row>
      <xdr:rowOff>2087879</xdr:rowOff>
    </xdr:to>
    <xdr:sp>
      <xdr:nvSpPr>
        <xdr:cNvPr id="979" name="ZoneTexte 1"/>
        <xdr:cNvSpPr/>
      </xdr:nvSpPr>
      <xdr:spPr>
        <a:xfrm>
          <a:off x="7648574" y="26614756"/>
          <a:ext cx="2607946" cy="2125979"/>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42</xdr:row>
      <xdr:rowOff>152401</xdr:rowOff>
    </xdr:from>
    <xdr:to>
      <xdr:col>9</xdr:col>
      <xdr:colOff>4542761</xdr:colOff>
      <xdr:row>43</xdr:row>
      <xdr:rowOff>2087879</xdr:rowOff>
    </xdr:to>
    <xdr:sp>
      <xdr:nvSpPr>
        <xdr:cNvPr id="980" name="ZoneTexte 1"/>
        <xdr:cNvSpPr/>
      </xdr:nvSpPr>
      <xdr:spPr>
        <a:xfrm>
          <a:off x="7648574" y="26614756"/>
          <a:ext cx="4514188" cy="2125979"/>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43</xdr:row>
      <xdr:rowOff>2145030</xdr:rowOff>
    </xdr:from>
    <xdr:to>
      <xdr:col>9</xdr:col>
      <xdr:colOff>4490003</xdr:colOff>
      <xdr:row>44</xdr:row>
      <xdr:rowOff>1590675</xdr:rowOff>
    </xdr:to>
    <xdr:sp>
      <xdr:nvSpPr>
        <xdr:cNvPr id="981" name="ZoneTexte 1"/>
        <xdr:cNvSpPr/>
      </xdr:nvSpPr>
      <xdr:spPr>
        <a:xfrm>
          <a:off x="7648574" y="28797885"/>
          <a:ext cx="4461430" cy="159448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44</xdr:row>
      <xdr:rowOff>1606349</xdr:rowOff>
    </xdr:from>
    <xdr:to>
      <xdr:col>9</xdr:col>
      <xdr:colOff>4542761</xdr:colOff>
      <xdr:row>45</xdr:row>
      <xdr:rowOff>1590676</xdr:rowOff>
    </xdr:to>
    <xdr:sp>
      <xdr:nvSpPr>
        <xdr:cNvPr id="982" name="ZoneTexte 1"/>
        <xdr:cNvSpPr/>
      </xdr:nvSpPr>
      <xdr:spPr>
        <a:xfrm>
          <a:off x="7648574" y="30408044"/>
          <a:ext cx="4514188" cy="163596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10635</xdr:colOff>
      <xdr:row>45</xdr:row>
      <xdr:rowOff>1613534</xdr:rowOff>
    </xdr:from>
    <xdr:to>
      <xdr:col>9</xdr:col>
      <xdr:colOff>4572000</xdr:colOff>
      <xdr:row>46</xdr:row>
      <xdr:rowOff>1463041</xdr:rowOff>
    </xdr:to>
    <xdr:sp>
      <xdr:nvSpPr>
        <xdr:cNvPr id="983" name="ZoneTexte 1"/>
        <xdr:cNvSpPr/>
      </xdr:nvSpPr>
      <xdr:spPr>
        <a:xfrm>
          <a:off x="7630635" y="32066864"/>
          <a:ext cx="4561365" cy="150114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58</xdr:row>
      <xdr:rowOff>129539</xdr:rowOff>
    </xdr:from>
    <xdr:to>
      <xdr:col>9</xdr:col>
      <xdr:colOff>4545724</xdr:colOff>
      <xdr:row>59</xdr:row>
      <xdr:rowOff>1567814</xdr:rowOff>
    </xdr:to>
    <xdr:sp>
      <xdr:nvSpPr>
        <xdr:cNvPr id="984" name="ZoneTexte 1"/>
        <xdr:cNvSpPr/>
      </xdr:nvSpPr>
      <xdr:spPr>
        <a:xfrm>
          <a:off x="7648574" y="43058714"/>
          <a:ext cx="4517151" cy="162877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59</xdr:row>
      <xdr:rowOff>1624964</xdr:rowOff>
    </xdr:from>
    <xdr:to>
      <xdr:col>9</xdr:col>
      <xdr:colOff>4492930</xdr:colOff>
      <xdr:row>60</xdr:row>
      <xdr:rowOff>1567814</xdr:rowOff>
    </xdr:to>
    <xdr:sp>
      <xdr:nvSpPr>
        <xdr:cNvPr id="985" name="ZoneTexte 1"/>
        <xdr:cNvSpPr/>
      </xdr:nvSpPr>
      <xdr:spPr>
        <a:xfrm>
          <a:off x="7648574" y="44744639"/>
          <a:ext cx="4464357" cy="159448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60</xdr:row>
      <xdr:rowOff>1583488</xdr:rowOff>
    </xdr:from>
    <xdr:to>
      <xdr:col>9</xdr:col>
      <xdr:colOff>4545724</xdr:colOff>
      <xdr:row>61</xdr:row>
      <xdr:rowOff>1567815</xdr:rowOff>
    </xdr:to>
    <xdr:sp>
      <xdr:nvSpPr>
        <xdr:cNvPr id="986" name="ZoneTexte 1"/>
        <xdr:cNvSpPr/>
      </xdr:nvSpPr>
      <xdr:spPr>
        <a:xfrm>
          <a:off x="7648574" y="46354798"/>
          <a:ext cx="4517151" cy="163596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10634</xdr:colOff>
      <xdr:row>61</xdr:row>
      <xdr:rowOff>1590673</xdr:rowOff>
    </xdr:from>
    <xdr:to>
      <xdr:col>9</xdr:col>
      <xdr:colOff>4574992</xdr:colOff>
      <xdr:row>63</xdr:row>
      <xdr:rowOff>274646</xdr:rowOff>
    </xdr:to>
    <xdr:sp>
      <xdr:nvSpPr>
        <xdr:cNvPr id="987" name="ZoneTexte 1"/>
        <xdr:cNvSpPr/>
      </xdr:nvSpPr>
      <xdr:spPr>
        <a:xfrm>
          <a:off x="7630634" y="48013618"/>
          <a:ext cx="4564359" cy="1987244"/>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10952</xdr:colOff>
      <xdr:row>62</xdr:row>
      <xdr:rowOff>1587554</xdr:rowOff>
    </xdr:from>
    <xdr:to>
      <xdr:col>9</xdr:col>
      <xdr:colOff>4575309</xdr:colOff>
      <xdr:row>63</xdr:row>
      <xdr:rowOff>1537920</xdr:rowOff>
    </xdr:to>
    <xdr:sp>
      <xdr:nvSpPr>
        <xdr:cNvPr id="988" name="ZoneTexte 1"/>
        <xdr:cNvSpPr/>
      </xdr:nvSpPr>
      <xdr:spPr>
        <a:xfrm>
          <a:off x="7630952" y="49662134"/>
          <a:ext cx="4564358" cy="1602002"/>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10952</xdr:colOff>
      <xdr:row>63</xdr:row>
      <xdr:rowOff>1562102</xdr:rowOff>
    </xdr:from>
    <xdr:to>
      <xdr:col>9</xdr:col>
      <xdr:colOff>4571998</xdr:colOff>
      <xdr:row>123</xdr:row>
      <xdr:rowOff>47526</xdr:rowOff>
    </xdr:to>
    <xdr:sp>
      <xdr:nvSpPr>
        <xdr:cNvPr id="989" name="ZoneTexte 1"/>
        <xdr:cNvSpPr/>
      </xdr:nvSpPr>
      <xdr:spPr>
        <a:xfrm>
          <a:off x="7630952" y="51288317"/>
          <a:ext cx="4561047" cy="1602005"/>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66</xdr:row>
      <xdr:rowOff>99061</xdr:rowOff>
    </xdr:from>
    <xdr:to>
      <xdr:col>9</xdr:col>
      <xdr:colOff>4503756</xdr:colOff>
      <xdr:row>124</xdr:row>
      <xdr:rowOff>74296</xdr:rowOff>
    </xdr:to>
    <xdr:sp>
      <xdr:nvSpPr>
        <xdr:cNvPr id="990" name="ZoneTexte 1"/>
        <xdr:cNvSpPr/>
      </xdr:nvSpPr>
      <xdr:spPr>
        <a:xfrm>
          <a:off x="7648574" y="51471196"/>
          <a:ext cx="4475183" cy="162877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66</xdr:row>
      <xdr:rowOff>99061</xdr:rowOff>
    </xdr:from>
    <xdr:to>
      <xdr:col>9</xdr:col>
      <xdr:colOff>4451453</xdr:colOff>
      <xdr:row>124</xdr:row>
      <xdr:rowOff>40003</xdr:rowOff>
    </xdr:to>
    <xdr:sp>
      <xdr:nvSpPr>
        <xdr:cNvPr id="991" name="ZoneTexte 1"/>
        <xdr:cNvSpPr/>
      </xdr:nvSpPr>
      <xdr:spPr>
        <a:xfrm>
          <a:off x="7648574" y="51471196"/>
          <a:ext cx="4422880" cy="159448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66</xdr:row>
      <xdr:rowOff>99061</xdr:rowOff>
    </xdr:from>
    <xdr:to>
      <xdr:col>9</xdr:col>
      <xdr:colOff>4503756</xdr:colOff>
      <xdr:row>124</xdr:row>
      <xdr:rowOff>81477</xdr:rowOff>
    </xdr:to>
    <xdr:sp>
      <xdr:nvSpPr>
        <xdr:cNvPr id="992" name="ZoneTexte 1"/>
        <xdr:cNvSpPr/>
      </xdr:nvSpPr>
      <xdr:spPr>
        <a:xfrm>
          <a:off x="7648574" y="51471196"/>
          <a:ext cx="4475183" cy="1635957"/>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10636</xdr:colOff>
      <xdr:row>66</xdr:row>
      <xdr:rowOff>99061</xdr:rowOff>
    </xdr:from>
    <xdr:to>
      <xdr:col>9</xdr:col>
      <xdr:colOff>4532585</xdr:colOff>
      <xdr:row>126</xdr:row>
      <xdr:rowOff>93281</xdr:rowOff>
    </xdr:to>
    <xdr:sp>
      <xdr:nvSpPr>
        <xdr:cNvPr id="993" name="ZoneTexte 1"/>
        <xdr:cNvSpPr/>
      </xdr:nvSpPr>
      <xdr:spPr>
        <a:xfrm>
          <a:off x="7630636" y="51471196"/>
          <a:ext cx="4521950" cy="201352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10953</xdr:colOff>
      <xdr:row>66</xdr:row>
      <xdr:rowOff>99061</xdr:rowOff>
    </xdr:from>
    <xdr:to>
      <xdr:col>9</xdr:col>
      <xdr:colOff>4532903</xdr:colOff>
      <xdr:row>124</xdr:row>
      <xdr:rowOff>47519</xdr:rowOff>
    </xdr:to>
    <xdr:sp>
      <xdr:nvSpPr>
        <xdr:cNvPr id="994" name="ZoneTexte 1"/>
        <xdr:cNvSpPr/>
      </xdr:nvSpPr>
      <xdr:spPr>
        <a:xfrm>
          <a:off x="7630953" y="51471196"/>
          <a:ext cx="4521950" cy="1601999"/>
        </a:xfrm>
        <a:prstGeom prst="rect">
          <a:avLst/>
        </a:prstGeom>
        <a:solidFill>
          <a:srgbClr val="FFFFFF"/>
        </a:solidFill>
        <a:ln w="12700" cap="flat">
          <a:noFill/>
          <a:miter lim="400000"/>
        </a:ln>
        <a:effectLst/>
      </xdr:spPr>
      <xdr:txBody>
        <a:bodyPr/>
        <a:lstStyle/>
        <a:p>
          <a:pPr/>
        </a:p>
      </xdr:txBody>
    </xdr:sp>
    <xdr:clientData/>
  </xdr:twoCellAnchor>
  <xdr:twoCellAnchor>
    <xdr:from>
      <xdr:col>5</xdr:col>
      <xdr:colOff>11781</xdr:colOff>
      <xdr:row>8</xdr:row>
      <xdr:rowOff>167760</xdr:rowOff>
    </xdr:from>
    <xdr:to>
      <xdr:col>5</xdr:col>
      <xdr:colOff>464966</xdr:colOff>
      <xdr:row>10</xdr:row>
      <xdr:rowOff>2896</xdr:rowOff>
    </xdr:to>
    <xdr:grpSp>
      <xdr:nvGrpSpPr>
        <xdr:cNvPr id="997" name="Ellipse 59"/>
        <xdr:cNvGrpSpPr/>
      </xdr:nvGrpSpPr>
      <xdr:grpSpPr>
        <a:xfrm>
          <a:off x="532481" y="2758560"/>
          <a:ext cx="453185" cy="437117"/>
          <a:chOff x="0" y="0"/>
          <a:chExt cx="453184" cy="437115"/>
        </a:xfrm>
      </xdr:grpSpPr>
      <xdr:sp>
        <xdr:nvSpPr>
          <xdr:cNvPr id="995" name="Ovale"/>
          <xdr:cNvSpPr/>
        </xdr:nvSpPr>
        <xdr:spPr>
          <a:xfrm>
            <a:off x="-1" y="0"/>
            <a:ext cx="453186" cy="437116"/>
          </a:xfrm>
          <a:prstGeom prst="ellipse">
            <a:avLst/>
          </a:prstGeom>
          <a:noFill/>
          <a:ln w="28575" cap="flat">
            <a:solidFill>
              <a:srgbClr val="203B7D"/>
            </a:solidFill>
            <a:prstDash val="solid"/>
            <a:miter lim="800000"/>
          </a:ln>
          <a:effectLst/>
        </xdr:spPr>
        <xdr:txBody>
          <a:bodyPr/>
          <a:lstStyle/>
          <a:p>
            <a:pPr/>
          </a:p>
        </xdr:txBody>
      </xdr:sp>
      <xdr:sp>
        <xdr:nvSpPr>
          <xdr:cNvPr id="996" name="1"/>
          <xdr:cNvSpPr txBox="1"/>
        </xdr:nvSpPr>
        <xdr:spPr>
          <a:xfrm>
            <a:off x="116352" y="57263"/>
            <a:ext cx="220479" cy="322590"/>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203864"/>
                </a:solidFill>
                <a:uFillTx/>
                <a:latin typeface="Calibri"/>
                <a:ea typeface="Calibri"/>
                <a:cs typeface="Calibri"/>
                <a:sym typeface="Calibri"/>
              </a:defRPr>
            </a:pPr>
            <a:r>
              <a:rPr b="0" baseline="0" cap="none" i="0" spc="0" strike="noStrike" sz="2600" u="none">
                <a:solidFill>
                  <a:srgbClr val="203864"/>
                </a:solidFill>
                <a:uFillTx/>
                <a:latin typeface="Calibri"/>
                <a:ea typeface="Calibri"/>
                <a:cs typeface="Calibri"/>
                <a:sym typeface="Calibri"/>
              </a:rPr>
              <a:t>1</a:t>
            </a:r>
          </a:p>
        </xdr:txBody>
      </xdr:sp>
    </xdr:grpSp>
    <xdr:clientData/>
  </xdr:twoCellAnchor>
  <xdr:twoCellAnchor>
    <xdr:from>
      <xdr:col>1</xdr:col>
      <xdr:colOff>304800</xdr:colOff>
      <xdr:row>24</xdr:row>
      <xdr:rowOff>153556</xdr:rowOff>
    </xdr:from>
    <xdr:to>
      <xdr:col>5</xdr:col>
      <xdr:colOff>453184</xdr:colOff>
      <xdr:row>25</xdr:row>
      <xdr:rowOff>396306</xdr:rowOff>
    </xdr:to>
    <xdr:grpSp>
      <xdr:nvGrpSpPr>
        <xdr:cNvPr id="1000" name="Ellipse 60"/>
        <xdr:cNvGrpSpPr/>
      </xdr:nvGrpSpPr>
      <xdr:grpSpPr>
        <a:xfrm>
          <a:off x="520699" y="14886826"/>
          <a:ext cx="453186" cy="433251"/>
          <a:chOff x="0" y="0"/>
          <a:chExt cx="453184" cy="433250"/>
        </a:xfrm>
      </xdr:grpSpPr>
      <xdr:sp>
        <xdr:nvSpPr>
          <xdr:cNvPr id="998" name="Ovale"/>
          <xdr:cNvSpPr/>
        </xdr:nvSpPr>
        <xdr:spPr>
          <a:xfrm>
            <a:off x="-1" y="-1"/>
            <a:ext cx="453186" cy="433252"/>
          </a:xfrm>
          <a:prstGeom prst="ellipse">
            <a:avLst/>
          </a:prstGeom>
          <a:noFill/>
          <a:ln w="28575" cap="flat">
            <a:solidFill>
              <a:srgbClr val="203B7D"/>
            </a:solidFill>
            <a:prstDash val="solid"/>
            <a:miter lim="800000"/>
          </a:ln>
          <a:effectLst/>
        </xdr:spPr>
        <xdr:txBody>
          <a:bodyPr/>
          <a:lstStyle/>
          <a:p>
            <a:pPr/>
          </a:p>
        </xdr:txBody>
      </xdr:sp>
      <xdr:sp>
        <xdr:nvSpPr>
          <xdr:cNvPr id="999" name="2"/>
          <xdr:cNvSpPr txBox="1"/>
        </xdr:nvSpPr>
        <xdr:spPr>
          <a:xfrm>
            <a:off x="116352" y="56902"/>
            <a:ext cx="220479" cy="319445"/>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203B7D"/>
                </a:solidFill>
                <a:uFillTx/>
                <a:latin typeface="Calibri"/>
                <a:ea typeface="Calibri"/>
                <a:cs typeface="Calibri"/>
                <a:sym typeface="Calibri"/>
              </a:defRPr>
            </a:pPr>
            <a:r>
              <a:rPr b="0" baseline="0" cap="none" i="0" spc="0" strike="noStrike" sz="2600" u="none">
                <a:solidFill>
                  <a:srgbClr val="203B7D"/>
                </a:solidFill>
                <a:uFillTx/>
                <a:latin typeface="Calibri"/>
                <a:ea typeface="Calibri"/>
                <a:cs typeface="Calibri"/>
                <a:sym typeface="Calibri"/>
              </a:rPr>
              <a:t>2</a:t>
            </a:r>
          </a:p>
        </xdr:txBody>
      </xdr:sp>
    </xdr:grpSp>
    <xdr:clientData/>
  </xdr:twoCellAnchor>
  <xdr:twoCellAnchor>
    <xdr:from>
      <xdr:col>5</xdr:col>
      <xdr:colOff>18362</xdr:colOff>
      <xdr:row>40</xdr:row>
      <xdr:rowOff>119534</xdr:rowOff>
    </xdr:from>
    <xdr:to>
      <xdr:col>5</xdr:col>
      <xdr:colOff>471546</xdr:colOff>
      <xdr:row>41</xdr:row>
      <xdr:rowOff>362284</xdr:rowOff>
    </xdr:to>
    <xdr:grpSp>
      <xdr:nvGrpSpPr>
        <xdr:cNvPr id="1003" name="Ellipse 61"/>
        <xdr:cNvGrpSpPr/>
      </xdr:nvGrpSpPr>
      <xdr:grpSpPr>
        <a:xfrm>
          <a:off x="539062" y="25972289"/>
          <a:ext cx="453185" cy="433251"/>
          <a:chOff x="0" y="0"/>
          <a:chExt cx="453184" cy="433250"/>
        </a:xfrm>
      </xdr:grpSpPr>
      <xdr:sp>
        <xdr:nvSpPr>
          <xdr:cNvPr id="1001" name="Ovale"/>
          <xdr:cNvSpPr/>
        </xdr:nvSpPr>
        <xdr:spPr>
          <a:xfrm>
            <a:off x="-1" y="-1"/>
            <a:ext cx="453186" cy="433252"/>
          </a:xfrm>
          <a:prstGeom prst="ellipse">
            <a:avLst/>
          </a:prstGeom>
          <a:noFill/>
          <a:ln w="28575" cap="flat">
            <a:solidFill>
              <a:srgbClr val="203B7D"/>
            </a:solidFill>
            <a:prstDash val="solid"/>
            <a:miter lim="800000"/>
          </a:ln>
          <a:effectLst/>
        </xdr:spPr>
        <xdr:txBody>
          <a:bodyPr/>
          <a:lstStyle/>
          <a:p>
            <a:pPr/>
          </a:p>
        </xdr:txBody>
      </xdr:sp>
      <xdr:sp>
        <xdr:nvSpPr>
          <xdr:cNvPr id="1002" name="3"/>
          <xdr:cNvSpPr txBox="1"/>
        </xdr:nvSpPr>
        <xdr:spPr>
          <a:xfrm>
            <a:off x="116352" y="56902"/>
            <a:ext cx="220479" cy="319445"/>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203B7D"/>
                </a:solidFill>
                <a:uFillTx/>
                <a:latin typeface="Calibri"/>
                <a:ea typeface="Calibri"/>
                <a:cs typeface="Calibri"/>
                <a:sym typeface="Calibri"/>
              </a:defRPr>
            </a:pPr>
            <a:r>
              <a:rPr b="0" baseline="0" cap="none" i="0" spc="0" strike="noStrike" sz="2600" u="none">
                <a:solidFill>
                  <a:srgbClr val="203B7D"/>
                </a:solidFill>
                <a:uFillTx/>
                <a:latin typeface="Calibri"/>
                <a:ea typeface="Calibri"/>
                <a:cs typeface="Calibri"/>
                <a:sym typeface="Calibri"/>
              </a:rPr>
              <a:t>3</a:t>
            </a:r>
          </a:p>
        </xdr:txBody>
      </xdr:sp>
    </xdr:grpSp>
    <xdr:clientData/>
  </xdr:twoCellAnchor>
  <xdr:twoCellAnchor>
    <xdr:from>
      <xdr:col>1</xdr:col>
      <xdr:colOff>304800</xdr:colOff>
      <xdr:row>56</xdr:row>
      <xdr:rowOff>96673</xdr:rowOff>
    </xdr:from>
    <xdr:to>
      <xdr:col>5</xdr:col>
      <xdr:colOff>453184</xdr:colOff>
      <xdr:row>57</xdr:row>
      <xdr:rowOff>339421</xdr:rowOff>
    </xdr:to>
    <xdr:grpSp>
      <xdr:nvGrpSpPr>
        <xdr:cNvPr id="1006" name="Ellipse 62"/>
        <xdr:cNvGrpSpPr/>
      </xdr:nvGrpSpPr>
      <xdr:grpSpPr>
        <a:xfrm>
          <a:off x="520699" y="42416248"/>
          <a:ext cx="453186" cy="433249"/>
          <a:chOff x="0" y="0"/>
          <a:chExt cx="453184" cy="433248"/>
        </a:xfrm>
      </xdr:grpSpPr>
      <xdr:sp>
        <xdr:nvSpPr>
          <xdr:cNvPr id="1004" name="Ovale"/>
          <xdr:cNvSpPr/>
        </xdr:nvSpPr>
        <xdr:spPr>
          <a:xfrm>
            <a:off x="-1" y="-1"/>
            <a:ext cx="453186" cy="433250"/>
          </a:xfrm>
          <a:prstGeom prst="ellipse">
            <a:avLst/>
          </a:prstGeom>
          <a:noFill/>
          <a:ln w="28575" cap="flat">
            <a:solidFill>
              <a:srgbClr val="203B7D"/>
            </a:solidFill>
            <a:prstDash val="solid"/>
            <a:miter lim="800000"/>
          </a:ln>
          <a:effectLst/>
        </xdr:spPr>
        <xdr:txBody>
          <a:bodyPr/>
          <a:lstStyle/>
          <a:p>
            <a:pPr/>
          </a:p>
        </xdr:txBody>
      </xdr:sp>
      <xdr:sp>
        <xdr:nvSpPr>
          <xdr:cNvPr id="1005" name="4"/>
          <xdr:cNvSpPr txBox="1"/>
        </xdr:nvSpPr>
        <xdr:spPr>
          <a:xfrm>
            <a:off x="116352" y="56902"/>
            <a:ext cx="220479" cy="319443"/>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203B7D"/>
                </a:solidFill>
                <a:uFillTx/>
                <a:latin typeface="Calibri"/>
                <a:ea typeface="Calibri"/>
                <a:cs typeface="Calibri"/>
                <a:sym typeface="Calibri"/>
              </a:defRPr>
            </a:pPr>
            <a:r>
              <a:rPr b="0" baseline="0" cap="none" i="0" spc="0" strike="noStrike" sz="2600" u="none">
                <a:solidFill>
                  <a:srgbClr val="203B7D"/>
                </a:solidFill>
                <a:uFillTx/>
                <a:latin typeface="Calibri"/>
                <a:ea typeface="Calibri"/>
                <a:cs typeface="Calibri"/>
                <a:sym typeface="Calibri"/>
              </a:rPr>
              <a:t>4</a:t>
            </a:r>
          </a:p>
        </xdr:txBody>
      </xdr:sp>
    </xdr:grpSp>
    <xdr:clientData/>
  </xdr:twoCellAnchor>
  <xdr:twoCellAnchor>
    <xdr:from>
      <xdr:col>5</xdr:col>
      <xdr:colOff>9180</xdr:colOff>
      <xdr:row>66</xdr:row>
      <xdr:rowOff>99061</xdr:rowOff>
    </xdr:from>
    <xdr:to>
      <xdr:col>5</xdr:col>
      <xdr:colOff>462365</xdr:colOff>
      <xdr:row>117</xdr:row>
      <xdr:rowOff>158933</xdr:rowOff>
    </xdr:to>
    <xdr:grpSp>
      <xdr:nvGrpSpPr>
        <xdr:cNvPr id="1009" name="Ellipse 193535"/>
        <xdr:cNvGrpSpPr/>
      </xdr:nvGrpSpPr>
      <xdr:grpSpPr>
        <a:xfrm>
          <a:off x="529880" y="51471196"/>
          <a:ext cx="453185" cy="433253"/>
          <a:chOff x="0" y="0"/>
          <a:chExt cx="453184" cy="433251"/>
        </a:xfrm>
      </xdr:grpSpPr>
      <xdr:sp>
        <xdr:nvSpPr>
          <xdr:cNvPr id="1007" name="Ovale"/>
          <xdr:cNvSpPr/>
        </xdr:nvSpPr>
        <xdr:spPr>
          <a:xfrm>
            <a:off x="-1" y="0"/>
            <a:ext cx="453186" cy="433252"/>
          </a:xfrm>
          <a:prstGeom prst="ellipse">
            <a:avLst/>
          </a:prstGeom>
          <a:noFill/>
          <a:ln w="28575" cap="flat">
            <a:solidFill>
              <a:srgbClr val="203B7D"/>
            </a:solidFill>
            <a:prstDash val="solid"/>
            <a:miter lim="800000"/>
          </a:ln>
          <a:effectLst/>
        </xdr:spPr>
        <xdr:txBody>
          <a:bodyPr/>
          <a:lstStyle/>
          <a:p>
            <a:pPr/>
          </a:p>
        </xdr:txBody>
      </xdr:sp>
      <xdr:sp>
        <xdr:nvSpPr>
          <xdr:cNvPr id="1008" name="5"/>
          <xdr:cNvSpPr txBox="1"/>
        </xdr:nvSpPr>
        <xdr:spPr>
          <a:xfrm>
            <a:off x="116352" y="56901"/>
            <a:ext cx="220479" cy="319449"/>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203B7D"/>
                </a:solidFill>
                <a:uFillTx/>
                <a:latin typeface="Calibri"/>
                <a:ea typeface="Calibri"/>
                <a:cs typeface="Calibri"/>
                <a:sym typeface="Calibri"/>
              </a:defRPr>
            </a:pPr>
            <a:r>
              <a:rPr b="0" baseline="0" cap="none" i="0" spc="0" strike="noStrike" sz="2600" u="none">
                <a:solidFill>
                  <a:srgbClr val="203B7D"/>
                </a:solidFill>
                <a:uFillTx/>
                <a:latin typeface="Calibri"/>
                <a:ea typeface="Calibri"/>
                <a:cs typeface="Calibri"/>
                <a:sym typeface="Calibri"/>
              </a:rPr>
              <a:t>5</a:t>
            </a:r>
          </a:p>
        </xdr:txBody>
      </xdr:sp>
    </xdr:grpSp>
    <xdr:clientData/>
  </xdr:twoCellAnchor>
  <xdr:twoCellAnchor>
    <xdr:from>
      <xdr:col>9</xdr:col>
      <xdr:colOff>10634</xdr:colOff>
      <xdr:row>63</xdr:row>
      <xdr:rowOff>1562102</xdr:rowOff>
    </xdr:from>
    <xdr:to>
      <xdr:col>9</xdr:col>
      <xdr:colOff>4574992</xdr:colOff>
      <xdr:row>125</xdr:row>
      <xdr:rowOff>67008</xdr:rowOff>
    </xdr:to>
    <xdr:sp>
      <xdr:nvSpPr>
        <xdr:cNvPr id="1010" name="ZoneTexte 1"/>
        <xdr:cNvSpPr/>
      </xdr:nvSpPr>
      <xdr:spPr>
        <a:xfrm>
          <a:off x="7630634" y="51288317"/>
          <a:ext cx="4564359" cy="1987247"/>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10952</xdr:colOff>
      <xdr:row>63</xdr:row>
      <xdr:rowOff>1562102</xdr:rowOff>
    </xdr:from>
    <xdr:to>
      <xdr:col>9</xdr:col>
      <xdr:colOff>4575309</xdr:colOff>
      <xdr:row>123</xdr:row>
      <xdr:rowOff>47520</xdr:rowOff>
    </xdr:to>
    <xdr:sp>
      <xdr:nvSpPr>
        <xdr:cNvPr id="1011" name="ZoneTexte 1"/>
        <xdr:cNvSpPr/>
      </xdr:nvSpPr>
      <xdr:spPr>
        <a:xfrm>
          <a:off x="7630952" y="51288317"/>
          <a:ext cx="4564358" cy="1601999"/>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46</xdr:row>
      <xdr:rowOff>1478715</xdr:rowOff>
    </xdr:from>
    <xdr:to>
      <xdr:col>9</xdr:col>
      <xdr:colOff>4542761</xdr:colOff>
      <xdr:row>47</xdr:row>
      <xdr:rowOff>1590677</xdr:rowOff>
    </xdr:to>
    <xdr:sp>
      <xdr:nvSpPr>
        <xdr:cNvPr id="1012" name="ZoneTexte 1"/>
        <xdr:cNvSpPr/>
      </xdr:nvSpPr>
      <xdr:spPr>
        <a:xfrm>
          <a:off x="7648574" y="33583680"/>
          <a:ext cx="4514188" cy="163596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10635</xdr:colOff>
      <xdr:row>47</xdr:row>
      <xdr:rowOff>1613535</xdr:rowOff>
    </xdr:from>
    <xdr:to>
      <xdr:col>9</xdr:col>
      <xdr:colOff>4572000</xdr:colOff>
      <xdr:row>48</xdr:row>
      <xdr:rowOff>2286003</xdr:rowOff>
    </xdr:to>
    <xdr:sp>
      <xdr:nvSpPr>
        <xdr:cNvPr id="1013" name="ZoneTexte 1"/>
        <xdr:cNvSpPr/>
      </xdr:nvSpPr>
      <xdr:spPr>
        <a:xfrm>
          <a:off x="7630635" y="35242499"/>
          <a:ext cx="4561365" cy="2324105"/>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48</xdr:row>
      <xdr:rowOff>2301676</xdr:rowOff>
    </xdr:from>
    <xdr:to>
      <xdr:col>9</xdr:col>
      <xdr:colOff>4542761</xdr:colOff>
      <xdr:row>49</xdr:row>
      <xdr:rowOff>1590678</xdr:rowOff>
    </xdr:to>
    <xdr:sp>
      <xdr:nvSpPr>
        <xdr:cNvPr id="1014" name="ZoneTexte 1"/>
        <xdr:cNvSpPr/>
      </xdr:nvSpPr>
      <xdr:spPr>
        <a:xfrm>
          <a:off x="7648574" y="37582276"/>
          <a:ext cx="4514188" cy="163596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10636</xdr:colOff>
      <xdr:row>66</xdr:row>
      <xdr:rowOff>99061</xdr:rowOff>
    </xdr:from>
    <xdr:to>
      <xdr:col>9</xdr:col>
      <xdr:colOff>4532585</xdr:colOff>
      <xdr:row>126</xdr:row>
      <xdr:rowOff>93281</xdr:rowOff>
    </xdr:to>
    <xdr:sp>
      <xdr:nvSpPr>
        <xdr:cNvPr id="1015" name="ZoneTexte 1"/>
        <xdr:cNvSpPr/>
      </xdr:nvSpPr>
      <xdr:spPr>
        <a:xfrm>
          <a:off x="7630636" y="51471196"/>
          <a:ext cx="4521950" cy="201352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10953</xdr:colOff>
      <xdr:row>66</xdr:row>
      <xdr:rowOff>99061</xdr:rowOff>
    </xdr:from>
    <xdr:to>
      <xdr:col>9</xdr:col>
      <xdr:colOff>4532903</xdr:colOff>
      <xdr:row>124</xdr:row>
      <xdr:rowOff>47519</xdr:rowOff>
    </xdr:to>
    <xdr:sp>
      <xdr:nvSpPr>
        <xdr:cNvPr id="1016" name="ZoneTexte 1"/>
        <xdr:cNvSpPr/>
      </xdr:nvSpPr>
      <xdr:spPr>
        <a:xfrm>
          <a:off x="7630953" y="51471196"/>
          <a:ext cx="4521950" cy="1601999"/>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66</xdr:row>
      <xdr:rowOff>99061</xdr:rowOff>
    </xdr:from>
    <xdr:to>
      <xdr:col>9</xdr:col>
      <xdr:colOff>4503756</xdr:colOff>
      <xdr:row>124</xdr:row>
      <xdr:rowOff>74296</xdr:rowOff>
    </xdr:to>
    <xdr:sp>
      <xdr:nvSpPr>
        <xdr:cNvPr id="1017" name="ZoneTexte 1"/>
        <xdr:cNvSpPr/>
      </xdr:nvSpPr>
      <xdr:spPr>
        <a:xfrm>
          <a:off x="7648574" y="51471196"/>
          <a:ext cx="4475183" cy="162877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66</xdr:row>
      <xdr:rowOff>99061</xdr:rowOff>
    </xdr:from>
    <xdr:to>
      <xdr:col>9</xdr:col>
      <xdr:colOff>4451453</xdr:colOff>
      <xdr:row>124</xdr:row>
      <xdr:rowOff>40003</xdr:rowOff>
    </xdr:to>
    <xdr:sp>
      <xdr:nvSpPr>
        <xdr:cNvPr id="1018" name="ZoneTexte 1"/>
        <xdr:cNvSpPr/>
      </xdr:nvSpPr>
      <xdr:spPr>
        <a:xfrm>
          <a:off x="7648574" y="51471196"/>
          <a:ext cx="4422880" cy="159448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66</xdr:row>
      <xdr:rowOff>99061</xdr:rowOff>
    </xdr:from>
    <xdr:to>
      <xdr:col>9</xdr:col>
      <xdr:colOff>4503756</xdr:colOff>
      <xdr:row>124</xdr:row>
      <xdr:rowOff>81477</xdr:rowOff>
    </xdr:to>
    <xdr:sp>
      <xdr:nvSpPr>
        <xdr:cNvPr id="1019" name="ZoneTexte 1"/>
        <xdr:cNvSpPr/>
      </xdr:nvSpPr>
      <xdr:spPr>
        <a:xfrm>
          <a:off x="7648574" y="51471196"/>
          <a:ext cx="4475183" cy="1635957"/>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10636</xdr:colOff>
      <xdr:row>66</xdr:row>
      <xdr:rowOff>99061</xdr:rowOff>
    </xdr:from>
    <xdr:to>
      <xdr:col>9</xdr:col>
      <xdr:colOff>4532585</xdr:colOff>
      <xdr:row>126</xdr:row>
      <xdr:rowOff>93281</xdr:rowOff>
    </xdr:to>
    <xdr:sp>
      <xdr:nvSpPr>
        <xdr:cNvPr id="1020" name="ZoneTexte 1"/>
        <xdr:cNvSpPr/>
      </xdr:nvSpPr>
      <xdr:spPr>
        <a:xfrm>
          <a:off x="7630636" y="51471196"/>
          <a:ext cx="4521950" cy="201352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10953</xdr:colOff>
      <xdr:row>66</xdr:row>
      <xdr:rowOff>99061</xdr:rowOff>
    </xdr:from>
    <xdr:to>
      <xdr:col>9</xdr:col>
      <xdr:colOff>4532903</xdr:colOff>
      <xdr:row>124</xdr:row>
      <xdr:rowOff>47519</xdr:rowOff>
    </xdr:to>
    <xdr:sp>
      <xdr:nvSpPr>
        <xdr:cNvPr id="1021" name="ZoneTexte 1"/>
        <xdr:cNvSpPr/>
      </xdr:nvSpPr>
      <xdr:spPr>
        <a:xfrm>
          <a:off x="7630953" y="51471196"/>
          <a:ext cx="4521950" cy="1601999"/>
        </a:xfrm>
        <a:prstGeom prst="rect">
          <a:avLst/>
        </a:prstGeom>
        <a:solidFill>
          <a:srgbClr val="FFFFFF"/>
        </a:solidFill>
        <a:ln w="12700" cap="flat">
          <a:noFill/>
          <a:miter lim="400000"/>
        </a:ln>
        <a:effectLst/>
      </xdr:spPr>
      <xdr:txBody>
        <a:bodyPr/>
        <a:lstStyle/>
        <a:p>
          <a:pPr/>
        </a:p>
      </xdr:txBody>
    </xdr:sp>
    <xdr:clientData/>
  </xdr:twoCellAnchor>
  <xdr:twoCellAnchor>
    <xdr:from>
      <xdr:col>5</xdr:col>
      <xdr:colOff>9180</xdr:colOff>
      <xdr:row>66</xdr:row>
      <xdr:rowOff>99061</xdr:rowOff>
    </xdr:from>
    <xdr:to>
      <xdr:col>5</xdr:col>
      <xdr:colOff>462365</xdr:colOff>
      <xdr:row>117</xdr:row>
      <xdr:rowOff>158933</xdr:rowOff>
    </xdr:to>
    <xdr:grpSp>
      <xdr:nvGrpSpPr>
        <xdr:cNvPr id="1024" name="Ellipse 193758"/>
        <xdr:cNvGrpSpPr/>
      </xdr:nvGrpSpPr>
      <xdr:grpSpPr>
        <a:xfrm>
          <a:off x="529880" y="51471196"/>
          <a:ext cx="453185" cy="433253"/>
          <a:chOff x="0" y="0"/>
          <a:chExt cx="453184" cy="433251"/>
        </a:xfrm>
      </xdr:grpSpPr>
      <xdr:sp>
        <xdr:nvSpPr>
          <xdr:cNvPr id="1022" name="Ovale"/>
          <xdr:cNvSpPr/>
        </xdr:nvSpPr>
        <xdr:spPr>
          <a:xfrm>
            <a:off x="-1" y="0"/>
            <a:ext cx="453186" cy="433252"/>
          </a:xfrm>
          <a:prstGeom prst="ellipse">
            <a:avLst/>
          </a:prstGeom>
          <a:noFill/>
          <a:ln w="28575" cap="flat">
            <a:solidFill>
              <a:srgbClr val="203B7D"/>
            </a:solidFill>
            <a:prstDash val="solid"/>
            <a:miter lim="800000"/>
          </a:ln>
          <a:effectLst/>
        </xdr:spPr>
        <xdr:txBody>
          <a:bodyPr/>
          <a:lstStyle/>
          <a:p>
            <a:pPr/>
          </a:p>
        </xdr:txBody>
      </xdr:sp>
      <xdr:sp>
        <xdr:nvSpPr>
          <xdr:cNvPr id="1023" name="6"/>
          <xdr:cNvSpPr txBox="1"/>
        </xdr:nvSpPr>
        <xdr:spPr>
          <a:xfrm>
            <a:off x="116352" y="56901"/>
            <a:ext cx="220479" cy="319449"/>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203B7D"/>
                </a:solidFill>
                <a:uFillTx/>
                <a:latin typeface="Calibri"/>
                <a:ea typeface="Calibri"/>
                <a:cs typeface="Calibri"/>
                <a:sym typeface="Calibri"/>
              </a:defRPr>
            </a:pPr>
            <a:r>
              <a:rPr b="0" baseline="0" cap="none" i="0" spc="0" strike="noStrike" sz="2600" u="none">
                <a:solidFill>
                  <a:srgbClr val="203B7D"/>
                </a:solidFill>
                <a:uFillTx/>
                <a:latin typeface="Calibri"/>
                <a:ea typeface="Calibri"/>
                <a:cs typeface="Calibri"/>
                <a:sym typeface="Calibri"/>
              </a:rPr>
              <a:t>6</a:t>
            </a:r>
          </a:p>
        </xdr:txBody>
      </xdr:sp>
    </xdr:grpSp>
    <xdr:clientData/>
  </xdr:twoCellAnchor>
  <xdr:twoCellAnchor>
    <xdr:from>
      <xdr:col>9</xdr:col>
      <xdr:colOff>10636</xdr:colOff>
      <xdr:row>66</xdr:row>
      <xdr:rowOff>99061</xdr:rowOff>
    </xdr:from>
    <xdr:to>
      <xdr:col>9</xdr:col>
      <xdr:colOff>4532585</xdr:colOff>
      <xdr:row>126</xdr:row>
      <xdr:rowOff>93281</xdr:rowOff>
    </xdr:to>
    <xdr:sp>
      <xdr:nvSpPr>
        <xdr:cNvPr id="1025" name="ZoneTexte 1"/>
        <xdr:cNvSpPr/>
      </xdr:nvSpPr>
      <xdr:spPr>
        <a:xfrm>
          <a:off x="7630636" y="51471196"/>
          <a:ext cx="4521950" cy="201352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10953</xdr:colOff>
      <xdr:row>66</xdr:row>
      <xdr:rowOff>99061</xdr:rowOff>
    </xdr:from>
    <xdr:to>
      <xdr:col>9</xdr:col>
      <xdr:colOff>4532903</xdr:colOff>
      <xdr:row>124</xdr:row>
      <xdr:rowOff>47519</xdr:rowOff>
    </xdr:to>
    <xdr:sp>
      <xdr:nvSpPr>
        <xdr:cNvPr id="1026" name="ZoneTexte 1"/>
        <xdr:cNvSpPr/>
      </xdr:nvSpPr>
      <xdr:spPr>
        <a:xfrm>
          <a:off x="7630953" y="51471196"/>
          <a:ext cx="4521950" cy="1601999"/>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66</xdr:row>
      <xdr:rowOff>99061</xdr:rowOff>
    </xdr:from>
    <xdr:to>
      <xdr:col>9</xdr:col>
      <xdr:colOff>4503756</xdr:colOff>
      <xdr:row>124</xdr:row>
      <xdr:rowOff>74296</xdr:rowOff>
    </xdr:to>
    <xdr:sp>
      <xdr:nvSpPr>
        <xdr:cNvPr id="1027" name="ZoneTexte 1"/>
        <xdr:cNvSpPr/>
      </xdr:nvSpPr>
      <xdr:spPr>
        <a:xfrm>
          <a:off x="7648574" y="51471196"/>
          <a:ext cx="4475183" cy="162877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66</xdr:row>
      <xdr:rowOff>99061</xdr:rowOff>
    </xdr:from>
    <xdr:to>
      <xdr:col>9</xdr:col>
      <xdr:colOff>4451453</xdr:colOff>
      <xdr:row>124</xdr:row>
      <xdr:rowOff>40003</xdr:rowOff>
    </xdr:to>
    <xdr:sp>
      <xdr:nvSpPr>
        <xdr:cNvPr id="1028" name="ZoneTexte 1"/>
        <xdr:cNvSpPr/>
      </xdr:nvSpPr>
      <xdr:spPr>
        <a:xfrm>
          <a:off x="7648574" y="51471196"/>
          <a:ext cx="4422880" cy="159448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66</xdr:row>
      <xdr:rowOff>99061</xdr:rowOff>
    </xdr:from>
    <xdr:to>
      <xdr:col>9</xdr:col>
      <xdr:colOff>4503756</xdr:colOff>
      <xdr:row>124</xdr:row>
      <xdr:rowOff>81477</xdr:rowOff>
    </xdr:to>
    <xdr:sp>
      <xdr:nvSpPr>
        <xdr:cNvPr id="1029" name="ZoneTexte 1"/>
        <xdr:cNvSpPr/>
      </xdr:nvSpPr>
      <xdr:spPr>
        <a:xfrm>
          <a:off x="7648574" y="51471196"/>
          <a:ext cx="4475183" cy="1635957"/>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10636</xdr:colOff>
      <xdr:row>66</xdr:row>
      <xdr:rowOff>99061</xdr:rowOff>
    </xdr:from>
    <xdr:to>
      <xdr:col>9</xdr:col>
      <xdr:colOff>4532585</xdr:colOff>
      <xdr:row>126</xdr:row>
      <xdr:rowOff>93281</xdr:rowOff>
    </xdr:to>
    <xdr:sp>
      <xdr:nvSpPr>
        <xdr:cNvPr id="1030" name="ZoneTexte 1"/>
        <xdr:cNvSpPr/>
      </xdr:nvSpPr>
      <xdr:spPr>
        <a:xfrm>
          <a:off x="7630636" y="51471196"/>
          <a:ext cx="4521950" cy="201352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10953</xdr:colOff>
      <xdr:row>66</xdr:row>
      <xdr:rowOff>99061</xdr:rowOff>
    </xdr:from>
    <xdr:to>
      <xdr:col>9</xdr:col>
      <xdr:colOff>4532903</xdr:colOff>
      <xdr:row>124</xdr:row>
      <xdr:rowOff>47519</xdr:rowOff>
    </xdr:to>
    <xdr:sp>
      <xdr:nvSpPr>
        <xdr:cNvPr id="1031" name="ZoneTexte 1"/>
        <xdr:cNvSpPr/>
      </xdr:nvSpPr>
      <xdr:spPr>
        <a:xfrm>
          <a:off x="7630953" y="51471196"/>
          <a:ext cx="4521950" cy="1601999"/>
        </a:xfrm>
        <a:prstGeom prst="rect">
          <a:avLst/>
        </a:prstGeom>
        <a:solidFill>
          <a:srgbClr val="FFFFFF"/>
        </a:solidFill>
        <a:ln w="12700" cap="flat">
          <a:noFill/>
          <a:miter lim="400000"/>
        </a:ln>
        <a:effectLst/>
      </xdr:spPr>
      <xdr:txBody>
        <a:bodyPr/>
        <a:lstStyle/>
        <a:p>
          <a:pPr/>
        </a:p>
      </xdr:txBody>
    </xdr:sp>
    <xdr:clientData/>
  </xdr:twoCellAnchor>
  <xdr:twoCellAnchor>
    <xdr:from>
      <xdr:col>5</xdr:col>
      <xdr:colOff>9180</xdr:colOff>
      <xdr:row>66</xdr:row>
      <xdr:rowOff>99061</xdr:rowOff>
    </xdr:from>
    <xdr:to>
      <xdr:col>5</xdr:col>
      <xdr:colOff>462365</xdr:colOff>
      <xdr:row>117</xdr:row>
      <xdr:rowOff>158933</xdr:rowOff>
    </xdr:to>
    <xdr:grpSp>
      <xdr:nvGrpSpPr>
        <xdr:cNvPr id="1034" name="Ellipse 193808"/>
        <xdr:cNvGrpSpPr/>
      </xdr:nvGrpSpPr>
      <xdr:grpSpPr>
        <a:xfrm>
          <a:off x="529880" y="51471196"/>
          <a:ext cx="453185" cy="433253"/>
          <a:chOff x="0" y="0"/>
          <a:chExt cx="453184" cy="433251"/>
        </a:xfrm>
      </xdr:grpSpPr>
      <xdr:sp>
        <xdr:nvSpPr>
          <xdr:cNvPr id="1032" name="Ovale"/>
          <xdr:cNvSpPr/>
        </xdr:nvSpPr>
        <xdr:spPr>
          <a:xfrm>
            <a:off x="-1" y="0"/>
            <a:ext cx="453186" cy="433252"/>
          </a:xfrm>
          <a:prstGeom prst="ellipse">
            <a:avLst/>
          </a:prstGeom>
          <a:noFill/>
          <a:ln w="28575" cap="flat">
            <a:solidFill>
              <a:srgbClr val="203B7D"/>
            </a:solidFill>
            <a:prstDash val="solid"/>
            <a:miter lim="800000"/>
          </a:ln>
          <a:effectLst/>
        </xdr:spPr>
        <xdr:txBody>
          <a:bodyPr/>
          <a:lstStyle/>
          <a:p>
            <a:pPr/>
          </a:p>
        </xdr:txBody>
      </xdr:sp>
      <xdr:sp>
        <xdr:nvSpPr>
          <xdr:cNvPr id="1033" name="7"/>
          <xdr:cNvSpPr txBox="1"/>
        </xdr:nvSpPr>
        <xdr:spPr>
          <a:xfrm>
            <a:off x="116352" y="56901"/>
            <a:ext cx="220479" cy="319449"/>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203B7D"/>
                </a:solidFill>
                <a:uFillTx/>
                <a:latin typeface="Calibri"/>
                <a:ea typeface="Calibri"/>
                <a:cs typeface="Calibri"/>
                <a:sym typeface="Calibri"/>
              </a:defRPr>
            </a:pPr>
            <a:r>
              <a:rPr b="0" baseline="0" cap="none" i="0" spc="0" strike="noStrike" sz="2600" u="none">
                <a:solidFill>
                  <a:srgbClr val="203B7D"/>
                </a:solidFill>
                <a:uFillTx/>
                <a:latin typeface="Calibri"/>
                <a:ea typeface="Calibri"/>
                <a:cs typeface="Calibri"/>
                <a:sym typeface="Calibri"/>
              </a:rPr>
              <a:t>7</a:t>
            </a:r>
          </a:p>
        </xdr:txBody>
      </xdr:sp>
    </xdr:grpSp>
    <xdr:clientData/>
  </xdr:twoCellAnchor>
  <xdr:twoCellAnchor>
    <xdr:from>
      <xdr:col>9</xdr:col>
      <xdr:colOff>10636</xdr:colOff>
      <xdr:row>66</xdr:row>
      <xdr:rowOff>99061</xdr:rowOff>
    </xdr:from>
    <xdr:to>
      <xdr:col>9</xdr:col>
      <xdr:colOff>4532585</xdr:colOff>
      <xdr:row>126</xdr:row>
      <xdr:rowOff>93281</xdr:rowOff>
    </xdr:to>
    <xdr:sp>
      <xdr:nvSpPr>
        <xdr:cNvPr id="1035" name="ZoneTexte 1"/>
        <xdr:cNvSpPr/>
      </xdr:nvSpPr>
      <xdr:spPr>
        <a:xfrm>
          <a:off x="7630636" y="51471196"/>
          <a:ext cx="4521950" cy="201352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10953</xdr:colOff>
      <xdr:row>66</xdr:row>
      <xdr:rowOff>99061</xdr:rowOff>
    </xdr:from>
    <xdr:to>
      <xdr:col>9</xdr:col>
      <xdr:colOff>4532903</xdr:colOff>
      <xdr:row>124</xdr:row>
      <xdr:rowOff>47519</xdr:rowOff>
    </xdr:to>
    <xdr:sp>
      <xdr:nvSpPr>
        <xdr:cNvPr id="1036" name="ZoneTexte 1"/>
        <xdr:cNvSpPr/>
      </xdr:nvSpPr>
      <xdr:spPr>
        <a:xfrm>
          <a:off x="7630953" y="51471196"/>
          <a:ext cx="4521950" cy="1601999"/>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10635</xdr:colOff>
      <xdr:row>49</xdr:row>
      <xdr:rowOff>1613536</xdr:rowOff>
    </xdr:from>
    <xdr:to>
      <xdr:col>9</xdr:col>
      <xdr:colOff>4572000</xdr:colOff>
      <xdr:row>50</xdr:row>
      <xdr:rowOff>1463043</xdr:rowOff>
    </xdr:to>
    <xdr:sp>
      <xdr:nvSpPr>
        <xdr:cNvPr id="1037" name="ZoneTexte 1"/>
        <xdr:cNvSpPr/>
      </xdr:nvSpPr>
      <xdr:spPr>
        <a:xfrm>
          <a:off x="7630635" y="39241096"/>
          <a:ext cx="4561365" cy="1501143"/>
        </a:xfrm>
        <a:prstGeom prst="rect">
          <a:avLst/>
        </a:prstGeom>
        <a:solidFill>
          <a:srgbClr val="FFFFFF"/>
        </a:solidFill>
        <a:ln w="12700" cap="flat">
          <a:noFill/>
          <a:miter lim="400000"/>
        </a:ln>
        <a:effectLst/>
      </xdr:spPr>
      <xdr:txBody>
        <a:bodyPr/>
        <a:lstStyle/>
        <a:p>
          <a:pPr/>
        </a:p>
      </xdr:txBody>
    </xdr:sp>
    <xdr:clientData/>
  </xdr:twoCellAnchor>
</xdr:wsDr>
</file>

<file path=xl/drawings/drawing3.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9</xdr:col>
      <xdr:colOff>750125</xdr:colOff>
      <xdr:row>3</xdr:row>
      <xdr:rowOff>55385</xdr:rowOff>
    </xdr:from>
    <xdr:to>
      <xdr:col>14</xdr:col>
      <xdr:colOff>1330462</xdr:colOff>
      <xdr:row>17</xdr:row>
      <xdr:rowOff>106261</xdr:rowOff>
    </xdr:to>
    <xdr:graphicFrame>
      <xdr:nvGraphicFramePr>
        <xdr:cNvPr id="52" name="Graphique 1"/>
        <xdr:cNvGraphicFramePr/>
      </xdr:nvGraphicFramePr>
      <xdr:xfrm>
        <a:off x="10440225" y="954545"/>
        <a:ext cx="5952438" cy="6268797"/>
      </xdr:xfrm>
      <a:graphic xmlns:a="http://schemas.openxmlformats.org/drawingml/2006/main">
        <a:graphicData uri="http://schemas.openxmlformats.org/drawingml/2006/chart">
          <c:chart xmlns:c="http://schemas.openxmlformats.org/drawingml/2006/chart" r:id="rId1"/>
        </a:graphicData>
      </a:graphic>
    </xdr:graphicFrame>
    <xdr:clientData/>
  </xdr:twoCellAnchor>
</xdr:wsDr>
</file>

<file path=xl/drawings/drawing30.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6</xdr:col>
      <xdr:colOff>1002631</xdr:colOff>
      <xdr:row>21</xdr:row>
      <xdr:rowOff>147050</xdr:rowOff>
    </xdr:from>
    <xdr:to>
      <xdr:col>6</xdr:col>
      <xdr:colOff>4066506</xdr:colOff>
      <xdr:row>22</xdr:row>
      <xdr:rowOff>177887</xdr:rowOff>
    </xdr:to>
    <xdr:grpSp>
      <xdr:nvGrpSpPr>
        <xdr:cNvPr id="1041" name="Rectangle : coins arrondis 1"/>
        <xdr:cNvGrpSpPr/>
      </xdr:nvGrpSpPr>
      <xdr:grpSpPr>
        <a:xfrm>
          <a:off x="3847431" y="8140430"/>
          <a:ext cx="3063876" cy="670918"/>
          <a:chOff x="0" y="0"/>
          <a:chExt cx="3063875" cy="670917"/>
        </a:xfrm>
      </xdr:grpSpPr>
      <xdr:sp>
        <xdr:nvSpPr>
          <xdr:cNvPr id="1039" name="Rectangle aux angles arrondis"/>
          <xdr:cNvSpPr/>
        </xdr:nvSpPr>
        <xdr:spPr>
          <a:xfrm>
            <a:off x="0" y="0"/>
            <a:ext cx="3063875" cy="670918"/>
          </a:xfrm>
          <a:prstGeom prst="roundRect">
            <a:avLst>
              <a:gd name="adj" fmla="val 16667"/>
            </a:avLst>
          </a:prstGeom>
          <a:solidFill>
            <a:srgbClr val="DEEBF7"/>
          </a:solidFill>
          <a:ln w="28575" cap="flat">
            <a:solidFill>
              <a:srgbClr val="C00000"/>
            </a:solidFill>
            <a:prstDash val="solid"/>
            <a:miter lim="800000"/>
          </a:ln>
          <a:effectLst>
            <a:outerShdw sx="100000" sy="100000" kx="0" ky="0" algn="b" rotWithShape="0" blurRad="63500" dist="0" dir="0">
              <a:srgbClr val="000000">
                <a:alpha val="40000"/>
              </a:srgbClr>
            </a:outerShdw>
          </a:effectLst>
        </xdr:spPr>
        <xdr:txBody>
          <a:bodyPr/>
          <a:lstStyle/>
          <a:p>
            <a:pPr/>
          </a:p>
        </xdr:txBody>
      </xdr:sp>
      <xdr:sp>
        <xdr:nvSpPr>
          <xdr:cNvPr id="1040" name="Calculer la maturité"/>
          <xdr:cNvSpPr txBox="1"/>
        </xdr:nvSpPr>
        <xdr:spPr>
          <a:xfrm>
            <a:off x="73708" y="3775"/>
            <a:ext cx="2916459" cy="663367"/>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1" baseline="0" cap="none" i="0" spc="0" strike="noStrike" sz="1800" u="none">
                <a:solidFill>
                  <a:srgbClr val="C00000"/>
                </a:solidFill>
                <a:uFillTx/>
                <a:latin typeface="Aptos Light"/>
                <a:ea typeface="Aptos Light"/>
                <a:cs typeface="Aptos Light"/>
                <a:sym typeface="Aptos Light"/>
              </a:defRPr>
            </a:pPr>
            <a:r>
              <a:rPr b="1" baseline="0" cap="none" i="0" spc="0" strike="noStrike" sz="1800" u="none">
                <a:solidFill>
                  <a:srgbClr val="C00000"/>
                </a:solidFill>
                <a:uFillTx/>
                <a:latin typeface="Aptos Light"/>
                <a:ea typeface="Aptos Light"/>
                <a:cs typeface="Aptos Light"/>
                <a:sym typeface="Aptos Light"/>
              </a:rPr>
              <a:t>Calculer la maturité</a:t>
            </a:r>
          </a:p>
        </xdr:txBody>
      </xdr:sp>
    </xdr:grpSp>
    <xdr:clientData/>
  </xdr:twoCellAnchor>
</xdr:wsDr>
</file>

<file path=xl/drawings/drawing31.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9</xdr:col>
      <xdr:colOff>28574</xdr:colOff>
      <xdr:row>11</xdr:row>
      <xdr:rowOff>22859</xdr:rowOff>
    </xdr:from>
    <xdr:to>
      <xdr:col>9</xdr:col>
      <xdr:colOff>4500553</xdr:colOff>
      <xdr:row>11</xdr:row>
      <xdr:rowOff>1651634</xdr:rowOff>
    </xdr:to>
    <xdr:sp>
      <xdr:nvSpPr>
        <xdr:cNvPr id="1043" name="ZoneTexte 1"/>
        <xdr:cNvSpPr/>
      </xdr:nvSpPr>
      <xdr:spPr>
        <a:xfrm>
          <a:off x="7648574" y="3398519"/>
          <a:ext cx="4471980" cy="162877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12</xdr:row>
      <xdr:rowOff>57149</xdr:rowOff>
    </xdr:from>
    <xdr:to>
      <xdr:col>9</xdr:col>
      <xdr:colOff>4529666</xdr:colOff>
      <xdr:row>12</xdr:row>
      <xdr:rowOff>1651633</xdr:rowOff>
    </xdr:to>
    <xdr:sp>
      <xdr:nvSpPr>
        <xdr:cNvPr id="1044" name="ZoneTexte 1"/>
        <xdr:cNvSpPr/>
      </xdr:nvSpPr>
      <xdr:spPr>
        <a:xfrm>
          <a:off x="7648574" y="5084444"/>
          <a:ext cx="4501093" cy="1594485"/>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13</xdr:row>
      <xdr:rowOff>15674</xdr:rowOff>
    </xdr:from>
    <xdr:to>
      <xdr:col>9</xdr:col>
      <xdr:colOff>4500553</xdr:colOff>
      <xdr:row>13</xdr:row>
      <xdr:rowOff>1651633</xdr:rowOff>
    </xdr:to>
    <xdr:sp>
      <xdr:nvSpPr>
        <xdr:cNvPr id="1045" name="ZoneTexte 1"/>
        <xdr:cNvSpPr/>
      </xdr:nvSpPr>
      <xdr:spPr>
        <a:xfrm>
          <a:off x="7648574" y="6694604"/>
          <a:ext cx="4471980" cy="1635960"/>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10635</xdr:colOff>
      <xdr:row>14</xdr:row>
      <xdr:rowOff>22858</xdr:rowOff>
    </xdr:from>
    <xdr:to>
      <xdr:col>9</xdr:col>
      <xdr:colOff>4529350</xdr:colOff>
      <xdr:row>15</xdr:row>
      <xdr:rowOff>422696</xdr:rowOff>
    </xdr:to>
    <xdr:sp>
      <xdr:nvSpPr>
        <xdr:cNvPr id="1046" name="ZoneTexte 1"/>
        <xdr:cNvSpPr/>
      </xdr:nvSpPr>
      <xdr:spPr>
        <a:xfrm>
          <a:off x="7630635" y="8353423"/>
          <a:ext cx="4518715" cy="2051474"/>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10952</xdr:colOff>
      <xdr:row>15</xdr:row>
      <xdr:rowOff>19738</xdr:rowOff>
    </xdr:from>
    <xdr:to>
      <xdr:col>9</xdr:col>
      <xdr:colOff>4529667</xdr:colOff>
      <xdr:row>15</xdr:row>
      <xdr:rowOff>1621737</xdr:rowOff>
    </xdr:to>
    <xdr:sp>
      <xdr:nvSpPr>
        <xdr:cNvPr id="1047" name="ZoneTexte 1"/>
        <xdr:cNvSpPr/>
      </xdr:nvSpPr>
      <xdr:spPr>
        <a:xfrm>
          <a:off x="7630952" y="10001938"/>
          <a:ext cx="4518715" cy="1602000"/>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10952</xdr:colOff>
      <xdr:row>16</xdr:row>
      <xdr:rowOff>38467</xdr:rowOff>
    </xdr:from>
    <xdr:to>
      <xdr:col>9</xdr:col>
      <xdr:colOff>4529667</xdr:colOff>
      <xdr:row>16</xdr:row>
      <xdr:rowOff>1640467</xdr:rowOff>
    </xdr:to>
    <xdr:sp>
      <xdr:nvSpPr>
        <xdr:cNvPr id="1048" name="ZoneTexte 1"/>
        <xdr:cNvSpPr/>
      </xdr:nvSpPr>
      <xdr:spPr>
        <a:xfrm>
          <a:off x="7630952" y="11672302"/>
          <a:ext cx="4518715" cy="160200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15715</xdr:colOff>
      <xdr:row>17</xdr:row>
      <xdr:rowOff>12059</xdr:rowOff>
    </xdr:from>
    <xdr:to>
      <xdr:col>9</xdr:col>
      <xdr:colOff>4534430</xdr:colOff>
      <xdr:row>17</xdr:row>
      <xdr:rowOff>1614058</xdr:rowOff>
    </xdr:to>
    <xdr:sp>
      <xdr:nvSpPr>
        <xdr:cNvPr id="1049" name="ZoneTexte 1"/>
        <xdr:cNvSpPr/>
      </xdr:nvSpPr>
      <xdr:spPr>
        <a:xfrm>
          <a:off x="7635715" y="13297529"/>
          <a:ext cx="4518716" cy="1602000"/>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26</xdr:row>
      <xdr:rowOff>182882</xdr:rowOff>
    </xdr:from>
    <xdr:to>
      <xdr:col>9</xdr:col>
      <xdr:colOff>4519448</xdr:colOff>
      <xdr:row>27</xdr:row>
      <xdr:rowOff>1621157</xdr:rowOff>
    </xdr:to>
    <xdr:sp>
      <xdr:nvSpPr>
        <xdr:cNvPr id="1050" name="ZoneTexte 1"/>
        <xdr:cNvSpPr/>
      </xdr:nvSpPr>
      <xdr:spPr>
        <a:xfrm>
          <a:off x="7648574" y="17177387"/>
          <a:ext cx="4490875" cy="162877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28</xdr:row>
      <xdr:rowOff>26672</xdr:rowOff>
    </xdr:from>
    <xdr:to>
      <xdr:col>9</xdr:col>
      <xdr:colOff>4466961</xdr:colOff>
      <xdr:row>28</xdr:row>
      <xdr:rowOff>1621157</xdr:rowOff>
    </xdr:to>
    <xdr:sp>
      <xdr:nvSpPr>
        <xdr:cNvPr id="1051" name="ZoneTexte 1"/>
        <xdr:cNvSpPr/>
      </xdr:nvSpPr>
      <xdr:spPr>
        <a:xfrm>
          <a:off x="7648574" y="18863312"/>
          <a:ext cx="4438388" cy="159448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28</xdr:row>
      <xdr:rowOff>1636832</xdr:rowOff>
    </xdr:from>
    <xdr:to>
      <xdr:col>9</xdr:col>
      <xdr:colOff>4519448</xdr:colOff>
      <xdr:row>29</xdr:row>
      <xdr:rowOff>1621157</xdr:rowOff>
    </xdr:to>
    <xdr:sp>
      <xdr:nvSpPr>
        <xdr:cNvPr id="1052" name="ZoneTexte 1"/>
        <xdr:cNvSpPr/>
      </xdr:nvSpPr>
      <xdr:spPr>
        <a:xfrm>
          <a:off x="7648574" y="20473472"/>
          <a:ext cx="4490875" cy="163596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10635</xdr:colOff>
      <xdr:row>29</xdr:row>
      <xdr:rowOff>1644019</xdr:rowOff>
    </xdr:from>
    <xdr:to>
      <xdr:col>9</xdr:col>
      <xdr:colOff>4548441</xdr:colOff>
      <xdr:row>30</xdr:row>
      <xdr:rowOff>1623746</xdr:rowOff>
    </xdr:to>
    <xdr:sp>
      <xdr:nvSpPr>
        <xdr:cNvPr id="1053" name="ZoneTexte 1"/>
        <xdr:cNvSpPr/>
      </xdr:nvSpPr>
      <xdr:spPr>
        <a:xfrm>
          <a:off x="7630635" y="22132294"/>
          <a:ext cx="4537807" cy="1631362"/>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10952</xdr:colOff>
      <xdr:row>30</xdr:row>
      <xdr:rowOff>1640897</xdr:rowOff>
    </xdr:from>
    <xdr:to>
      <xdr:col>9</xdr:col>
      <xdr:colOff>4548759</xdr:colOff>
      <xdr:row>31</xdr:row>
      <xdr:rowOff>1591261</xdr:rowOff>
    </xdr:to>
    <xdr:sp>
      <xdr:nvSpPr>
        <xdr:cNvPr id="1054" name="ZoneTexte 1"/>
        <xdr:cNvSpPr/>
      </xdr:nvSpPr>
      <xdr:spPr>
        <a:xfrm>
          <a:off x="7630952" y="23780807"/>
          <a:ext cx="4537807" cy="1602000"/>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10952</xdr:colOff>
      <xdr:row>32</xdr:row>
      <xdr:rowOff>7992</xdr:rowOff>
    </xdr:from>
    <xdr:to>
      <xdr:col>9</xdr:col>
      <xdr:colOff>4548759</xdr:colOff>
      <xdr:row>32</xdr:row>
      <xdr:rowOff>1609993</xdr:rowOff>
    </xdr:to>
    <xdr:sp>
      <xdr:nvSpPr>
        <xdr:cNvPr id="1055" name="ZoneTexte 1"/>
        <xdr:cNvSpPr/>
      </xdr:nvSpPr>
      <xdr:spPr>
        <a:xfrm>
          <a:off x="7630952" y="25451172"/>
          <a:ext cx="4537807" cy="160200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15716</xdr:colOff>
      <xdr:row>32</xdr:row>
      <xdr:rowOff>1633219</xdr:rowOff>
    </xdr:from>
    <xdr:to>
      <xdr:col>9</xdr:col>
      <xdr:colOff>4553522</xdr:colOff>
      <xdr:row>33</xdr:row>
      <xdr:rowOff>1583583</xdr:rowOff>
    </xdr:to>
    <xdr:sp>
      <xdr:nvSpPr>
        <xdr:cNvPr id="1056" name="ZoneTexte 1"/>
        <xdr:cNvSpPr/>
      </xdr:nvSpPr>
      <xdr:spPr>
        <a:xfrm>
          <a:off x="7635716" y="27076399"/>
          <a:ext cx="4537807" cy="1602000"/>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42</xdr:row>
      <xdr:rowOff>152400</xdr:rowOff>
    </xdr:from>
    <xdr:to>
      <xdr:col>9</xdr:col>
      <xdr:colOff>2636519</xdr:colOff>
      <xdr:row>43</xdr:row>
      <xdr:rowOff>1590675</xdr:rowOff>
    </xdr:to>
    <xdr:sp>
      <xdr:nvSpPr>
        <xdr:cNvPr id="1057" name="ZoneTexte 1"/>
        <xdr:cNvSpPr/>
      </xdr:nvSpPr>
      <xdr:spPr>
        <a:xfrm>
          <a:off x="7648574" y="30956250"/>
          <a:ext cx="2607946" cy="1628775"/>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42</xdr:row>
      <xdr:rowOff>152400</xdr:rowOff>
    </xdr:from>
    <xdr:to>
      <xdr:col>9</xdr:col>
      <xdr:colOff>4542761</xdr:colOff>
      <xdr:row>43</xdr:row>
      <xdr:rowOff>1590675</xdr:rowOff>
    </xdr:to>
    <xdr:sp>
      <xdr:nvSpPr>
        <xdr:cNvPr id="1058" name="ZoneTexte 1"/>
        <xdr:cNvSpPr/>
      </xdr:nvSpPr>
      <xdr:spPr>
        <a:xfrm>
          <a:off x="7648574" y="30956250"/>
          <a:ext cx="4514188" cy="1628775"/>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43</xdr:row>
      <xdr:rowOff>1647825</xdr:rowOff>
    </xdr:from>
    <xdr:to>
      <xdr:col>9</xdr:col>
      <xdr:colOff>4490003</xdr:colOff>
      <xdr:row>44</xdr:row>
      <xdr:rowOff>1844040</xdr:rowOff>
    </xdr:to>
    <xdr:sp>
      <xdr:nvSpPr>
        <xdr:cNvPr id="1059" name="ZoneTexte 1"/>
        <xdr:cNvSpPr/>
      </xdr:nvSpPr>
      <xdr:spPr>
        <a:xfrm>
          <a:off x="7648574" y="32642175"/>
          <a:ext cx="4461430" cy="1847850"/>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44</xdr:row>
      <xdr:rowOff>1859713</xdr:rowOff>
    </xdr:from>
    <xdr:to>
      <xdr:col>9</xdr:col>
      <xdr:colOff>4542761</xdr:colOff>
      <xdr:row>45</xdr:row>
      <xdr:rowOff>1590675</xdr:rowOff>
    </xdr:to>
    <xdr:sp>
      <xdr:nvSpPr>
        <xdr:cNvPr id="1060" name="ZoneTexte 1"/>
        <xdr:cNvSpPr/>
      </xdr:nvSpPr>
      <xdr:spPr>
        <a:xfrm>
          <a:off x="7648574" y="34505698"/>
          <a:ext cx="4514188" cy="163596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10635</xdr:colOff>
      <xdr:row>45</xdr:row>
      <xdr:rowOff>1613533</xdr:rowOff>
    </xdr:from>
    <xdr:to>
      <xdr:col>9</xdr:col>
      <xdr:colOff>4572000</xdr:colOff>
      <xdr:row>46</xdr:row>
      <xdr:rowOff>1463040</xdr:rowOff>
    </xdr:to>
    <xdr:sp>
      <xdr:nvSpPr>
        <xdr:cNvPr id="1061" name="ZoneTexte 1"/>
        <xdr:cNvSpPr/>
      </xdr:nvSpPr>
      <xdr:spPr>
        <a:xfrm>
          <a:off x="7630635" y="36164518"/>
          <a:ext cx="4561365" cy="150114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58</xdr:row>
      <xdr:rowOff>121917</xdr:rowOff>
    </xdr:from>
    <xdr:to>
      <xdr:col>9</xdr:col>
      <xdr:colOff>4545724</xdr:colOff>
      <xdr:row>59</xdr:row>
      <xdr:rowOff>1560192</xdr:rowOff>
    </xdr:to>
    <xdr:sp>
      <xdr:nvSpPr>
        <xdr:cNvPr id="1062" name="ZoneTexte 1"/>
        <xdr:cNvSpPr/>
      </xdr:nvSpPr>
      <xdr:spPr>
        <a:xfrm>
          <a:off x="7648574" y="44733207"/>
          <a:ext cx="4517151" cy="162877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59</xdr:row>
      <xdr:rowOff>1617342</xdr:rowOff>
    </xdr:from>
    <xdr:to>
      <xdr:col>9</xdr:col>
      <xdr:colOff>4492930</xdr:colOff>
      <xdr:row>60</xdr:row>
      <xdr:rowOff>1560192</xdr:rowOff>
    </xdr:to>
    <xdr:sp>
      <xdr:nvSpPr>
        <xdr:cNvPr id="1063" name="ZoneTexte 1"/>
        <xdr:cNvSpPr/>
      </xdr:nvSpPr>
      <xdr:spPr>
        <a:xfrm>
          <a:off x="7648574" y="46419132"/>
          <a:ext cx="4464357" cy="159448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60</xdr:row>
      <xdr:rowOff>1575866</xdr:rowOff>
    </xdr:from>
    <xdr:to>
      <xdr:col>9</xdr:col>
      <xdr:colOff>4545724</xdr:colOff>
      <xdr:row>61</xdr:row>
      <xdr:rowOff>1560193</xdr:rowOff>
    </xdr:to>
    <xdr:sp>
      <xdr:nvSpPr>
        <xdr:cNvPr id="1064" name="ZoneTexte 1"/>
        <xdr:cNvSpPr/>
      </xdr:nvSpPr>
      <xdr:spPr>
        <a:xfrm>
          <a:off x="7648574" y="48029291"/>
          <a:ext cx="4517151" cy="163596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10634</xdr:colOff>
      <xdr:row>61</xdr:row>
      <xdr:rowOff>1583051</xdr:rowOff>
    </xdr:from>
    <xdr:to>
      <xdr:col>9</xdr:col>
      <xdr:colOff>4574992</xdr:colOff>
      <xdr:row>63</xdr:row>
      <xdr:rowOff>267024</xdr:rowOff>
    </xdr:to>
    <xdr:sp>
      <xdr:nvSpPr>
        <xdr:cNvPr id="1065" name="ZoneTexte 1"/>
        <xdr:cNvSpPr/>
      </xdr:nvSpPr>
      <xdr:spPr>
        <a:xfrm>
          <a:off x="7630634" y="49688111"/>
          <a:ext cx="4564359" cy="1987244"/>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10952</xdr:colOff>
      <xdr:row>62</xdr:row>
      <xdr:rowOff>1579932</xdr:rowOff>
    </xdr:from>
    <xdr:to>
      <xdr:col>9</xdr:col>
      <xdr:colOff>4575309</xdr:colOff>
      <xdr:row>63</xdr:row>
      <xdr:rowOff>1530298</xdr:rowOff>
    </xdr:to>
    <xdr:sp>
      <xdr:nvSpPr>
        <xdr:cNvPr id="1066" name="ZoneTexte 1"/>
        <xdr:cNvSpPr/>
      </xdr:nvSpPr>
      <xdr:spPr>
        <a:xfrm>
          <a:off x="7630952" y="51336627"/>
          <a:ext cx="4564358" cy="1602002"/>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10952</xdr:colOff>
      <xdr:row>63</xdr:row>
      <xdr:rowOff>1598660</xdr:rowOff>
    </xdr:from>
    <xdr:to>
      <xdr:col>9</xdr:col>
      <xdr:colOff>4571998</xdr:colOff>
      <xdr:row>64</xdr:row>
      <xdr:rowOff>1549029</xdr:rowOff>
    </xdr:to>
    <xdr:sp>
      <xdr:nvSpPr>
        <xdr:cNvPr id="1067" name="ZoneTexte 1"/>
        <xdr:cNvSpPr/>
      </xdr:nvSpPr>
      <xdr:spPr>
        <a:xfrm>
          <a:off x="7630952" y="53006990"/>
          <a:ext cx="4561047" cy="1602005"/>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76</xdr:row>
      <xdr:rowOff>91423</xdr:rowOff>
    </xdr:from>
    <xdr:to>
      <xdr:col>9</xdr:col>
      <xdr:colOff>4503756</xdr:colOff>
      <xdr:row>77</xdr:row>
      <xdr:rowOff>1529698</xdr:rowOff>
    </xdr:to>
    <xdr:sp>
      <xdr:nvSpPr>
        <xdr:cNvPr id="1068" name="ZoneTexte 1"/>
        <xdr:cNvSpPr/>
      </xdr:nvSpPr>
      <xdr:spPr>
        <a:xfrm>
          <a:off x="7648574" y="58832098"/>
          <a:ext cx="4475183" cy="162877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77</xdr:row>
      <xdr:rowOff>1586848</xdr:rowOff>
    </xdr:from>
    <xdr:to>
      <xdr:col>9</xdr:col>
      <xdr:colOff>4451453</xdr:colOff>
      <xdr:row>78</xdr:row>
      <xdr:rowOff>1529695</xdr:rowOff>
    </xdr:to>
    <xdr:sp>
      <xdr:nvSpPr>
        <xdr:cNvPr id="1069" name="ZoneTexte 1"/>
        <xdr:cNvSpPr/>
      </xdr:nvSpPr>
      <xdr:spPr>
        <a:xfrm>
          <a:off x="7648574" y="60518023"/>
          <a:ext cx="4422880" cy="159448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78</xdr:row>
      <xdr:rowOff>1545373</xdr:rowOff>
    </xdr:from>
    <xdr:to>
      <xdr:col>9</xdr:col>
      <xdr:colOff>4503756</xdr:colOff>
      <xdr:row>79</xdr:row>
      <xdr:rowOff>1529693</xdr:rowOff>
    </xdr:to>
    <xdr:sp>
      <xdr:nvSpPr>
        <xdr:cNvPr id="1070" name="ZoneTexte 1"/>
        <xdr:cNvSpPr/>
      </xdr:nvSpPr>
      <xdr:spPr>
        <a:xfrm>
          <a:off x="7648574" y="62128182"/>
          <a:ext cx="4475183" cy="1635957"/>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10636</xdr:colOff>
      <xdr:row>79</xdr:row>
      <xdr:rowOff>1552551</xdr:rowOff>
    </xdr:from>
    <xdr:to>
      <xdr:col>9</xdr:col>
      <xdr:colOff>4532585</xdr:colOff>
      <xdr:row>81</xdr:row>
      <xdr:rowOff>262801</xdr:rowOff>
    </xdr:to>
    <xdr:sp>
      <xdr:nvSpPr>
        <xdr:cNvPr id="1071" name="ZoneTexte 1"/>
        <xdr:cNvSpPr/>
      </xdr:nvSpPr>
      <xdr:spPr>
        <a:xfrm>
          <a:off x="7630636" y="63786996"/>
          <a:ext cx="4521950" cy="201352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10953</xdr:colOff>
      <xdr:row>80</xdr:row>
      <xdr:rowOff>1549429</xdr:rowOff>
    </xdr:from>
    <xdr:to>
      <xdr:col>9</xdr:col>
      <xdr:colOff>4532903</xdr:colOff>
      <xdr:row>81</xdr:row>
      <xdr:rowOff>1499792</xdr:rowOff>
    </xdr:to>
    <xdr:sp>
      <xdr:nvSpPr>
        <xdr:cNvPr id="1072" name="ZoneTexte 1"/>
        <xdr:cNvSpPr/>
      </xdr:nvSpPr>
      <xdr:spPr>
        <a:xfrm>
          <a:off x="7630953" y="65435509"/>
          <a:ext cx="4521950" cy="1601999"/>
        </a:xfrm>
        <a:prstGeom prst="rect">
          <a:avLst/>
        </a:prstGeom>
        <a:solidFill>
          <a:srgbClr val="FFFFFF"/>
        </a:solidFill>
        <a:ln w="12700" cap="flat">
          <a:noFill/>
          <a:miter lim="400000"/>
        </a:ln>
        <a:effectLst/>
      </xdr:spPr>
      <xdr:txBody>
        <a:bodyPr/>
        <a:lstStyle/>
        <a:p>
          <a:pPr/>
        </a:p>
      </xdr:txBody>
    </xdr:sp>
    <xdr:clientData/>
  </xdr:twoCellAnchor>
  <xdr:twoCellAnchor>
    <xdr:from>
      <xdr:col>5</xdr:col>
      <xdr:colOff>11781</xdr:colOff>
      <xdr:row>8</xdr:row>
      <xdr:rowOff>167760</xdr:rowOff>
    </xdr:from>
    <xdr:to>
      <xdr:col>5</xdr:col>
      <xdr:colOff>464966</xdr:colOff>
      <xdr:row>10</xdr:row>
      <xdr:rowOff>2896</xdr:rowOff>
    </xdr:to>
    <xdr:grpSp>
      <xdr:nvGrpSpPr>
        <xdr:cNvPr id="1075" name="Ellipse 59"/>
        <xdr:cNvGrpSpPr/>
      </xdr:nvGrpSpPr>
      <xdr:grpSpPr>
        <a:xfrm>
          <a:off x="532481" y="2758560"/>
          <a:ext cx="453185" cy="437117"/>
          <a:chOff x="0" y="0"/>
          <a:chExt cx="453184" cy="437115"/>
        </a:xfrm>
      </xdr:grpSpPr>
      <xdr:sp>
        <xdr:nvSpPr>
          <xdr:cNvPr id="1073" name="Ovale"/>
          <xdr:cNvSpPr/>
        </xdr:nvSpPr>
        <xdr:spPr>
          <a:xfrm>
            <a:off x="-1" y="0"/>
            <a:ext cx="453186" cy="437116"/>
          </a:xfrm>
          <a:prstGeom prst="ellipse">
            <a:avLst/>
          </a:prstGeom>
          <a:noFill/>
          <a:ln w="28575" cap="flat">
            <a:solidFill>
              <a:srgbClr val="203B7D"/>
            </a:solidFill>
            <a:prstDash val="solid"/>
            <a:miter lim="800000"/>
          </a:ln>
          <a:effectLst/>
        </xdr:spPr>
        <xdr:txBody>
          <a:bodyPr/>
          <a:lstStyle/>
          <a:p>
            <a:pPr/>
          </a:p>
        </xdr:txBody>
      </xdr:sp>
      <xdr:sp>
        <xdr:nvSpPr>
          <xdr:cNvPr id="1074" name="1"/>
          <xdr:cNvSpPr txBox="1"/>
        </xdr:nvSpPr>
        <xdr:spPr>
          <a:xfrm>
            <a:off x="116352" y="57263"/>
            <a:ext cx="220479" cy="322590"/>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203864"/>
                </a:solidFill>
                <a:uFillTx/>
                <a:latin typeface="Calibri"/>
                <a:ea typeface="Calibri"/>
                <a:cs typeface="Calibri"/>
                <a:sym typeface="Calibri"/>
              </a:defRPr>
            </a:pPr>
            <a:r>
              <a:rPr b="0" baseline="0" cap="none" i="0" spc="0" strike="noStrike" sz="2600" u="none">
                <a:solidFill>
                  <a:srgbClr val="203864"/>
                </a:solidFill>
                <a:uFillTx/>
                <a:latin typeface="Calibri"/>
                <a:ea typeface="Calibri"/>
                <a:cs typeface="Calibri"/>
                <a:sym typeface="Calibri"/>
              </a:rPr>
              <a:t>1</a:t>
            </a:r>
          </a:p>
        </xdr:txBody>
      </xdr:sp>
    </xdr:grpSp>
    <xdr:clientData/>
  </xdr:twoCellAnchor>
  <xdr:twoCellAnchor>
    <xdr:from>
      <xdr:col>1</xdr:col>
      <xdr:colOff>304800</xdr:colOff>
      <xdr:row>24</xdr:row>
      <xdr:rowOff>153556</xdr:rowOff>
    </xdr:from>
    <xdr:to>
      <xdr:col>5</xdr:col>
      <xdr:colOff>453184</xdr:colOff>
      <xdr:row>25</xdr:row>
      <xdr:rowOff>396306</xdr:rowOff>
    </xdr:to>
    <xdr:grpSp>
      <xdr:nvGrpSpPr>
        <xdr:cNvPr id="1078" name="Ellipse 60"/>
        <xdr:cNvGrpSpPr/>
      </xdr:nvGrpSpPr>
      <xdr:grpSpPr>
        <a:xfrm>
          <a:off x="520699" y="16538461"/>
          <a:ext cx="453186" cy="433251"/>
          <a:chOff x="0" y="0"/>
          <a:chExt cx="453184" cy="433250"/>
        </a:xfrm>
      </xdr:grpSpPr>
      <xdr:sp>
        <xdr:nvSpPr>
          <xdr:cNvPr id="1076" name="Ovale"/>
          <xdr:cNvSpPr/>
        </xdr:nvSpPr>
        <xdr:spPr>
          <a:xfrm>
            <a:off x="-1" y="-1"/>
            <a:ext cx="453186" cy="433252"/>
          </a:xfrm>
          <a:prstGeom prst="ellipse">
            <a:avLst/>
          </a:prstGeom>
          <a:noFill/>
          <a:ln w="28575" cap="flat">
            <a:solidFill>
              <a:srgbClr val="203B7D"/>
            </a:solidFill>
            <a:prstDash val="solid"/>
            <a:miter lim="800000"/>
          </a:ln>
          <a:effectLst/>
        </xdr:spPr>
        <xdr:txBody>
          <a:bodyPr/>
          <a:lstStyle/>
          <a:p>
            <a:pPr/>
          </a:p>
        </xdr:txBody>
      </xdr:sp>
      <xdr:sp>
        <xdr:nvSpPr>
          <xdr:cNvPr id="1077" name="2"/>
          <xdr:cNvSpPr txBox="1"/>
        </xdr:nvSpPr>
        <xdr:spPr>
          <a:xfrm>
            <a:off x="116352" y="56902"/>
            <a:ext cx="220479" cy="319445"/>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203B7D"/>
                </a:solidFill>
                <a:uFillTx/>
                <a:latin typeface="Calibri"/>
                <a:ea typeface="Calibri"/>
                <a:cs typeface="Calibri"/>
                <a:sym typeface="Calibri"/>
              </a:defRPr>
            </a:pPr>
            <a:r>
              <a:rPr b="0" baseline="0" cap="none" i="0" spc="0" strike="noStrike" sz="2600" u="none">
                <a:solidFill>
                  <a:srgbClr val="203B7D"/>
                </a:solidFill>
                <a:uFillTx/>
                <a:latin typeface="Calibri"/>
                <a:ea typeface="Calibri"/>
                <a:cs typeface="Calibri"/>
                <a:sym typeface="Calibri"/>
              </a:rPr>
              <a:t>2</a:t>
            </a:r>
          </a:p>
        </xdr:txBody>
      </xdr:sp>
    </xdr:grpSp>
    <xdr:clientData/>
  </xdr:twoCellAnchor>
  <xdr:twoCellAnchor>
    <xdr:from>
      <xdr:col>5</xdr:col>
      <xdr:colOff>18362</xdr:colOff>
      <xdr:row>40</xdr:row>
      <xdr:rowOff>119533</xdr:rowOff>
    </xdr:from>
    <xdr:to>
      <xdr:col>5</xdr:col>
      <xdr:colOff>471546</xdr:colOff>
      <xdr:row>41</xdr:row>
      <xdr:rowOff>362281</xdr:rowOff>
    </xdr:to>
    <xdr:grpSp>
      <xdr:nvGrpSpPr>
        <xdr:cNvPr id="1081" name="Ellipse 61"/>
        <xdr:cNvGrpSpPr/>
      </xdr:nvGrpSpPr>
      <xdr:grpSpPr>
        <a:xfrm>
          <a:off x="539062" y="30313783"/>
          <a:ext cx="453185" cy="433249"/>
          <a:chOff x="0" y="0"/>
          <a:chExt cx="453184" cy="433248"/>
        </a:xfrm>
      </xdr:grpSpPr>
      <xdr:sp>
        <xdr:nvSpPr>
          <xdr:cNvPr id="1079" name="Ovale"/>
          <xdr:cNvSpPr/>
        </xdr:nvSpPr>
        <xdr:spPr>
          <a:xfrm>
            <a:off x="-1" y="-1"/>
            <a:ext cx="453186" cy="433250"/>
          </a:xfrm>
          <a:prstGeom prst="ellipse">
            <a:avLst/>
          </a:prstGeom>
          <a:noFill/>
          <a:ln w="28575" cap="flat">
            <a:solidFill>
              <a:srgbClr val="203B7D"/>
            </a:solidFill>
            <a:prstDash val="solid"/>
            <a:miter lim="800000"/>
          </a:ln>
          <a:effectLst/>
        </xdr:spPr>
        <xdr:txBody>
          <a:bodyPr/>
          <a:lstStyle/>
          <a:p>
            <a:pPr/>
          </a:p>
        </xdr:txBody>
      </xdr:sp>
      <xdr:sp>
        <xdr:nvSpPr>
          <xdr:cNvPr id="1080" name="3"/>
          <xdr:cNvSpPr txBox="1"/>
        </xdr:nvSpPr>
        <xdr:spPr>
          <a:xfrm>
            <a:off x="116352" y="56902"/>
            <a:ext cx="220479" cy="319443"/>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203B7D"/>
                </a:solidFill>
                <a:uFillTx/>
                <a:latin typeface="Calibri"/>
                <a:ea typeface="Calibri"/>
                <a:cs typeface="Calibri"/>
                <a:sym typeface="Calibri"/>
              </a:defRPr>
            </a:pPr>
            <a:r>
              <a:rPr b="0" baseline="0" cap="none" i="0" spc="0" strike="noStrike" sz="2600" u="none">
                <a:solidFill>
                  <a:srgbClr val="203B7D"/>
                </a:solidFill>
                <a:uFillTx/>
                <a:latin typeface="Calibri"/>
                <a:ea typeface="Calibri"/>
                <a:cs typeface="Calibri"/>
                <a:sym typeface="Calibri"/>
              </a:rPr>
              <a:t>3</a:t>
            </a:r>
          </a:p>
        </xdr:txBody>
      </xdr:sp>
    </xdr:grpSp>
    <xdr:clientData/>
  </xdr:twoCellAnchor>
  <xdr:twoCellAnchor>
    <xdr:from>
      <xdr:col>1</xdr:col>
      <xdr:colOff>304800</xdr:colOff>
      <xdr:row>56</xdr:row>
      <xdr:rowOff>89051</xdr:rowOff>
    </xdr:from>
    <xdr:to>
      <xdr:col>5</xdr:col>
      <xdr:colOff>453184</xdr:colOff>
      <xdr:row>57</xdr:row>
      <xdr:rowOff>331799</xdr:rowOff>
    </xdr:to>
    <xdr:grpSp>
      <xdr:nvGrpSpPr>
        <xdr:cNvPr id="1084" name="Ellipse 62"/>
        <xdr:cNvGrpSpPr/>
      </xdr:nvGrpSpPr>
      <xdr:grpSpPr>
        <a:xfrm>
          <a:off x="520699" y="44090741"/>
          <a:ext cx="453186" cy="433249"/>
          <a:chOff x="0" y="0"/>
          <a:chExt cx="453184" cy="433248"/>
        </a:xfrm>
      </xdr:grpSpPr>
      <xdr:sp>
        <xdr:nvSpPr>
          <xdr:cNvPr id="1082" name="Ovale"/>
          <xdr:cNvSpPr/>
        </xdr:nvSpPr>
        <xdr:spPr>
          <a:xfrm>
            <a:off x="-1" y="-1"/>
            <a:ext cx="453186" cy="433250"/>
          </a:xfrm>
          <a:prstGeom prst="ellipse">
            <a:avLst/>
          </a:prstGeom>
          <a:noFill/>
          <a:ln w="28575" cap="flat">
            <a:solidFill>
              <a:srgbClr val="203B7D"/>
            </a:solidFill>
            <a:prstDash val="solid"/>
            <a:miter lim="800000"/>
          </a:ln>
          <a:effectLst/>
        </xdr:spPr>
        <xdr:txBody>
          <a:bodyPr/>
          <a:lstStyle/>
          <a:p>
            <a:pPr/>
          </a:p>
        </xdr:txBody>
      </xdr:sp>
      <xdr:sp>
        <xdr:nvSpPr>
          <xdr:cNvPr id="1083" name="4"/>
          <xdr:cNvSpPr txBox="1"/>
        </xdr:nvSpPr>
        <xdr:spPr>
          <a:xfrm>
            <a:off x="116352" y="56902"/>
            <a:ext cx="220479" cy="319443"/>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203B7D"/>
                </a:solidFill>
                <a:uFillTx/>
                <a:latin typeface="Calibri"/>
                <a:ea typeface="Calibri"/>
                <a:cs typeface="Calibri"/>
                <a:sym typeface="Calibri"/>
              </a:defRPr>
            </a:pPr>
            <a:r>
              <a:rPr b="0" baseline="0" cap="none" i="0" spc="0" strike="noStrike" sz="2600" u="none">
                <a:solidFill>
                  <a:srgbClr val="203B7D"/>
                </a:solidFill>
                <a:uFillTx/>
                <a:latin typeface="Calibri"/>
                <a:ea typeface="Calibri"/>
                <a:cs typeface="Calibri"/>
                <a:sym typeface="Calibri"/>
              </a:rPr>
              <a:t>4</a:t>
            </a:r>
          </a:p>
        </xdr:txBody>
      </xdr:sp>
    </xdr:grpSp>
    <xdr:clientData/>
  </xdr:twoCellAnchor>
  <xdr:twoCellAnchor>
    <xdr:from>
      <xdr:col>5</xdr:col>
      <xdr:colOff>9180</xdr:colOff>
      <xdr:row>74</xdr:row>
      <xdr:rowOff>58557</xdr:rowOff>
    </xdr:from>
    <xdr:to>
      <xdr:col>5</xdr:col>
      <xdr:colOff>462365</xdr:colOff>
      <xdr:row>75</xdr:row>
      <xdr:rowOff>301309</xdr:rowOff>
    </xdr:to>
    <xdr:grpSp>
      <xdr:nvGrpSpPr>
        <xdr:cNvPr id="1087" name="Ellipse 76799"/>
        <xdr:cNvGrpSpPr/>
      </xdr:nvGrpSpPr>
      <xdr:grpSpPr>
        <a:xfrm>
          <a:off x="529880" y="58189632"/>
          <a:ext cx="453185" cy="433253"/>
          <a:chOff x="0" y="0"/>
          <a:chExt cx="453184" cy="433251"/>
        </a:xfrm>
      </xdr:grpSpPr>
      <xdr:sp>
        <xdr:nvSpPr>
          <xdr:cNvPr id="1085" name="Ovale"/>
          <xdr:cNvSpPr/>
        </xdr:nvSpPr>
        <xdr:spPr>
          <a:xfrm>
            <a:off x="-1" y="0"/>
            <a:ext cx="453186" cy="433252"/>
          </a:xfrm>
          <a:prstGeom prst="ellipse">
            <a:avLst/>
          </a:prstGeom>
          <a:noFill/>
          <a:ln w="28575" cap="flat">
            <a:solidFill>
              <a:srgbClr val="203B7D"/>
            </a:solidFill>
            <a:prstDash val="solid"/>
            <a:miter lim="800000"/>
          </a:ln>
          <a:effectLst/>
        </xdr:spPr>
        <xdr:txBody>
          <a:bodyPr/>
          <a:lstStyle/>
          <a:p>
            <a:pPr/>
          </a:p>
        </xdr:txBody>
      </xdr:sp>
      <xdr:sp>
        <xdr:nvSpPr>
          <xdr:cNvPr id="1086" name="5"/>
          <xdr:cNvSpPr txBox="1"/>
        </xdr:nvSpPr>
        <xdr:spPr>
          <a:xfrm>
            <a:off x="116352" y="56901"/>
            <a:ext cx="220479" cy="319449"/>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203B7D"/>
                </a:solidFill>
                <a:uFillTx/>
                <a:latin typeface="Calibri"/>
                <a:ea typeface="Calibri"/>
                <a:cs typeface="Calibri"/>
                <a:sym typeface="Calibri"/>
              </a:defRPr>
            </a:pPr>
            <a:r>
              <a:rPr b="0" baseline="0" cap="none" i="0" spc="0" strike="noStrike" sz="2600" u="none">
                <a:solidFill>
                  <a:srgbClr val="203B7D"/>
                </a:solidFill>
                <a:uFillTx/>
                <a:latin typeface="Calibri"/>
                <a:ea typeface="Calibri"/>
                <a:cs typeface="Calibri"/>
                <a:sym typeface="Calibri"/>
              </a:rPr>
              <a:t>5</a:t>
            </a:r>
          </a:p>
        </xdr:txBody>
      </xdr:sp>
    </xdr:grpSp>
    <xdr:clientData/>
  </xdr:twoCellAnchor>
  <xdr:twoCellAnchor>
    <xdr:from>
      <xdr:col>9</xdr:col>
      <xdr:colOff>10634</xdr:colOff>
      <xdr:row>63</xdr:row>
      <xdr:rowOff>1583052</xdr:rowOff>
    </xdr:from>
    <xdr:to>
      <xdr:col>9</xdr:col>
      <xdr:colOff>4574992</xdr:colOff>
      <xdr:row>65</xdr:row>
      <xdr:rowOff>267028</xdr:rowOff>
    </xdr:to>
    <xdr:sp>
      <xdr:nvSpPr>
        <xdr:cNvPr id="1088" name="ZoneTexte 1"/>
        <xdr:cNvSpPr/>
      </xdr:nvSpPr>
      <xdr:spPr>
        <a:xfrm>
          <a:off x="7630634" y="52991382"/>
          <a:ext cx="4564359" cy="1987247"/>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10952</xdr:colOff>
      <xdr:row>64</xdr:row>
      <xdr:rowOff>1579930</xdr:rowOff>
    </xdr:from>
    <xdr:to>
      <xdr:col>9</xdr:col>
      <xdr:colOff>4575309</xdr:colOff>
      <xdr:row>65</xdr:row>
      <xdr:rowOff>1530293</xdr:rowOff>
    </xdr:to>
    <xdr:sp>
      <xdr:nvSpPr>
        <xdr:cNvPr id="1089" name="ZoneTexte 1"/>
        <xdr:cNvSpPr/>
      </xdr:nvSpPr>
      <xdr:spPr>
        <a:xfrm>
          <a:off x="7630952" y="54639895"/>
          <a:ext cx="4564358" cy="1601999"/>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46</xdr:row>
      <xdr:rowOff>1478714</xdr:rowOff>
    </xdr:from>
    <xdr:to>
      <xdr:col>9</xdr:col>
      <xdr:colOff>4542761</xdr:colOff>
      <xdr:row>47</xdr:row>
      <xdr:rowOff>1590676</xdr:rowOff>
    </xdr:to>
    <xdr:sp>
      <xdr:nvSpPr>
        <xdr:cNvPr id="1090" name="ZoneTexte 1"/>
        <xdr:cNvSpPr/>
      </xdr:nvSpPr>
      <xdr:spPr>
        <a:xfrm>
          <a:off x="7648574" y="37681334"/>
          <a:ext cx="4514188" cy="163596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10635</xdr:colOff>
      <xdr:row>47</xdr:row>
      <xdr:rowOff>1613533</xdr:rowOff>
    </xdr:from>
    <xdr:to>
      <xdr:col>9</xdr:col>
      <xdr:colOff>4572000</xdr:colOff>
      <xdr:row>48</xdr:row>
      <xdr:rowOff>1463040</xdr:rowOff>
    </xdr:to>
    <xdr:sp>
      <xdr:nvSpPr>
        <xdr:cNvPr id="1091" name="ZoneTexte 1"/>
        <xdr:cNvSpPr/>
      </xdr:nvSpPr>
      <xdr:spPr>
        <a:xfrm>
          <a:off x="7630635" y="39340153"/>
          <a:ext cx="4561365" cy="150114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48</xdr:row>
      <xdr:rowOff>1478714</xdr:rowOff>
    </xdr:from>
    <xdr:to>
      <xdr:col>9</xdr:col>
      <xdr:colOff>4542761</xdr:colOff>
      <xdr:row>49</xdr:row>
      <xdr:rowOff>1590676</xdr:rowOff>
    </xdr:to>
    <xdr:sp>
      <xdr:nvSpPr>
        <xdr:cNvPr id="1092" name="ZoneTexte 1"/>
        <xdr:cNvSpPr/>
      </xdr:nvSpPr>
      <xdr:spPr>
        <a:xfrm>
          <a:off x="7648574" y="40856969"/>
          <a:ext cx="4514188" cy="163596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10636</xdr:colOff>
      <xdr:row>81</xdr:row>
      <xdr:rowOff>1552546</xdr:rowOff>
    </xdr:from>
    <xdr:to>
      <xdr:col>9</xdr:col>
      <xdr:colOff>4532585</xdr:colOff>
      <xdr:row>83</xdr:row>
      <xdr:rowOff>262796</xdr:rowOff>
    </xdr:to>
    <xdr:sp>
      <xdr:nvSpPr>
        <xdr:cNvPr id="1093" name="ZoneTexte 1"/>
        <xdr:cNvSpPr/>
      </xdr:nvSpPr>
      <xdr:spPr>
        <a:xfrm>
          <a:off x="7630636" y="67090261"/>
          <a:ext cx="4521950" cy="201352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10953</xdr:colOff>
      <xdr:row>82</xdr:row>
      <xdr:rowOff>1549424</xdr:rowOff>
    </xdr:from>
    <xdr:to>
      <xdr:col>9</xdr:col>
      <xdr:colOff>4532903</xdr:colOff>
      <xdr:row>83</xdr:row>
      <xdr:rowOff>1499787</xdr:rowOff>
    </xdr:to>
    <xdr:sp>
      <xdr:nvSpPr>
        <xdr:cNvPr id="1094" name="ZoneTexte 1"/>
        <xdr:cNvSpPr/>
      </xdr:nvSpPr>
      <xdr:spPr>
        <a:xfrm>
          <a:off x="7630953" y="68738774"/>
          <a:ext cx="4521950" cy="1601999"/>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92</xdr:row>
      <xdr:rowOff>68540</xdr:rowOff>
    </xdr:from>
    <xdr:to>
      <xdr:col>9</xdr:col>
      <xdr:colOff>4503756</xdr:colOff>
      <xdr:row>93</xdr:row>
      <xdr:rowOff>1506815</xdr:rowOff>
    </xdr:to>
    <xdr:sp>
      <xdr:nvSpPr>
        <xdr:cNvPr id="1095" name="ZoneTexte 1"/>
        <xdr:cNvSpPr/>
      </xdr:nvSpPr>
      <xdr:spPr>
        <a:xfrm>
          <a:off x="7648574" y="72565220"/>
          <a:ext cx="4475183" cy="162877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93</xdr:row>
      <xdr:rowOff>1563965</xdr:rowOff>
    </xdr:from>
    <xdr:to>
      <xdr:col>9</xdr:col>
      <xdr:colOff>4451453</xdr:colOff>
      <xdr:row>94</xdr:row>
      <xdr:rowOff>1506812</xdr:rowOff>
    </xdr:to>
    <xdr:sp>
      <xdr:nvSpPr>
        <xdr:cNvPr id="1096" name="ZoneTexte 1"/>
        <xdr:cNvSpPr/>
      </xdr:nvSpPr>
      <xdr:spPr>
        <a:xfrm>
          <a:off x="7648574" y="74251145"/>
          <a:ext cx="4422880" cy="159448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94</xdr:row>
      <xdr:rowOff>1522489</xdr:rowOff>
    </xdr:from>
    <xdr:to>
      <xdr:col>9</xdr:col>
      <xdr:colOff>4503756</xdr:colOff>
      <xdr:row>95</xdr:row>
      <xdr:rowOff>1506810</xdr:rowOff>
    </xdr:to>
    <xdr:sp>
      <xdr:nvSpPr>
        <xdr:cNvPr id="1097" name="ZoneTexte 1"/>
        <xdr:cNvSpPr/>
      </xdr:nvSpPr>
      <xdr:spPr>
        <a:xfrm>
          <a:off x="7648574" y="75861304"/>
          <a:ext cx="4475183" cy="1635957"/>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10636</xdr:colOff>
      <xdr:row>95</xdr:row>
      <xdr:rowOff>1529667</xdr:rowOff>
    </xdr:from>
    <xdr:to>
      <xdr:col>9</xdr:col>
      <xdr:colOff>4532585</xdr:colOff>
      <xdr:row>97</xdr:row>
      <xdr:rowOff>239917</xdr:rowOff>
    </xdr:to>
    <xdr:sp>
      <xdr:nvSpPr>
        <xdr:cNvPr id="1098" name="ZoneTexte 1"/>
        <xdr:cNvSpPr/>
      </xdr:nvSpPr>
      <xdr:spPr>
        <a:xfrm>
          <a:off x="7630636" y="77520117"/>
          <a:ext cx="4521950" cy="201352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10953</xdr:colOff>
      <xdr:row>96</xdr:row>
      <xdr:rowOff>1526546</xdr:rowOff>
    </xdr:from>
    <xdr:to>
      <xdr:col>9</xdr:col>
      <xdr:colOff>4532903</xdr:colOff>
      <xdr:row>97</xdr:row>
      <xdr:rowOff>1476909</xdr:rowOff>
    </xdr:to>
    <xdr:sp>
      <xdr:nvSpPr>
        <xdr:cNvPr id="1099" name="ZoneTexte 1"/>
        <xdr:cNvSpPr/>
      </xdr:nvSpPr>
      <xdr:spPr>
        <a:xfrm>
          <a:off x="7630953" y="79168631"/>
          <a:ext cx="4521950" cy="1601999"/>
        </a:xfrm>
        <a:prstGeom prst="rect">
          <a:avLst/>
        </a:prstGeom>
        <a:solidFill>
          <a:srgbClr val="FFFFFF"/>
        </a:solidFill>
        <a:ln w="12700" cap="flat">
          <a:noFill/>
          <a:miter lim="400000"/>
        </a:ln>
        <a:effectLst/>
      </xdr:spPr>
      <xdr:txBody>
        <a:bodyPr/>
        <a:lstStyle/>
        <a:p>
          <a:pPr/>
        </a:p>
      </xdr:txBody>
    </xdr:sp>
    <xdr:clientData/>
  </xdr:twoCellAnchor>
  <xdr:twoCellAnchor>
    <xdr:from>
      <xdr:col>5</xdr:col>
      <xdr:colOff>9180</xdr:colOff>
      <xdr:row>90</xdr:row>
      <xdr:rowOff>35674</xdr:rowOff>
    </xdr:from>
    <xdr:to>
      <xdr:col>5</xdr:col>
      <xdr:colOff>462365</xdr:colOff>
      <xdr:row>91</xdr:row>
      <xdr:rowOff>278426</xdr:rowOff>
    </xdr:to>
    <xdr:grpSp>
      <xdr:nvGrpSpPr>
        <xdr:cNvPr id="1102" name="Ellipse 77022"/>
        <xdr:cNvGrpSpPr/>
      </xdr:nvGrpSpPr>
      <xdr:grpSpPr>
        <a:xfrm>
          <a:off x="529880" y="71922754"/>
          <a:ext cx="453185" cy="433253"/>
          <a:chOff x="0" y="0"/>
          <a:chExt cx="453184" cy="433251"/>
        </a:xfrm>
      </xdr:grpSpPr>
      <xdr:sp>
        <xdr:nvSpPr>
          <xdr:cNvPr id="1100" name="Ovale"/>
          <xdr:cNvSpPr/>
        </xdr:nvSpPr>
        <xdr:spPr>
          <a:xfrm>
            <a:off x="-1" y="0"/>
            <a:ext cx="453186" cy="433252"/>
          </a:xfrm>
          <a:prstGeom prst="ellipse">
            <a:avLst/>
          </a:prstGeom>
          <a:noFill/>
          <a:ln w="28575" cap="flat">
            <a:solidFill>
              <a:srgbClr val="203B7D"/>
            </a:solidFill>
            <a:prstDash val="solid"/>
            <a:miter lim="800000"/>
          </a:ln>
          <a:effectLst/>
        </xdr:spPr>
        <xdr:txBody>
          <a:bodyPr/>
          <a:lstStyle/>
          <a:p>
            <a:pPr/>
          </a:p>
        </xdr:txBody>
      </xdr:sp>
      <xdr:sp>
        <xdr:nvSpPr>
          <xdr:cNvPr id="1101" name="6"/>
          <xdr:cNvSpPr txBox="1"/>
        </xdr:nvSpPr>
        <xdr:spPr>
          <a:xfrm>
            <a:off x="116352" y="56901"/>
            <a:ext cx="220479" cy="319449"/>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203B7D"/>
                </a:solidFill>
                <a:uFillTx/>
                <a:latin typeface="Calibri"/>
                <a:ea typeface="Calibri"/>
                <a:cs typeface="Calibri"/>
                <a:sym typeface="Calibri"/>
              </a:defRPr>
            </a:pPr>
            <a:r>
              <a:rPr b="0" baseline="0" cap="none" i="0" spc="0" strike="noStrike" sz="2600" u="none">
                <a:solidFill>
                  <a:srgbClr val="203B7D"/>
                </a:solidFill>
                <a:uFillTx/>
                <a:latin typeface="Calibri"/>
                <a:ea typeface="Calibri"/>
                <a:cs typeface="Calibri"/>
                <a:sym typeface="Calibri"/>
              </a:rPr>
              <a:t>6</a:t>
            </a:r>
          </a:p>
        </xdr:txBody>
      </xdr:sp>
    </xdr:grpSp>
    <xdr:clientData/>
  </xdr:twoCellAnchor>
  <xdr:twoCellAnchor>
    <xdr:from>
      <xdr:col>9</xdr:col>
      <xdr:colOff>10636</xdr:colOff>
      <xdr:row>97</xdr:row>
      <xdr:rowOff>1529662</xdr:rowOff>
    </xdr:from>
    <xdr:to>
      <xdr:col>9</xdr:col>
      <xdr:colOff>4532585</xdr:colOff>
      <xdr:row>99</xdr:row>
      <xdr:rowOff>239912</xdr:rowOff>
    </xdr:to>
    <xdr:sp>
      <xdr:nvSpPr>
        <xdr:cNvPr id="1103" name="ZoneTexte 1"/>
        <xdr:cNvSpPr/>
      </xdr:nvSpPr>
      <xdr:spPr>
        <a:xfrm>
          <a:off x="7630636" y="80823382"/>
          <a:ext cx="4521950" cy="201352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10953</xdr:colOff>
      <xdr:row>98</xdr:row>
      <xdr:rowOff>1526541</xdr:rowOff>
    </xdr:from>
    <xdr:to>
      <xdr:col>9</xdr:col>
      <xdr:colOff>4532903</xdr:colOff>
      <xdr:row>99</xdr:row>
      <xdr:rowOff>1476904</xdr:rowOff>
    </xdr:to>
    <xdr:sp>
      <xdr:nvSpPr>
        <xdr:cNvPr id="1104" name="ZoneTexte 1"/>
        <xdr:cNvSpPr/>
      </xdr:nvSpPr>
      <xdr:spPr>
        <a:xfrm>
          <a:off x="7630953" y="82471896"/>
          <a:ext cx="4521950" cy="1601999"/>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108</xdr:row>
      <xdr:rowOff>45656</xdr:rowOff>
    </xdr:from>
    <xdr:to>
      <xdr:col>9</xdr:col>
      <xdr:colOff>4503756</xdr:colOff>
      <xdr:row>109</xdr:row>
      <xdr:rowOff>1483931</xdr:rowOff>
    </xdr:to>
    <xdr:sp>
      <xdr:nvSpPr>
        <xdr:cNvPr id="1105" name="ZoneTexte 1"/>
        <xdr:cNvSpPr/>
      </xdr:nvSpPr>
      <xdr:spPr>
        <a:xfrm>
          <a:off x="7648574" y="86298341"/>
          <a:ext cx="4475183" cy="162877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109</xdr:row>
      <xdr:rowOff>1541081</xdr:rowOff>
    </xdr:from>
    <xdr:to>
      <xdr:col>9</xdr:col>
      <xdr:colOff>4451453</xdr:colOff>
      <xdr:row>110</xdr:row>
      <xdr:rowOff>1483928</xdr:rowOff>
    </xdr:to>
    <xdr:sp>
      <xdr:nvSpPr>
        <xdr:cNvPr id="1106" name="ZoneTexte 1"/>
        <xdr:cNvSpPr/>
      </xdr:nvSpPr>
      <xdr:spPr>
        <a:xfrm>
          <a:off x="7648574" y="87984266"/>
          <a:ext cx="4422880" cy="159448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110</xdr:row>
      <xdr:rowOff>1499605</xdr:rowOff>
    </xdr:from>
    <xdr:to>
      <xdr:col>9</xdr:col>
      <xdr:colOff>4503756</xdr:colOff>
      <xdr:row>111</xdr:row>
      <xdr:rowOff>1483926</xdr:rowOff>
    </xdr:to>
    <xdr:sp>
      <xdr:nvSpPr>
        <xdr:cNvPr id="1107" name="ZoneTexte 1"/>
        <xdr:cNvSpPr/>
      </xdr:nvSpPr>
      <xdr:spPr>
        <a:xfrm>
          <a:off x="7648574" y="89594425"/>
          <a:ext cx="4475183" cy="1635957"/>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10636</xdr:colOff>
      <xdr:row>111</xdr:row>
      <xdr:rowOff>1506784</xdr:rowOff>
    </xdr:from>
    <xdr:to>
      <xdr:col>9</xdr:col>
      <xdr:colOff>4532585</xdr:colOff>
      <xdr:row>113</xdr:row>
      <xdr:rowOff>217034</xdr:rowOff>
    </xdr:to>
    <xdr:sp>
      <xdr:nvSpPr>
        <xdr:cNvPr id="1108" name="ZoneTexte 1"/>
        <xdr:cNvSpPr/>
      </xdr:nvSpPr>
      <xdr:spPr>
        <a:xfrm>
          <a:off x="7630636" y="91253239"/>
          <a:ext cx="4521950" cy="201352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10953</xdr:colOff>
      <xdr:row>112</xdr:row>
      <xdr:rowOff>1503662</xdr:rowOff>
    </xdr:from>
    <xdr:to>
      <xdr:col>9</xdr:col>
      <xdr:colOff>4532903</xdr:colOff>
      <xdr:row>113</xdr:row>
      <xdr:rowOff>1454025</xdr:rowOff>
    </xdr:to>
    <xdr:sp>
      <xdr:nvSpPr>
        <xdr:cNvPr id="1109" name="ZoneTexte 1"/>
        <xdr:cNvSpPr/>
      </xdr:nvSpPr>
      <xdr:spPr>
        <a:xfrm>
          <a:off x="7630953" y="92901752"/>
          <a:ext cx="4521950" cy="1601999"/>
        </a:xfrm>
        <a:prstGeom prst="rect">
          <a:avLst/>
        </a:prstGeom>
        <a:solidFill>
          <a:srgbClr val="FFFFFF"/>
        </a:solidFill>
        <a:ln w="12700" cap="flat">
          <a:noFill/>
          <a:miter lim="400000"/>
        </a:ln>
        <a:effectLst/>
      </xdr:spPr>
      <xdr:txBody>
        <a:bodyPr/>
        <a:lstStyle/>
        <a:p>
          <a:pPr/>
        </a:p>
      </xdr:txBody>
    </xdr:sp>
    <xdr:clientData/>
  </xdr:twoCellAnchor>
  <xdr:twoCellAnchor>
    <xdr:from>
      <xdr:col>5</xdr:col>
      <xdr:colOff>9180</xdr:colOff>
      <xdr:row>106</xdr:row>
      <xdr:rowOff>12790</xdr:rowOff>
    </xdr:from>
    <xdr:to>
      <xdr:col>5</xdr:col>
      <xdr:colOff>462365</xdr:colOff>
      <xdr:row>107</xdr:row>
      <xdr:rowOff>255542</xdr:rowOff>
    </xdr:to>
    <xdr:grpSp>
      <xdr:nvGrpSpPr>
        <xdr:cNvPr id="1112" name="Ellipse 77072"/>
        <xdr:cNvGrpSpPr/>
      </xdr:nvGrpSpPr>
      <xdr:grpSpPr>
        <a:xfrm>
          <a:off x="529880" y="85655875"/>
          <a:ext cx="453185" cy="433253"/>
          <a:chOff x="0" y="0"/>
          <a:chExt cx="453184" cy="433251"/>
        </a:xfrm>
      </xdr:grpSpPr>
      <xdr:sp>
        <xdr:nvSpPr>
          <xdr:cNvPr id="1110" name="Ovale"/>
          <xdr:cNvSpPr/>
        </xdr:nvSpPr>
        <xdr:spPr>
          <a:xfrm>
            <a:off x="-1" y="0"/>
            <a:ext cx="453186" cy="433252"/>
          </a:xfrm>
          <a:prstGeom prst="ellipse">
            <a:avLst/>
          </a:prstGeom>
          <a:noFill/>
          <a:ln w="28575" cap="flat">
            <a:solidFill>
              <a:srgbClr val="203B7D"/>
            </a:solidFill>
            <a:prstDash val="solid"/>
            <a:miter lim="800000"/>
          </a:ln>
          <a:effectLst/>
        </xdr:spPr>
        <xdr:txBody>
          <a:bodyPr/>
          <a:lstStyle/>
          <a:p>
            <a:pPr/>
          </a:p>
        </xdr:txBody>
      </xdr:sp>
      <xdr:sp>
        <xdr:nvSpPr>
          <xdr:cNvPr id="1111" name="7"/>
          <xdr:cNvSpPr txBox="1"/>
        </xdr:nvSpPr>
        <xdr:spPr>
          <a:xfrm>
            <a:off x="116352" y="56901"/>
            <a:ext cx="220479" cy="319449"/>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203B7D"/>
                </a:solidFill>
                <a:uFillTx/>
                <a:latin typeface="Calibri"/>
                <a:ea typeface="Calibri"/>
                <a:cs typeface="Calibri"/>
                <a:sym typeface="Calibri"/>
              </a:defRPr>
            </a:pPr>
            <a:r>
              <a:rPr b="0" baseline="0" cap="none" i="0" spc="0" strike="noStrike" sz="2600" u="none">
                <a:solidFill>
                  <a:srgbClr val="203B7D"/>
                </a:solidFill>
                <a:uFillTx/>
                <a:latin typeface="Calibri"/>
                <a:ea typeface="Calibri"/>
                <a:cs typeface="Calibri"/>
                <a:sym typeface="Calibri"/>
              </a:rPr>
              <a:t>7</a:t>
            </a:r>
          </a:p>
        </xdr:txBody>
      </xdr:sp>
    </xdr:grpSp>
    <xdr:clientData/>
  </xdr:twoCellAnchor>
  <xdr:twoCellAnchor>
    <xdr:from>
      <xdr:col>9</xdr:col>
      <xdr:colOff>10636</xdr:colOff>
      <xdr:row>113</xdr:row>
      <xdr:rowOff>1506779</xdr:rowOff>
    </xdr:from>
    <xdr:to>
      <xdr:col>9</xdr:col>
      <xdr:colOff>4532585</xdr:colOff>
      <xdr:row>115</xdr:row>
      <xdr:rowOff>217029</xdr:rowOff>
    </xdr:to>
    <xdr:sp>
      <xdr:nvSpPr>
        <xdr:cNvPr id="1113" name="ZoneTexte 1"/>
        <xdr:cNvSpPr/>
      </xdr:nvSpPr>
      <xdr:spPr>
        <a:xfrm>
          <a:off x="7630636" y="94556504"/>
          <a:ext cx="4521950" cy="201352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10953</xdr:colOff>
      <xdr:row>114</xdr:row>
      <xdr:rowOff>1503657</xdr:rowOff>
    </xdr:from>
    <xdr:to>
      <xdr:col>9</xdr:col>
      <xdr:colOff>4532903</xdr:colOff>
      <xdr:row>115</xdr:row>
      <xdr:rowOff>1454020</xdr:rowOff>
    </xdr:to>
    <xdr:sp>
      <xdr:nvSpPr>
        <xdr:cNvPr id="1114" name="ZoneTexte 1"/>
        <xdr:cNvSpPr/>
      </xdr:nvSpPr>
      <xdr:spPr>
        <a:xfrm>
          <a:off x="7630953" y="96205017"/>
          <a:ext cx="4521950" cy="1601999"/>
        </a:xfrm>
        <a:prstGeom prst="rect">
          <a:avLst/>
        </a:prstGeom>
        <a:solidFill>
          <a:srgbClr val="FFFFFF"/>
        </a:solidFill>
        <a:ln w="12700" cap="flat">
          <a:noFill/>
          <a:miter lim="400000"/>
        </a:ln>
        <a:effectLst/>
      </xdr:spPr>
      <xdr:txBody>
        <a:bodyPr/>
        <a:lstStyle/>
        <a:p>
          <a:pPr/>
        </a:p>
      </xdr:txBody>
    </xdr:sp>
    <xdr:clientData/>
  </xdr:twoCellAnchor>
</xdr:wsDr>
</file>

<file path=xl/drawings/drawing4.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file>

<file path=xl/drawings/drawing5.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9</xdr:col>
      <xdr:colOff>28574</xdr:colOff>
      <xdr:row>11</xdr:row>
      <xdr:rowOff>22859</xdr:rowOff>
    </xdr:from>
    <xdr:to>
      <xdr:col>9</xdr:col>
      <xdr:colOff>4500553</xdr:colOff>
      <xdr:row>11</xdr:row>
      <xdr:rowOff>1651634</xdr:rowOff>
    </xdr:to>
    <xdr:sp>
      <xdr:nvSpPr>
        <xdr:cNvPr id="55" name="ZoneTexte 1"/>
        <xdr:cNvSpPr/>
      </xdr:nvSpPr>
      <xdr:spPr>
        <a:xfrm>
          <a:off x="7648574" y="3398519"/>
          <a:ext cx="4471980" cy="162877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12</xdr:row>
      <xdr:rowOff>57149</xdr:rowOff>
    </xdr:from>
    <xdr:to>
      <xdr:col>9</xdr:col>
      <xdr:colOff>4529666</xdr:colOff>
      <xdr:row>12</xdr:row>
      <xdr:rowOff>1651633</xdr:rowOff>
    </xdr:to>
    <xdr:sp>
      <xdr:nvSpPr>
        <xdr:cNvPr id="56" name="ZoneTexte 1"/>
        <xdr:cNvSpPr/>
      </xdr:nvSpPr>
      <xdr:spPr>
        <a:xfrm>
          <a:off x="7648574" y="5084444"/>
          <a:ext cx="4501093" cy="1594485"/>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13</xdr:row>
      <xdr:rowOff>15674</xdr:rowOff>
    </xdr:from>
    <xdr:to>
      <xdr:col>9</xdr:col>
      <xdr:colOff>4500553</xdr:colOff>
      <xdr:row>13</xdr:row>
      <xdr:rowOff>1651633</xdr:rowOff>
    </xdr:to>
    <xdr:sp>
      <xdr:nvSpPr>
        <xdr:cNvPr id="57" name="ZoneTexte 1"/>
        <xdr:cNvSpPr/>
      </xdr:nvSpPr>
      <xdr:spPr>
        <a:xfrm>
          <a:off x="7648574" y="6694604"/>
          <a:ext cx="4471980" cy="1635960"/>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10635</xdr:colOff>
      <xdr:row>14</xdr:row>
      <xdr:rowOff>22858</xdr:rowOff>
    </xdr:from>
    <xdr:to>
      <xdr:col>9</xdr:col>
      <xdr:colOff>4529350</xdr:colOff>
      <xdr:row>15</xdr:row>
      <xdr:rowOff>276011</xdr:rowOff>
    </xdr:to>
    <xdr:sp>
      <xdr:nvSpPr>
        <xdr:cNvPr id="58" name="ZoneTexte 1"/>
        <xdr:cNvSpPr/>
      </xdr:nvSpPr>
      <xdr:spPr>
        <a:xfrm>
          <a:off x="7630635" y="8353423"/>
          <a:ext cx="4518715" cy="2051474"/>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10952</xdr:colOff>
      <xdr:row>15</xdr:row>
      <xdr:rowOff>19738</xdr:rowOff>
    </xdr:from>
    <xdr:to>
      <xdr:col>9</xdr:col>
      <xdr:colOff>4529667</xdr:colOff>
      <xdr:row>15</xdr:row>
      <xdr:rowOff>1621737</xdr:rowOff>
    </xdr:to>
    <xdr:sp>
      <xdr:nvSpPr>
        <xdr:cNvPr id="59" name="ZoneTexte 1"/>
        <xdr:cNvSpPr/>
      </xdr:nvSpPr>
      <xdr:spPr>
        <a:xfrm>
          <a:off x="7630952" y="10148623"/>
          <a:ext cx="4518715" cy="1602000"/>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10952</xdr:colOff>
      <xdr:row>16</xdr:row>
      <xdr:rowOff>38467</xdr:rowOff>
    </xdr:from>
    <xdr:to>
      <xdr:col>9</xdr:col>
      <xdr:colOff>4529667</xdr:colOff>
      <xdr:row>16</xdr:row>
      <xdr:rowOff>1640466</xdr:rowOff>
    </xdr:to>
    <xdr:sp>
      <xdr:nvSpPr>
        <xdr:cNvPr id="60" name="ZoneTexte 1"/>
        <xdr:cNvSpPr/>
      </xdr:nvSpPr>
      <xdr:spPr>
        <a:xfrm>
          <a:off x="7630952" y="11818987"/>
          <a:ext cx="4518715" cy="1602000"/>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15715</xdr:colOff>
      <xdr:row>17</xdr:row>
      <xdr:rowOff>12058</xdr:rowOff>
    </xdr:from>
    <xdr:to>
      <xdr:col>9</xdr:col>
      <xdr:colOff>4534430</xdr:colOff>
      <xdr:row>17</xdr:row>
      <xdr:rowOff>1614057</xdr:rowOff>
    </xdr:to>
    <xdr:sp>
      <xdr:nvSpPr>
        <xdr:cNvPr id="61" name="ZoneTexte 1"/>
        <xdr:cNvSpPr/>
      </xdr:nvSpPr>
      <xdr:spPr>
        <a:xfrm>
          <a:off x="7635715" y="13444213"/>
          <a:ext cx="4518716" cy="1602000"/>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26</xdr:row>
      <xdr:rowOff>182881</xdr:rowOff>
    </xdr:from>
    <xdr:to>
      <xdr:col>9</xdr:col>
      <xdr:colOff>4519448</xdr:colOff>
      <xdr:row>27</xdr:row>
      <xdr:rowOff>1621156</xdr:rowOff>
    </xdr:to>
    <xdr:sp>
      <xdr:nvSpPr>
        <xdr:cNvPr id="62" name="ZoneTexte 1"/>
        <xdr:cNvSpPr/>
      </xdr:nvSpPr>
      <xdr:spPr>
        <a:xfrm>
          <a:off x="7648574" y="17270731"/>
          <a:ext cx="4490875" cy="162877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28</xdr:row>
      <xdr:rowOff>26671</xdr:rowOff>
    </xdr:from>
    <xdr:to>
      <xdr:col>9</xdr:col>
      <xdr:colOff>4466961</xdr:colOff>
      <xdr:row>28</xdr:row>
      <xdr:rowOff>1621156</xdr:rowOff>
    </xdr:to>
    <xdr:sp>
      <xdr:nvSpPr>
        <xdr:cNvPr id="63" name="ZoneTexte 1"/>
        <xdr:cNvSpPr/>
      </xdr:nvSpPr>
      <xdr:spPr>
        <a:xfrm>
          <a:off x="7648574" y="18956656"/>
          <a:ext cx="4438388" cy="159448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28</xdr:row>
      <xdr:rowOff>1636832</xdr:rowOff>
    </xdr:from>
    <xdr:to>
      <xdr:col>9</xdr:col>
      <xdr:colOff>4519448</xdr:colOff>
      <xdr:row>29</xdr:row>
      <xdr:rowOff>1621157</xdr:rowOff>
    </xdr:to>
    <xdr:sp>
      <xdr:nvSpPr>
        <xdr:cNvPr id="64" name="ZoneTexte 1"/>
        <xdr:cNvSpPr/>
      </xdr:nvSpPr>
      <xdr:spPr>
        <a:xfrm>
          <a:off x="7648574" y="20566817"/>
          <a:ext cx="4490875" cy="163596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10635</xdr:colOff>
      <xdr:row>29</xdr:row>
      <xdr:rowOff>1644018</xdr:rowOff>
    </xdr:from>
    <xdr:to>
      <xdr:col>9</xdr:col>
      <xdr:colOff>4548441</xdr:colOff>
      <xdr:row>30</xdr:row>
      <xdr:rowOff>1623745</xdr:rowOff>
    </xdr:to>
    <xdr:sp>
      <xdr:nvSpPr>
        <xdr:cNvPr id="65" name="ZoneTexte 1"/>
        <xdr:cNvSpPr/>
      </xdr:nvSpPr>
      <xdr:spPr>
        <a:xfrm>
          <a:off x="7630635" y="22225638"/>
          <a:ext cx="4537807" cy="163136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10952</xdr:colOff>
      <xdr:row>30</xdr:row>
      <xdr:rowOff>1640897</xdr:rowOff>
    </xdr:from>
    <xdr:to>
      <xdr:col>9</xdr:col>
      <xdr:colOff>4548759</xdr:colOff>
      <xdr:row>31</xdr:row>
      <xdr:rowOff>1591263</xdr:rowOff>
    </xdr:to>
    <xdr:sp>
      <xdr:nvSpPr>
        <xdr:cNvPr id="66" name="ZoneTexte 1"/>
        <xdr:cNvSpPr/>
      </xdr:nvSpPr>
      <xdr:spPr>
        <a:xfrm>
          <a:off x="7630952" y="23874152"/>
          <a:ext cx="4537807" cy="160200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10952</xdr:colOff>
      <xdr:row>32</xdr:row>
      <xdr:rowOff>7990</xdr:rowOff>
    </xdr:from>
    <xdr:to>
      <xdr:col>9</xdr:col>
      <xdr:colOff>4548759</xdr:colOff>
      <xdr:row>32</xdr:row>
      <xdr:rowOff>1609991</xdr:rowOff>
    </xdr:to>
    <xdr:sp>
      <xdr:nvSpPr>
        <xdr:cNvPr id="67" name="ZoneTexte 1"/>
        <xdr:cNvSpPr/>
      </xdr:nvSpPr>
      <xdr:spPr>
        <a:xfrm>
          <a:off x="7630952" y="25538800"/>
          <a:ext cx="4537807" cy="1602002"/>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15716</xdr:colOff>
      <xdr:row>32</xdr:row>
      <xdr:rowOff>1633218</xdr:rowOff>
    </xdr:from>
    <xdr:to>
      <xdr:col>9</xdr:col>
      <xdr:colOff>4553522</xdr:colOff>
      <xdr:row>33</xdr:row>
      <xdr:rowOff>1583581</xdr:rowOff>
    </xdr:to>
    <xdr:sp>
      <xdr:nvSpPr>
        <xdr:cNvPr id="68" name="ZoneTexte 1"/>
        <xdr:cNvSpPr/>
      </xdr:nvSpPr>
      <xdr:spPr>
        <a:xfrm>
          <a:off x="7635716" y="27164028"/>
          <a:ext cx="4537807" cy="1601999"/>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42</xdr:row>
      <xdr:rowOff>152399</xdr:rowOff>
    </xdr:from>
    <xdr:to>
      <xdr:col>9</xdr:col>
      <xdr:colOff>2636519</xdr:colOff>
      <xdr:row>43</xdr:row>
      <xdr:rowOff>1590674</xdr:rowOff>
    </xdr:to>
    <xdr:sp>
      <xdr:nvSpPr>
        <xdr:cNvPr id="69" name="ZoneTexte 1"/>
        <xdr:cNvSpPr/>
      </xdr:nvSpPr>
      <xdr:spPr>
        <a:xfrm>
          <a:off x="7648574" y="30990539"/>
          <a:ext cx="2607946" cy="162877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42</xdr:row>
      <xdr:rowOff>152399</xdr:rowOff>
    </xdr:from>
    <xdr:to>
      <xdr:col>9</xdr:col>
      <xdr:colOff>4542761</xdr:colOff>
      <xdr:row>43</xdr:row>
      <xdr:rowOff>1590674</xdr:rowOff>
    </xdr:to>
    <xdr:sp>
      <xdr:nvSpPr>
        <xdr:cNvPr id="70" name="ZoneTexte 1"/>
        <xdr:cNvSpPr/>
      </xdr:nvSpPr>
      <xdr:spPr>
        <a:xfrm>
          <a:off x="7648574" y="30990539"/>
          <a:ext cx="4514188" cy="162877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43</xdr:row>
      <xdr:rowOff>1647824</xdr:rowOff>
    </xdr:from>
    <xdr:to>
      <xdr:col>9</xdr:col>
      <xdr:colOff>4490003</xdr:colOff>
      <xdr:row>44</xdr:row>
      <xdr:rowOff>1844039</xdr:rowOff>
    </xdr:to>
    <xdr:sp>
      <xdr:nvSpPr>
        <xdr:cNvPr id="71" name="ZoneTexte 1"/>
        <xdr:cNvSpPr/>
      </xdr:nvSpPr>
      <xdr:spPr>
        <a:xfrm>
          <a:off x="7648574" y="32676464"/>
          <a:ext cx="4461430" cy="184785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44</xdr:row>
      <xdr:rowOff>1859712</xdr:rowOff>
    </xdr:from>
    <xdr:to>
      <xdr:col>9</xdr:col>
      <xdr:colOff>4542761</xdr:colOff>
      <xdr:row>45</xdr:row>
      <xdr:rowOff>1590674</xdr:rowOff>
    </xdr:to>
    <xdr:sp>
      <xdr:nvSpPr>
        <xdr:cNvPr id="72" name="ZoneTexte 1"/>
        <xdr:cNvSpPr/>
      </xdr:nvSpPr>
      <xdr:spPr>
        <a:xfrm>
          <a:off x="7648574" y="34539987"/>
          <a:ext cx="4514188" cy="163596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10635</xdr:colOff>
      <xdr:row>45</xdr:row>
      <xdr:rowOff>1613532</xdr:rowOff>
    </xdr:from>
    <xdr:to>
      <xdr:col>9</xdr:col>
      <xdr:colOff>4572000</xdr:colOff>
      <xdr:row>46</xdr:row>
      <xdr:rowOff>1463039</xdr:rowOff>
    </xdr:to>
    <xdr:sp>
      <xdr:nvSpPr>
        <xdr:cNvPr id="73" name="ZoneTexte 1"/>
        <xdr:cNvSpPr/>
      </xdr:nvSpPr>
      <xdr:spPr>
        <a:xfrm>
          <a:off x="7630635" y="36198807"/>
          <a:ext cx="4561365" cy="150114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58</xdr:row>
      <xdr:rowOff>121916</xdr:rowOff>
    </xdr:from>
    <xdr:to>
      <xdr:col>9</xdr:col>
      <xdr:colOff>4545724</xdr:colOff>
      <xdr:row>59</xdr:row>
      <xdr:rowOff>1560191</xdr:rowOff>
    </xdr:to>
    <xdr:sp>
      <xdr:nvSpPr>
        <xdr:cNvPr id="74" name="ZoneTexte 1"/>
        <xdr:cNvSpPr/>
      </xdr:nvSpPr>
      <xdr:spPr>
        <a:xfrm>
          <a:off x="7648574" y="39886886"/>
          <a:ext cx="4517151" cy="162877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59</xdr:row>
      <xdr:rowOff>1617341</xdr:rowOff>
    </xdr:from>
    <xdr:to>
      <xdr:col>9</xdr:col>
      <xdr:colOff>4492930</xdr:colOff>
      <xdr:row>60</xdr:row>
      <xdr:rowOff>1560191</xdr:rowOff>
    </xdr:to>
    <xdr:sp>
      <xdr:nvSpPr>
        <xdr:cNvPr id="75" name="ZoneTexte 1"/>
        <xdr:cNvSpPr/>
      </xdr:nvSpPr>
      <xdr:spPr>
        <a:xfrm>
          <a:off x="7648574" y="41572811"/>
          <a:ext cx="4464357" cy="159448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60</xdr:row>
      <xdr:rowOff>1575865</xdr:rowOff>
    </xdr:from>
    <xdr:to>
      <xdr:col>9</xdr:col>
      <xdr:colOff>4545724</xdr:colOff>
      <xdr:row>61</xdr:row>
      <xdr:rowOff>1560192</xdr:rowOff>
    </xdr:to>
    <xdr:sp>
      <xdr:nvSpPr>
        <xdr:cNvPr id="76" name="ZoneTexte 1"/>
        <xdr:cNvSpPr/>
      </xdr:nvSpPr>
      <xdr:spPr>
        <a:xfrm>
          <a:off x="7648574" y="43182970"/>
          <a:ext cx="4517151" cy="163596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10634</xdr:colOff>
      <xdr:row>61</xdr:row>
      <xdr:rowOff>1583050</xdr:rowOff>
    </xdr:from>
    <xdr:to>
      <xdr:col>9</xdr:col>
      <xdr:colOff>4574992</xdr:colOff>
      <xdr:row>63</xdr:row>
      <xdr:rowOff>267023</xdr:rowOff>
    </xdr:to>
    <xdr:sp>
      <xdr:nvSpPr>
        <xdr:cNvPr id="77" name="ZoneTexte 1"/>
        <xdr:cNvSpPr/>
      </xdr:nvSpPr>
      <xdr:spPr>
        <a:xfrm>
          <a:off x="7630634" y="44841790"/>
          <a:ext cx="4564359" cy="1987244"/>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10952</xdr:colOff>
      <xdr:row>62</xdr:row>
      <xdr:rowOff>1579931</xdr:rowOff>
    </xdr:from>
    <xdr:to>
      <xdr:col>9</xdr:col>
      <xdr:colOff>4575309</xdr:colOff>
      <xdr:row>63</xdr:row>
      <xdr:rowOff>1530297</xdr:rowOff>
    </xdr:to>
    <xdr:sp>
      <xdr:nvSpPr>
        <xdr:cNvPr id="78" name="ZoneTexte 1"/>
        <xdr:cNvSpPr/>
      </xdr:nvSpPr>
      <xdr:spPr>
        <a:xfrm>
          <a:off x="7630952" y="46490306"/>
          <a:ext cx="4564358" cy="1602002"/>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10952</xdr:colOff>
      <xdr:row>63</xdr:row>
      <xdr:rowOff>1598662</xdr:rowOff>
    </xdr:from>
    <xdr:to>
      <xdr:col>9</xdr:col>
      <xdr:colOff>4571998</xdr:colOff>
      <xdr:row>64</xdr:row>
      <xdr:rowOff>1549025</xdr:rowOff>
    </xdr:to>
    <xdr:sp>
      <xdr:nvSpPr>
        <xdr:cNvPr id="79" name="ZoneTexte 1"/>
        <xdr:cNvSpPr/>
      </xdr:nvSpPr>
      <xdr:spPr>
        <a:xfrm>
          <a:off x="7630952" y="48160672"/>
          <a:ext cx="4561047" cy="1601999"/>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76</xdr:row>
      <xdr:rowOff>91428</xdr:rowOff>
    </xdr:from>
    <xdr:to>
      <xdr:col>9</xdr:col>
      <xdr:colOff>4503756</xdr:colOff>
      <xdr:row>77</xdr:row>
      <xdr:rowOff>1529703</xdr:rowOff>
    </xdr:to>
    <xdr:sp>
      <xdr:nvSpPr>
        <xdr:cNvPr id="80" name="ZoneTexte 1"/>
        <xdr:cNvSpPr/>
      </xdr:nvSpPr>
      <xdr:spPr>
        <a:xfrm>
          <a:off x="7648574" y="52280808"/>
          <a:ext cx="4475183" cy="162877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77</xdr:row>
      <xdr:rowOff>1586853</xdr:rowOff>
    </xdr:from>
    <xdr:to>
      <xdr:col>9</xdr:col>
      <xdr:colOff>4451453</xdr:colOff>
      <xdr:row>78</xdr:row>
      <xdr:rowOff>1529700</xdr:rowOff>
    </xdr:to>
    <xdr:sp>
      <xdr:nvSpPr>
        <xdr:cNvPr id="81" name="ZoneTexte 1"/>
        <xdr:cNvSpPr/>
      </xdr:nvSpPr>
      <xdr:spPr>
        <a:xfrm>
          <a:off x="7648574" y="53966733"/>
          <a:ext cx="4422880" cy="159448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78</xdr:row>
      <xdr:rowOff>1545378</xdr:rowOff>
    </xdr:from>
    <xdr:to>
      <xdr:col>9</xdr:col>
      <xdr:colOff>4503756</xdr:colOff>
      <xdr:row>79</xdr:row>
      <xdr:rowOff>1529698</xdr:rowOff>
    </xdr:to>
    <xdr:sp>
      <xdr:nvSpPr>
        <xdr:cNvPr id="82" name="ZoneTexte 1"/>
        <xdr:cNvSpPr/>
      </xdr:nvSpPr>
      <xdr:spPr>
        <a:xfrm>
          <a:off x="7648574" y="55576892"/>
          <a:ext cx="4475183" cy="1635957"/>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10636</xdr:colOff>
      <xdr:row>79</xdr:row>
      <xdr:rowOff>1552556</xdr:rowOff>
    </xdr:from>
    <xdr:to>
      <xdr:col>9</xdr:col>
      <xdr:colOff>4532585</xdr:colOff>
      <xdr:row>81</xdr:row>
      <xdr:rowOff>262806</xdr:rowOff>
    </xdr:to>
    <xdr:sp>
      <xdr:nvSpPr>
        <xdr:cNvPr id="83" name="ZoneTexte 1"/>
        <xdr:cNvSpPr/>
      </xdr:nvSpPr>
      <xdr:spPr>
        <a:xfrm>
          <a:off x="7630636" y="57235706"/>
          <a:ext cx="4521950" cy="201352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10953</xdr:colOff>
      <xdr:row>80</xdr:row>
      <xdr:rowOff>1549434</xdr:rowOff>
    </xdr:from>
    <xdr:to>
      <xdr:col>9</xdr:col>
      <xdr:colOff>4532903</xdr:colOff>
      <xdr:row>81</xdr:row>
      <xdr:rowOff>1499797</xdr:rowOff>
    </xdr:to>
    <xdr:sp>
      <xdr:nvSpPr>
        <xdr:cNvPr id="84" name="ZoneTexte 1"/>
        <xdr:cNvSpPr/>
      </xdr:nvSpPr>
      <xdr:spPr>
        <a:xfrm>
          <a:off x="7630953" y="58884219"/>
          <a:ext cx="4521950" cy="1601999"/>
        </a:xfrm>
        <a:prstGeom prst="rect">
          <a:avLst/>
        </a:prstGeom>
        <a:solidFill>
          <a:srgbClr val="FFFFFF"/>
        </a:solidFill>
        <a:ln w="12700" cap="flat">
          <a:noFill/>
          <a:miter lim="400000"/>
        </a:ln>
        <a:effectLst/>
      </xdr:spPr>
      <xdr:txBody>
        <a:bodyPr/>
        <a:lstStyle/>
        <a:p>
          <a:pPr/>
        </a:p>
      </xdr:txBody>
    </xdr:sp>
    <xdr:clientData/>
  </xdr:twoCellAnchor>
  <xdr:twoCellAnchor>
    <xdr:from>
      <xdr:col>5</xdr:col>
      <xdr:colOff>11781</xdr:colOff>
      <xdr:row>8</xdr:row>
      <xdr:rowOff>167760</xdr:rowOff>
    </xdr:from>
    <xdr:to>
      <xdr:col>5</xdr:col>
      <xdr:colOff>464966</xdr:colOff>
      <xdr:row>10</xdr:row>
      <xdr:rowOff>2896</xdr:rowOff>
    </xdr:to>
    <xdr:grpSp>
      <xdr:nvGrpSpPr>
        <xdr:cNvPr id="87" name="Ellipse 59"/>
        <xdr:cNvGrpSpPr/>
      </xdr:nvGrpSpPr>
      <xdr:grpSpPr>
        <a:xfrm>
          <a:off x="532481" y="2758560"/>
          <a:ext cx="453185" cy="437117"/>
          <a:chOff x="0" y="0"/>
          <a:chExt cx="453184" cy="437115"/>
        </a:xfrm>
      </xdr:grpSpPr>
      <xdr:sp>
        <xdr:nvSpPr>
          <xdr:cNvPr id="85" name="Ovale"/>
          <xdr:cNvSpPr/>
        </xdr:nvSpPr>
        <xdr:spPr>
          <a:xfrm>
            <a:off x="-1" y="0"/>
            <a:ext cx="453186" cy="437116"/>
          </a:xfrm>
          <a:prstGeom prst="ellipse">
            <a:avLst/>
          </a:prstGeom>
          <a:noFill/>
          <a:ln w="28575" cap="flat">
            <a:solidFill>
              <a:srgbClr val="203B7D"/>
            </a:solidFill>
            <a:prstDash val="solid"/>
            <a:miter lim="800000"/>
          </a:ln>
          <a:effectLst/>
        </xdr:spPr>
        <xdr:txBody>
          <a:bodyPr/>
          <a:lstStyle/>
          <a:p>
            <a:pPr/>
          </a:p>
        </xdr:txBody>
      </xdr:sp>
      <xdr:sp>
        <xdr:nvSpPr>
          <xdr:cNvPr id="86" name="1"/>
          <xdr:cNvSpPr txBox="1"/>
        </xdr:nvSpPr>
        <xdr:spPr>
          <a:xfrm>
            <a:off x="116352" y="57263"/>
            <a:ext cx="220479" cy="322590"/>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203864"/>
                </a:solidFill>
                <a:uFillTx/>
                <a:latin typeface="Calibri"/>
                <a:ea typeface="Calibri"/>
                <a:cs typeface="Calibri"/>
                <a:sym typeface="Calibri"/>
              </a:defRPr>
            </a:pPr>
            <a:r>
              <a:rPr b="0" baseline="0" cap="none" i="0" spc="0" strike="noStrike" sz="2600" u="none">
                <a:solidFill>
                  <a:srgbClr val="203864"/>
                </a:solidFill>
                <a:uFillTx/>
                <a:latin typeface="Calibri"/>
                <a:ea typeface="Calibri"/>
                <a:cs typeface="Calibri"/>
                <a:sym typeface="Calibri"/>
              </a:rPr>
              <a:t>1</a:t>
            </a:r>
          </a:p>
        </xdr:txBody>
      </xdr:sp>
    </xdr:grpSp>
    <xdr:clientData/>
  </xdr:twoCellAnchor>
  <xdr:twoCellAnchor>
    <xdr:from>
      <xdr:col>1</xdr:col>
      <xdr:colOff>304800</xdr:colOff>
      <xdr:row>24</xdr:row>
      <xdr:rowOff>153556</xdr:rowOff>
    </xdr:from>
    <xdr:to>
      <xdr:col>5</xdr:col>
      <xdr:colOff>453184</xdr:colOff>
      <xdr:row>25</xdr:row>
      <xdr:rowOff>396306</xdr:rowOff>
    </xdr:to>
    <xdr:grpSp>
      <xdr:nvGrpSpPr>
        <xdr:cNvPr id="90" name="Ellipse 60"/>
        <xdr:cNvGrpSpPr/>
      </xdr:nvGrpSpPr>
      <xdr:grpSpPr>
        <a:xfrm>
          <a:off x="520699" y="16631806"/>
          <a:ext cx="453186" cy="433251"/>
          <a:chOff x="0" y="0"/>
          <a:chExt cx="453184" cy="433250"/>
        </a:xfrm>
      </xdr:grpSpPr>
      <xdr:sp>
        <xdr:nvSpPr>
          <xdr:cNvPr id="88" name="Ovale"/>
          <xdr:cNvSpPr/>
        </xdr:nvSpPr>
        <xdr:spPr>
          <a:xfrm>
            <a:off x="-1" y="-1"/>
            <a:ext cx="453186" cy="433252"/>
          </a:xfrm>
          <a:prstGeom prst="ellipse">
            <a:avLst/>
          </a:prstGeom>
          <a:noFill/>
          <a:ln w="28575" cap="flat">
            <a:solidFill>
              <a:srgbClr val="203B7D"/>
            </a:solidFill>
            <a:prstDash val="solid"/>
            <a:miter lim="800000"/>
          </a:ln>
          <a:effectLst/>
        </xdr:spPr>
        <xdr:txBody>
          <a:bodyPr/>
          <a:lstStyle/>
          <a:p>
            <a:pPr/>
          </a:p>
        </xdr:txBody>
      </xdr:sp>
      <xdr:sp>
        <xdr:nvSpPr>
          <xdr:cNvPr id="89" name="2"/>
          <xdr:cNvSpPr txBox="1"/>
        </xdr:nvSpPr>
        <xdr:spPr>
          <a:xfrm>
            <a:off x="116352" y="56902"/>
            <a:ext cx="220479" cy="319445"/>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203B7D"/>
                </a:solidFill>
                <a:uFillTx/>
                <a:latin typeface="Calibri"/>
                <a:ea typeface="Calibri"/>
                <a:cs typeface="Calibri"/>
                <a:sym typeface="Calibri"/>
              </a:defRPr>
            </a:pPr>
            <a:r>
              <a:rPr b="0" baseline="0" cap="none" i="0" spc="0" strike="noStrike" sz="2600" u="none">
                <a:solidFill>
                  <a:srgbClr val="203B7D"/>
                </a:solidFill>
                <a:uFillTx/>
                <a:latin typeface="Calibri"/>
                <a:ea typeface="Calibri"/>
                <a:cs typeface="Calibri"/>
                <a:sym typeface="Calibri"/>
              </a:rPr>
              <a:t>2</a:t>
            </a:r>
          </a:p>
        </xdr:txBody>
      </xdr:sp>
    </xdr:grpSp>
    <xdr:clientData/>
  </xdr:twoCellAnchor>
  <xdr:twoCellAnchor>
    <xdr:from>
      <xdr:col>5</xdr:col>
      <xdr:colOff>18362</xdr:colOff>
      <xdr:row>40</xdr:row>
      <xdr:rowOff>119533</xdr:rowOff>
    </xdr:from>
    <xdr:to>
      <xdr:col>5</xdr:col>
      <xdr:colOff>471546</xdr:colOff>
      <xdr:row>41</xdr:row>
      <xdr:rowOff>362281</xdr:rowOff>
    </xdr:to>
    <xdr:grpSp>
      <xdr:nvGrpSpPr>
        <xdr:cNvPr id="93" name="Ellipse 61"/>
        <xdr:cNvGrpSpPr/>
      </xdr:nvGrpSpPr>
      <xdr:grpSpPr>
        <a:xfrm>
          <a:off x="539062" y="30348073"/>
          <a:ext cx="453185" cy="433249"/>
          <a:chOff x="0" y="0"/>
          <a:chExt cx="453184" cy="433248"/>
        </a:xfrm>
      </xdr:grpSpPr>
      <xdr:sp>
        <xdr:nvSpPr>
          <xdr:cNvPr id="91" name="Ovale"/>
          <xdr:cNvSpPr/>
        </xdr:nvSpPr>
        <xdr:spPr>
          <a:xfrm>
            <a:off x="-1" y="-1"/>
            <a:ext cx="453186" cy="433250"/>
          </a:xfrm>
          <a:prstGeom prst="ellipse">
            <a:avLst/>
          </a:prstGeom>
          <a:noFill/>
          <a:ln w="28575" cap="flat">
            <a:solidFill>
              <a:srgbClr val="203B7D"/>
            </a:solidFill>
            <a:prstDash val="solid"/>
            <a:miter lim="800000"/>
          </a:ln>
          <a:effectLst/>
        </xdr:spPr>
        <xdr:txBody>
          <a:bodyPr/>
          <a:lstStyle/>
          <a:p>
            <a:pPr/>
          </a:p>
        </xdr:txBody>
      </xdr:sp>
      <xdr:sp>
        <xdr:nvSpPr>
          <xdr:cNvPr id="92" name="3"/>
          <xdr:cNvSpPr txBox="1"/>
        </xdr:nvSpPr>
        <xdr:spPr>
          <a:xfrm>
            <a:off x="116352" y="56902"/>
            <a:ext cx="220479" cy="319443"/>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203B7D"/>
                </a:solidFill>
                <a:uFillTx/>
                <a:latin typeface="Calibri"/>
                <a:ea typeface="Calibri"/>
                <a:cs typeface="Calibri"/>
                <a:sym typeface="Calibri"/>
              </a:defRPr>
            </a:pPr>
            <a:r>
              <a:rPr b="0" baseline="0" cap="none" i="0" spc="0" strike="noStrike" sz="2600" u="none">
                <a:solidFill>
                  <a:srgbClr val="203B7D"/>
                </a:solidFill>
                <a:uFillTx/>
                <a:latin typeface="Calibri"/>
                <a:ea typeface="Calibri"/>
                <a:cs typeface="Calibri"/>
                <a:sym typeface="Calibri"/>
              </a:rPr>
              <a:t>3</a:t>
            </a:r>
          </a:p>
        </xdr:txBody>
      </xdr:sp>
    </xdr:grpSp>
    <xdr:clientData/>
  </xdr:twoCellAnchor>
  <xdr:twoCellAnchor>
    <xdr:from>
      <xdr:col>1</xdr:col>
      <xdr:colOff>304800</xdr:colOff>
      <xdr:row>56</xdr:row>
      <xdr:rowOff>89050</xdr:rowOff>
    </xdr:from>
    <xdr:to>
      <xdr:col>5</xdr:col>
      <xdr:colOff>453184</xdr:colOff>
      <xdr:row>57</xdr:row>
      <xdr:rowOff>331798</xdr:rowOff>
    </xdr:to>
    <xdr:grpSp>
      <xdr:nvGrpSpPr>
        <xdr:cNvPr id="96" name="Ellipse 62"/>
        <xdr:cNvGrpSpPr/>
      </xdr:nvGrpSpPr>
      <xdr:grpSpPr>
        <a:xfrm>
          <a:off x="520699" y="39244420"/>
          <a:ext cx="453186" cy="433249"/>
          <a:chOff x="0" y="0"/>
          <a:chExt cx="453184" cy="433248"/>
        </a:xfrm>
      </xdr:grpSpPr>
      <xdr:sp>
        <xdr:nvSpPr>
          <xdr:cNvPr id="94" name="Ovale"/>
          <xdr:cNvSpPr/>
        </xdr:nvSpPr>
        <xdr:spPr>
          <a:xfrm>
            <a:off x="-1" y="-1"/>
            <a:ext cx="453186" cy="433250"/>
          </a:xfrm>
          <a:prstGeom prst="ellipse">
            <a:avLst/>
          </a:prstGeom>
          <a:noFill/>
          <a:ln w="28575" cap="flat">
            <a:solidFill>
              <a:srgbClr val="203B7D"/>
            </a:solidFill>
            <a:prstDash val="solid"/>
            <a:miter lim="800000"/>
          </a:ln>
          <a:effectLst/>
        </xdr:spPr>
        <xdr:txBody>
          <a:bodyPr/>
          <a:lstStyle/>
          <a:p>
            <a:pPr/>
          </a:p>
        </xdr:txBody>
      </xdr:sp>
      <xdr:sp>
        <xdr:nvSpPr>
          <xdr:cNvPr id="95" name="4"/>
          <xdr:cNvSpPr txBox="1"/>
        </xdr:nvSpPr>
        <xdr:spPr>
          <a:xfrm>
            <a:off x="116352" y="56902"/>
            <a:ext cx="220479" cy="319443"/>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203B7D"/>
                </a:solidFill>
                <a:uFillTx/>
                <a:latin typeface="Calibri"/>
                <a:ea typeface="Calibri"/>
                <a:cs typeface="Calibri"/>
                <a:sym typeface="Calibri"/>
              </a:defRPr>
            </a:pPr>
            <a:r>
              <a:rPr b="0" baseline="0" cap="none" i="0" spc="0" strike="noStrike" sz="2600" u="none">
                <a:solidFill>
                  <a:srgbClr val="203B7D"/>
                </a:solidFill>
                <a:uFillTx/>
                <a:latin typeface="Calibri"/>
                <a:ea typeface="Calibri"/>
                <a:cs typeface="Calibri"/>
                <a:sym typeface="Calibri"/>
              </a:rPr>
              <a:t>4</a:t>
            </a:r>
          </a:p>
        </xdr:txBody>
      </xdr:sp>
    </xdr:grpSp>
    <xdr:clientData/>
  </xdr:twoCellAnchor>
  <xdr:twoCellAnchor>
    <xdr:from>
      <xdr:col>5</xdr:col>
      <xdr:colOff>9180</xdr:colOff>
      <xdr:row>74</xdr:row>
      <xdr:rowOff>58565</xdr:rowOff>
    </xdr:from>
    <xdr:to>
      <xdr:col>5</xdr:col>
      <xdr:colOff>462365</xdr:colOff>
      <xdr:row>75</xdr:row>
      <xdr:rowOff>301313</xdr:rowOff>
    </xdr:to>
    <xdr:grpSp>
      <xdr:nvGrpSpPr>
        <xdr:cNvPr id="99" name="Ellipse 196752"/>
        <xdr:cNvGrpSpPr/>
      </xdr:nvGrpSpPr>
      <xdr:grpSpPr>
        <a:xfrm>
          <a:off x="529880" y="51638345"/>
          <a:ext cx="453185" cy="433249"/>
          <a:chOff x="0" y="0"/>
          <a:chExt cx="453184" cy="433248"/>
        </a:xfrm>
      </xdr:grpSpPr>
      <xdr:sp>
        <xdr:nvSpPr>
          <xdr:cNvPr id="97" name="Ovale"/>
          <xdr:cNvSpPr/>
        </xdr:nvSpPr>
        <xdr:spPr>
          <a:xfrm>
            <a:off x="-1" y="-1"/>
            <a:ext cx="453186" cy="433250"/>
          </a:xfrm>
          <a:prstGeom prst="ellipse">
            <a:avLst/>
          </a:prstGeom>
          <a:noFill/>
          <a:ln w="28575" cap="flat">
            <a:solidFill>
              <a:srgbClr val="203B7D"/>
            </a:solidFill>
            <a:prstDash val="solid"/>
            <a:miter lim="800000"/>
          </a:ln>
          <a:effectLst/>
        </xdr:spPr>
        <xdr:txBody>
          <a:bodyPr/>
          <a:lstStyle/>
          <a:p>
            <a:pPr/>
          </a:p>
        </xdr:txBody>
      </xdr:sp>
      <xdr:sp>
        <xdr:nvSpPr>
          <xdr:cNvPr id="98" name="5"/>
          <xdr:cNvSpPr txBox="1"/>
        </xdr:nvSpPr>
        <xdr:spPr>
          <a:xfrm>
            <a:off x="116352" y="56902"/>
            <a:ext cx="220479" cy="319443"/>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203B7D"/>
                </a:solidFill>
                <a:uFillTx/>
                <a:latin typeface="Calibri"/>
                <a:ea typeface="Calibri"/>
                <a:cs typeface="Calibri"/>
                <a:sym typeface="Calibri"/>
              </a:defRPr>
            </a:pPr>
            <a:r>
              <a:rPr b="0" baseline="0" cap="none" i="0" spc="0" strike="noStrike" sz="2600" u="none">
                <a:solidFill>
                  <a:srgbClr val="203B7D"/>
                </a:solidFill>
                <a:uFillTx/>
                <a:latin typeface="Calibri"/>
                <a:ea typeface="Calibri"/>
                <a:cs typeface="Calibri"/>
                <a:sym typeface="Calibri"/>
              </a:rPr>
              <a:t>5</a:t>
            </a:r>
          </a:p>
        </xdr:txBody>
      </xdr:sp>
    </xdr:grpSp>
    <xdr:clientData/>
  </xdr:twoCellAnchor>
  <xdr:twoCellAnchor>
    <xdr:from>
      <xdr:col>9</xdr:col>
      <xdr:colOff>10634</xdr:colOff>
      <xdr:row>63</xdr:row>
      <xdr:rowOff>1583051</xdr:rowOff>
    </xdr:from>
    <xdr:to>
      <xdr:col>9</xdr:col>
      <xdr:colOff>4574992</xdr:colOff>
      <xdr:row>67</xdr:row>
      <xdr:rowOff>76524</xdr:rowOff>
    </xdr:to>
    <xdr:sp>
      <xdr:nvSpPr>
        <xdr:cNvPr id="100" name="ZoneTexte 1"/>
        <xdr:cNvSpPr/>
      </xdr:nvSpPr>
      <xdr:spPr>
        <a:xfrm>
          <a:off x="7630634" y="48145061"/>
          <a:ext cx="4564359" cy="1987244"/>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10952</xdr:colOff>
      <xdr:row>64</xdr:row>
      <xdr:rowOff>1560194</xdr:rowOff>
    </xdr:from>
    <xdr:to>
      <xdr:col>9</xdr:col>
      <xdr:colOff>4575309</xdr:colOff>
      <xdr:row>73</xdr:row>
      <xdr:rowOff>24657</xdr:rowOff>
    </xdr:to>
    <xdr:sp>
      <xdr:nvSpPr>
        <xdr:cNvPr id="101" name="ZoneTexte 1"/>
        <xdr:cNvSpPr/>
      </xdr:nvSpPr>
      <xdr:spPr>
        <a:xfrm>
          <a:off x="7630952" y="49773839"/>
          <a:ext cx="4564358" cy="1601999"/>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46</xdr:row>
      <xdr:rowOff>1463040</xdr:rowOff>
    </xdr:from>
    <xdr:to>
      <xdr:col>9</xdr:col>
      <xdr:colOff>4542761</xdr:colOff>
      <xdr:row>56</xdr:row>
      <xdr:rowOff>180541</xdr:rowOff>
    </xdr:to>
    <xdr:sp>
      <xdr:nvSpPr>
        <xdr:cNvPr id="102" name="ZoneTexte 1"/>
        <xdr:cNvSpPr/>
      </xdr:nvSpPr>
      <xdr:spPr>
        <a:xfrm>
          <a:off x="7648574" y="37699950"/>
          <a:ext cx="4514188" cy="1635962"/>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10635</xdr:colOff>
      <xdr:row>46</xdr:row>
      <xdr:rowOff>1463040</xdr:rowOff>
    </xdr:from>
    <xdr:to>
      <xdr:col>9</xdr:col>
      <xdr:colOff>4572000</xdr:colOff>
      <xdr:row>56</xdr:row>
      <xdr:rowOff>45721</xdr:rowOff>
    </xdr:to>
    <xdr:sp>
      <xdr:nvSpPr>
        <xdr:cNvPr id="103" name="ZoneTexte 1"/>
        <xdr:cNvSpPr/>
      </xdr:nvSpPr>
      <xdr:spPr>
        <a:xfrm>
          <a:off x="7630635" y="37699950"/>
          <a:ext cx="4561365" cy="1501142"/>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46</xdr:row>
      <xdr:rowOff>1463040</xdr:rowOff>
    </xdr:from>
    <xdr:to>
      <xdr:col>9</xdr:col>
      <xdr:colOff>4542761</xdr:colOff>
      <xdr:row>56</xdr:row>
      <xdr:rowOff>180541</xdr:rowOff>
    </xdr:to>
    <xdr:sp>
      <xdr:nvSpPr>
        <xdr:cNvPr id="104" name="ZoneTexte 1"/>
        <xdr:cNvSpPr/>
      </xdr:nvSpPr>
      <xdr:spPr>
        <a:xfrm>
          <a:off x="7648574" y="37699950"/>
          <a:ext cx="4514188" cy="1635962"/>
        </a:xfrm>
        <a:prstGeom prst="rect">
          <a:avLst/>
        </a:prstGeom>
        <a:solidFill>
          <a:srgbClr val="FFFFFF"/>
        </a:solidFill>
        <a:ln w="12700" cap="flat">
          <a:noFill/>
          <a:miter lim="400000"/>
        </a:ln>
        <a:effectLst/>
      </xdr:spPr>
      <xdr:txBody>
        <a:bodyPr/>
        <a:lstStyle/>
        <a:p>
          <a:pPr/>
        </a:p>
      </xdr:txBody>
    </xdr:sp>
    <xdr:clientData/>
  </xdr:twoCellAnchor>
</xdr:wsDr>
</file>

<file path=xl/drawings/drawing6.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6</xdr:col>
      <xdr:colOff>1047750</xdr:colOff>
      <xdr:row>21</xdr:row>
      <xdr:rowOff>79375</xdr:rowOff>
    </xdr:from>
    <xdr:to>
      <xdr:col>6</xdr:col>
      <xdr:colOff>4111625</xdr:colOff>
      <xdr:row>22</xdr:row>
      <xdr:rowOff>111125</xdr:rowOff>
    </xdr:to>
    <xdr:grpSp>
      <xdr:nvGrpSpPr>
        <xdr:cNvPr id="108" name="Rectangle : coins arrondis 3"/>
        <xdr:cNvGrpSpPr/>
      </xdr:nvGrpSpPr>
      <xdr:grpSpPr>
        <a:xfrm>
          <a:off x="3892550" y="8720455"/>
          <a:ext cx="3063875" cy="671831"/>
          <a:chOff x="0" y="0"/>
          <a:chExt cx="3063875" cy="671830"/>
        </a:xfrm>
      </xdr:grpSpPr>
      <xdr:sp>
        <xdr:nvSpPr>
          <xdr:cNvPr id="106" name="Rectangle aux angles arrondis"/>
          <xdr:cNvSpPr/>
        </xdr:nvSpPr>
        <xdr:spPr>
          <a:xfrm>
            <a:off x="0" y="0"/>
            <a:ext cx="3063875" cy="671831"/>
          </a:xfrm>
          <a:prstGeom prst="roundRect">
            <a:avLst>
              <a:gd name="adj" fmla="val 16667"/>
            </a:avLst>
          </a:prstGeom>
          <a:solidFill>
            <a:srgbClr val="DEEBF7"/>
          </a:solidFill>
          <a:ln w="28575" cap="flat">
            <a:solidFill>
              <a:srgbClr val="C00000"/>
            </a:solidFill>
            <a:prstDash val="solid"/>
            <a:miter lim="800000"/>
          </a:ln>
          <a:effectLst>
            <a:outerShdw sx="100000" sy="100000" kx="0" ky="0" algn="b" rotWithShape="0" blurRad="63500" dist="0" dir="0">
              <a:srgbClr val="000000">
                <a:alpha val="40000"/>
              </a:srgbClr>
            </a:outerShdw>
          </a:effectLst>
        </xdr:spPr>
        <xdr:txBody>
          <a:bodyPr/>
          <a:lstStyle/>
          <a:p>
            <a:pPr/>
          </a:p>
        </xdr:txBody>
      </xdr:sp>
      <xdr:sp>
        <xdr:nvSpPr>
          <xdr:cNvPr id="107" name="Calculer la maturité"/>
          <xdr:cNvSpPr txBox="1"/>
        </xdr:nvSpPr>
        <xdr:spPr>
          <a:xfrm>
            <a:off x="73753" y="3758"/>
            <a:ext cx="2916369" cy="664314"/>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1" baseline="0" cap="none" i="0" spc="0" strike="noStrike" sz="1800" u="none">
                <a:solidFill>
                  <a:srgbClr val="C00000"/>
                </a:solidFill>
                <a:uFillTx/>
                <a:latin typeface="Aptos Light"/>
                <a:ea typeface="Aptos Light"/>
                <a:cs typeface="Aptos Light"/>
                <a:sym typeface="Aptos Light"/>
              </a:defRPr>
            </a:pPr>
            <a:r>
              <a:rPr b="1" baseline="0" cap="none" i="0" spc="0" strike="noStrike" sz="1800" u="none">
                <a:solidFill>
                  <a:srgbClr val="C00000"/>
                </a:solidFill>
                <a:uFillTx/>
                <a:latin typeface="Aptos Light"/>
                <a:ea typeface="Aptos Light"/>
                <a:cs typeface="Aptos Light"/>
                <a:sym typeface="Aptos Light"/>
              </a:rPr>
              <a:t>Calculer la maturité</a:t>
            </a:r>
          </a:p>
        </xdr:txBody>
      </xdr:sp>
    </xdr:grpSp>
    <xdr:clientData/>
  </xdr:twoCellAnchor>
</xdr:wsDr>
</file>

<file path=xl/drawings/drawing7.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9</xdr:col>
      <xdr:colOff>28574</xdr:colOff>
      <xdr:row>11</xdr:row>
      <xdr:rowOff>22859</xdr:rowOff>
    </xdr:from>
    <xdr:to>
      <xdr:col>9</xdr:col>
      <xdr:colOff>4500553</xdr:colOff>
      <xdr:row>11</xdr:row>
      <xdr:rowOff>1651634</xdr:rowOff>
    </xdr:to>
    <xdr:sp>
      <xdr:nvSpPr>
        <xdr:cNvPr id="110" name="ZoneTexte 1"/>
        <xdr:cNvSpPr/>
      </xdr:nvSpPr>
      <xdr:spPr>
        <a:xfrm>
          <a:off x="7648574" y="3398519"/>
          <a:ext cx="4471980" cy="162877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12</xdr:row>
      <xdr:rowOff>57149</xdr:rowOff>
    </xdr:from>
    <xdr:to>
      <xdr:col>9</xdr:col>
      <xdr:colOff>4529666</xdr:colOff>
      <xdr:row>12</xdr:row>
      <xdr:rowOff>1651633</xdr:rowOff>
    </xdr:to>
    <xdr:sp>
      <xdr:nvSpPr>
        <xdr:cNvPr id="111" name="ZoneTexte 1"/>
        <xdr:cNvSpPr/>
      </xdr:nvSpPr>
      <xdr:spPr>
        <a:xfrm>
          <a:off x="7648574" y="5084444"/>
          <a:ext cx="4501093" cy="1594485"/>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12</xdr:row>
      <xdr:rowOff>1651634</xdr:rowOff>
    </xdr:from>
    <xdr:to>
      <xdr:col>9</xdr:col>
      <xdr:colOff>4500553</xdr:colOff>
      <xdr:row>25</xdr:row>
      <xdr:rowOff>50998</xdr:rowOff>
    </xdr:to>
    <xdr:sp>
      <xdr:nvSpPr>
        <xdr:cNvPr id="112" name="ZoneTexte 1"/>
        <xdr:cNvSpPr/>
      </xdr:nvSpPr>
      <xdr:spPr>
        <a:xfrm>
          <a:off x="7648574" y="6678929"/>
          <a:ext cx="4471980" cy="1635960"/>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10635</xdr:colOff>
      <xdr:row>12</xdr:row>
      <xdr:rowOff>1651634</xdr:rowOff>
    </xdr:from>
    <xdr:to>
      <xdr:col>9</xdr:col>
      <xdr:colOff>4529350</xdr:colOff>
      <xdr:row>26</xdr:row>
      <xdr:rowOff>47412</xdr:rowOff>
    </xdr:to>
    <xdr:sp>
      <xdr:nvSpPr>
        <xdr:cNvPr id="113" name="ZoneTexte 1"/>
        <xdr:cNvSpPr/>
      </xdr:nvSpPr>
      <xdr:spPr>
        <a:xfrm>
          <a:off x="7630635" y="6678929"/>
          <a:ext cx="4518715" cy="2051474"/>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10952</xdr:colOff>
      <xdr:row>12</xdr:row>
      <xdr:rowOff>1651634</xdr:rowOff>
    </xdr:from>
    <xdr:to>
      <xdr:col>9</xdr:col>
      <xdr:colOff>4529667</xdr:colOff>
      <xdr:row>25</xdr:row>
      <xdr:rowOff>17038</xdr:rowOff>
    </xdr:to>
    <xdr:sp>
      <xdr:nvSpPr>
        <xdr:cNvPr id="114" name="ZoneTexte 1"/>
        <xdr:cNvSpPr/>
      </xdr:nvSpPr>
      <xdr:spPr>
        <a:xfrm>
          <a:off x="7630952" y="6678929"/>
          <a:ext cx="4518715" cy="1602000"/>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10952</xdr:colOff>
      <xdr:row>12</xdr:row>
      <xdr:rowOff>1651634</xdr:rowOff>
    </xdr:from>
    <xdr:to>
      <xdr:col>9</xdr:col>
      <xdr:colOff>4529667</xdr:colOff>
      <xdr:row>25</xdr:row>
      <xdr:rowOff>17039</xdr:rowOff>
    </xdr:to>
    <xdr:sp>
      <xdr:nvSpPr>
        <xdr:cNvPr id="115" name="ZoneTexte 1"/>
        <xdr:cNvSpPr/>
      </xdr:nvSpPr>
      <xdr:spPr>
        <a:xfrm>
          <a:off x="7630952" y="6678929"/>
          <a:ext cx="4518715" cy="160200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15715</xdr:colOff>
      <xdr:row>12</xdr:row>
      <xdr:rowOff>1651634</xdr:rowOff>
    </xdr:from>
    <xdr:to>
      <xdr:col>9</xdr:col>
      <xdr:colOff>4534430</xdr:colOff>
      <xdr:row>25</xdr:row>
      <xdr:rowOff>17038</xdr:rowOff>
    </xdr:to>
    <xdr:sp>
      <xdr:nvSpPr>
        <xdr:cNvPr id="116" name="ZoneTexte 1"/>
        <xdr:cNvSpPr/>
      </xdr:nvSpPr>
      <xdr:spPr>
        <a:xfrm>
          <a:off x="7635715" y="6678929"/>
          <a:ext cx="4518716" cy="1602000"/>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26</xdr:row>
      <xdr:rowOff>182880</xdr:rowOff>
    </xdr:from>
    <xdr:to>
      <xdr:col>9</xdr:col>
      <xdr:colOff>4519448</xdr:colOff>
      <xdr:row>27</xdr:row>
      <xdr:rowOff>1621155</xdr:rowOff>
    </xdr:to>
    <xdr:sp>
      <xdr:nvSpPr>
        <xdr:cNvPr id="117" name="ZoneTexte 1"/>
        <xdr:cNvSpPr/>
      </xdr:nvSpPr>
      <xdr:spPr>
        <a:xfrm>
          <a:off x="7648574" y="8865870"/>
          <a:ext cx="4490875" cy="162877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28</xdr:row>
      <xdr:rowOff>26670</xdr:rowOff>
    </xdr:from>
    <xdr:to>
      <xdr:col>9</xdr:col>
      <xdr:colOff>4466961</xdr:colOff>
      <xdr:row>28</xdr:row>
      <xdr:rowOff>1621154</xdr:rowOff>
    </xdr:to>
    <xdr:sp>
      <xdr:nvSpPr>
        <xdr:cNvPr id="118" name="ZoneTexte 1"/>
        <xdr:cNvSpPr/>
      </xdr:nvSpPr>
      <xdr:spPr>
        <a:xfrm>
          <a:off x="7648574" y="10551795"/>
          <a:ext cx="4438388" cy="1594485"/>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28</xdr:row>
      <xdr:rowOff>1636830</xdr:rowOff>
    </xdr:from>
    <xdr:to>
      <xdr:col>9</xdr:col>
      <xdr:colOff>4519448</xdr:colOff>
      <xdr:row>29</xdr:row>
      <xdr:rowOff>2034539</xdr:rowOff>
    </xdr:to>
    <xdr:sp>
      <xdr:nvSpPr>
        <xdr:cNvPr id="119" name="ZoneTexte 1"/>
        <xdr:cNvSpPr/>
      </xdr:nvSpPr>
      <xdr:spPr>
        <a:xfrm>
          <a:off x="7648574" y="12161955"/>
          <a:ext cx="4490875" cy="2049345"/>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10635</xdr:colOff>
      <xdr:row>29</xdr:row>
      <xdr:rowOff>2057400</xdr:rowOff>
    </xdr:from>
    <xdr:to>
      <xdr:col>9</xdr:col>
      <xdr:colOff>4548441</xdr:colOff>
      <xdr:row>30</xdr:row>
      <xdr:rowOff>1618026</xdr:rowOff>
    </xdr:to>
    <xdr:sp>
      <xdr:nvSpPr>
        <xdr:cNvPr id="120" name="ZoneTexte 1"/>
        <xdr:cNvSpPr/>
      </xdr:nvSpPr>
      <xdr:spPr>
        <a:xfrm>
          <a:off x="7630635" y="14234160"/>
          <a:ext cx="4537807" cy="1625647"/>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10952</xdr:colOff>
      <xdr:row>30</xdr:row>
      <xdr:rowOff>1635178</xdr:rowOff>
    </xdr:from>
    <xdr:to>
      <xdr:col>9</xdr:col>
      <xdr:colOff>4548759</xdr:colOff>
      <xdr:row>31</xdr:row>
      <xdr:rowOff>1591257</xdr:rowOff>
    </xdr:to>
    <xdr:sp>
      <xdr:nvSpPr>
        <xdr:cNvPr id="121" name="ZoneTexte 1"/>
        <xdr:cNvSpPr/>
      </xdr:nvSpPr>
      <xdr:spPr>
        <a:xfrm>
          <a:off x="7630952" y="15876958"/>
          <a:ext cx="4537807" cy="1602000"/>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10952</xdr:colOff>
      <xdr:row>32</xdr:row>
      <xdr:rowOff>7987</xdr:rowOff>
    </xdr:from>
    <xdr:to>
      <xdr:col>9</xdr:col>
      <xdr:colOff>4548759</xdr:colOff>
      <xdr:row>32</xdr:row>
      <xdr:rowOff>1609988</xdr:rowOff>
    </xdr:to>
    <xdr:sp>
      <xdr:nvSpPr>
        <xdr:cNvPr id="122" name="ZoneTexte 1"/>
        <xdr:cNvSpPr/>
      </xdr:nvSpPr>
      <xdr:spPr>
        <a:xfrm>
          <a:off x="7630952" y="17547322"/>
          <a:ext cx="4537807" cy="1602002"/>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15716</xdr:colOff>
      <xdr:row>32</xdr:row>
      <xdr:rowOff>1621155</xdr:rowOff>
    </xdr:from>
    <xdr:to>
      <xdr:col>9</xdr:col>
      <xdr:colOff>4553522</xdr:colOff>
      <xdr:row>40</xdr:row>
      <xdr:rowOff>177058</xdr:rowOff>
    </xdr:to>
    <xdr:sp>
      <xdr:nvSpPr>
        <xdr:cNvPr id="123" name="ZoneTexte 1"/>
        <xdr:cNvSpPr/>
      </xdr:nvSpPr>
      <xdr:spPr>
        <a:xfrm>
          <a:off x="7635716" y="19160490"/>
          <a:ext cx="4537807" cy="1601999"/>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42</xdr:row>
      <xdr:rowOff>152403</xdr:rowOff>
    </xdr:from>
    <xdr:to>
      <xdr:col>9</xdr:col>
      <xdr:colOff>2636519</xdr:colOff>
      <xdr:row>43</xdr:row>
      <xdr:rowOff>1590678</xdr:rowOff>
    </xdr:to>
    <xdr:sp>
      <xdr:nvSpPr>
        <xdr:cNvPr id="124" name="ZoneTexte 1"/>
        <xdr:cNvSpPr/>
      </xdr:nvSpPr>
      <xdr:spPr>
        <a:xfrm>
          <a:off x="7648574" y="21347433"/>
          <a:ext cx="2607946" cy="162877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42</xdr:row>
      <xdr:rowOff>152403</xdr:rowOff>
    </xdr:from>
    <xdr:to>
      <xdr:col>9</xdr:col>
      <xdr:colOff>4542761</xdr:colOff>
      <xdr:row>43</xdr:row>
      <xdr:rowOff>1590678</xdr:rowOff>
    </xdr:to>
    <xdr:sp>
      <xdr:nvSpPr>
        <xdr:cNvPr id="125" name="ZoneTexte 1"/>
        <xdr:cNvSpPr/>
      </xdr:nvSpPr>
      <xdr:spPr>
        <a:xfrm>
          <a:off x="7648574" y="21347433"/>
          <a:ext cx="4514188" cy="162877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43</xdr:row>
      <xdr:rowOff>1647828</xdr:rowOff>
    </xdr:from>
    <xdr:to>
      <xdr:col>9</xdr:col>
      <xdr:colOff>4490003</xdr:colOff>
      <xdr:row>44</xdr:row>
      <xdr:rowOff>1844043</xdr:rowOff>
    </xdr:to>
    <xdr:sp>
      <xdr:nvSpPr>
        <xdr:cNvPr id="126" name="ZoneTexte 1"/>
        <xdr:cNvSpPr/>
      </xdr:nvSpPr>
      <xdr:spPr>
        <a:xfrm>
          <a:off x="7648574" y="23033358"/>
          <a:ext cx="4461430" cy="184785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44</xdr:row>
      <xdr:rowOff>1859718</xdr:rowOff>
    </xdr:from>
    <xdr:to>
      <xdr:col>9</xdr:col>
      <xdr:colOff>4542761</xdr:colOff>
      <xdr:row>45</xdr:row>
      <xdr:rowOff>1590677</xdr:rowOff>
    </xdr:to>
    <xdr:sp>
      <xdr:nvSpPr>
        <xdr:cNvPr id="127" name="ZoneTexte 1"/>
        <xdr:cNvSpPr/>
      </xdr:nvSpPr>
      <xdr:spPr>
        <a:xfrm>
          <a:off x="7648574" y="24896883"/>
          <a:ext cx="4514188" cy="1635960"/>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10635</xdr:colOff>
      <xdr:row>45</xdr:row>
      <xdr:rowOff>1613535</xdr:rowOff>
    </xdr:from>
    <xdr:to>
      <xdr:col>9</xdr:col>
      <xdr:colOff>4572000</xdr:colOff>
      <xdr:row>46</xdr:row>
      <xdr:rowOff>1463042</xdr:rowOff>
    </xdr:to>
    <xdr:sp>
      <xdr:nvSpPr>
        <xdr:cNvPr id="128" name="ZoneTexte 1"/>
        <xdr:cNvSpPr/>
      </xdr:nvSpPr>
      <xdr:spPr>
        <a:xfrm>
          <a:off x="7630635" y="26555700"/>
          <a:ext cx="4561365" cy="1501142"/>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58</xdr:row>
      <xdr:rowOff>121918</xdr:rowOff>
    </xdr:from>
    <xdr:to>
      <xdr:col>9</xdr:col>
      <xdr:colOff>4545724</xdr:colOff>
      <xdr:row>59</xdr:row>
      <xdr:rowOff>1560193</xdr:rowOff>
    </xdr:to>
    <xdr:sp>
      <xdr:nvSpPr>
        <xdr:cNvPr id="129" name="ZoneTexte 1"/>
        <xdr:cNvSpPr/>
      </xdr:nvSpPr>
      <xdr:spPr>
        <a:xfrm>
          <a:off x="7648574" y="30243778"/>
          <a:ext cx="4517151" cy="162877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59</xdr:row>
      <xdr:rowOff>1617343</xdr:rowOff>
    </xdr:from>
    <xdr:to>
      <xdr:col>9</xdr:col>
      <xdr:colOff>4492930</xdr:colOff>
      <xdr:row>60</xdr:row>
      <xdr:rowOff>1560193</xdr:rowOff>
    </xdr:to>
    <xdr:sp>
      <xdr:nvSpPr>
        <xdr:cNvPr id="130" name="ZoneTexte 1"/>
        <xdr:cNvSpPr/>
      </xdr:nvSpPr>
      <xdr:spPr>
        <a:xfrm>
          <a:off x="7648574" y="31929703"/>
          <a:ext cx="4464357" cy="159448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60</xdr:row>
      <xdr:rowOff>1575867</xdr:rowOff>
    </xdr:from>
    <xdr:to>
      <xdr:col>9</xdr:col>
      <xdr:colOff>4545724</xdr:colOff>
      <xdr:row>61</xdr:row>
      <xdr:rowOff>1560194</xdr:rowOff>
    </xdr:to>
    <xdr:sp>
      <xdr:nvSpPr>
        <xdr:cNvPr id="131" name="ZoneTexte 1"/>
        <xdr:cNvSpPr/>
      </xdr:nvSpPr>
      <xdr:spPr>
        <a:xfrm>
          <a:off x="7648574" y="33539862"/>
          <a:ext cx="4517151" cy="163596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10634</xdr:colOff>
      <xdr:row>61</xdr:row>
      <xdr:rowOff>1583052</xdr:rowOff>
    </xdr:from>
    <xdr:to>
      <xdr:col>9</xdr:col>
      <xdr:colOff>4574992</xdr:colOff>
      <xdr:row>63</xdr:row>
      <xdr:rowOff>267025</xdr:rowOff>
    </xdr:to>
    <xdr:sp>
      <xdr:nvSpPr>
        <xdr:cNvPr id="132" name="ZoneTexte 1"/>
        <xdr:cNvSpPr/>
      </xdr:nvSpPr>
      <xdr:spPr>
        <a:xfrm>
          <a:off x="7630634" y="35198682"/>
          <a:ext cx="4564359" cy="1987244"/>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10952</xdr:colOff>
      <xdr:row>62</xdr:row>
      <xdr:rowOff>1579934</xdr:rowOff>
    </xdr:from>
    <xdr:to>
      <xdr:col>9</xdr:col>
      <xdr:colOff>4575309</xdr:colOff>
      <xdr:row>63</xdr:row>
      <xdr:rowOff>1530299</xdr:rowOff>
    </xdr:to>
    <xdr:sp>
      <xdr:nvSpPr>
        <xdr:cNvPr id="133" name="ZoneTexte 1"/>
        <xdr:cNvSpPr/>
      </xdr:nvSpPr>
      <xdr:spPr>
        <a:xfrm>
          <a:off x="7630952" y="36847199"/>
          <a:ext cx="4564358" cy="160200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10952</xdr:colOff>
      <xdr:row>63</xdr:row>
      <xdr:rowOff>1560196</xdr:rowOff>
    </xdr:from>
    <xdr:to>
      <xdr:col>9</xdr:col>
      <xdr:colOff>4571998</xdr:colOff>
      <xdr:row>73</xdr:row>
      <xdr:rowOff>24665</xdr:rowOff>
    </xdr:to>
    <xdr:sp>
      <xdr:nvSpPr>
        <xdr:cNvPr id="134" name="ZoneTexte 1"/>
        <xdr:cNvSpPr/>
      </xdr:nvSpPr>
      <xdr:spPr>
        <a:xfrm>
          <a:off x="7630952" y="38479096"/>
          <a:ext cx="4561047" cy="1602005"/>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76</xdr:row>
      <xdr:rowOff>91433</xdr:rowOff>
    </xdr:from>
    <xdr:to>
      <xdr:col>9</xdr:col>
      <xdr:colOff>4503756</xdr:colOff>
      <xdr:row>77</xdr:row>
      <xdr:rowOff>1529708</xdr:rowOff>
    </xdr:to>
    <xdr:sp>
      <xdr:nvSpPr>
        <xdr:cNvPr id="135" name="ZoneTexte 1"/>
        <xdr:cNvSpPr/>
      </xdr:nvSpPr>
      <xdr:spPr>
        <a:xfrm>
          <a:off x="7648574" y="40986068"/>
          <a:ext cx="4475183" cy="162877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77</xdr:row>
      <xdr:rowOff>1586858</xdr:rowOff>
    </xdr:from>
    <xdr:to>
      <xdr:col>9</xdr:col>
      <xdr:colOff>4451453</xdr:colOff>
      <xdr:row>78</xdr:row>
      <xdr:rowOff>1529708</xdr:rowOff>
    </xdr:to>
    <xdr:sp>
      <xdr:nvSpPr>
        <xdr:cNvPr id="136" name="ZoneTexte 1"/>
        <xdr:cNvSpPr/>
      </xdr:nvSpPr>
      <xdr:spPr>
        <a:xfrm>
          <a:off x="7648574" y="42671993"/>
          <a:ext cx="4422880" cy="159448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78</xdr:row>
      <xdr:rowOff>1545382</xdr:rowOff>
    </xdr:from>
    <xdr:to>
      <xdr:col>9</xdr:col>
      <xdr:colOff>4503756</xdr:colOff>
      <xdr:row>79</xdr:row>
      <xdr:rowOff>1529709</xdr:rowOff>
    </xdr:to>
    <xdr:sp>
      <xdr:nvSpPr>
        <xdr:cNvPr id="137" name="ZoneTexte 1"/>
        <xdr:cNvSpPr/>
      </xdr:nvSpPr>
      <xdr:spPr>
        <a:xfrm>
          <a:off x="7648574" y="44282152"/>
          <a:ext cx="4475183" cy="163596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10636</xdr:colOff>
      <xdr:row>79</xdr:row>
      <xdr:rowOff>1552570</xdr:rowOff>
    </xdr:from>
    <xdr:to>
      <xdr:col>9</xdr:col>
      <xdr:colOff>4532585</xdr:colOff>
      <xdr:row>85</xdr:row>
      <xdr:rowOff>79940</xdr:rowOff>
    </xdr:to>
    <xdr:sp>
      <xdr:nvSpPr>
        <xdr:cNvPr id="138" name="ZoneTexte 1"/>
        <xdr:cNvSpPr/>
      </xdr:nvSpPr>
      <xdr:spPr>
        <a:xfrm>
          <a:off x="7630636" y="45940975"/>
          <a:ext cx="4521950" cy="201352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10953</xdr:colOff>
      <xdr:row>80</xdr:row>
      <xdr:rowOff>1529710</xdr:rowOff>
    </xdr:from>
    <xdr:to>
      <xdr:col>9</xdr:col>
      <xdr:colOff>4532903</xdr:colOff>
      <xdr:row>90</xdr:row>
      <xdr:rowOff>138953</xdr:rowOff>
    </xdr:to>
    <xdr:sp>
      <xdr:nvSpPr>
        <xdr:cNvPr id="139" name="ZoneTexte 1"/>
        <xdr:cNvSpPr/>
      </xdr:nvSpPr>
      <xdr:spPr>
        <a:xfrm>
          <a:off x="7630953" y="47569750"/>
          <a:ext cx="4521950" cy="1601999"/>
        </a:xfrm>
        <a:prstGeom prst="rect">
          <a:avLst/>
        </a:prstGeom>
        <a:solidFill>
          <a:srgbClr val="FFFFFF"/>
        </a:solidFill>
        <a:ln w="12700" cap="flat">
          <a:noFill/>
          <a:miter lim="400000"/>
        </a:ln>
        <a:effectLst/>
      </xdr:spPr>
      <xdr:txBody>
        <a:bodyPr/>
        <a:lstStyle/>
        <a:p>
          <a:pPr/>
        </a:p>
      </xdr:txBody>
    </xdr:sp>
    <xdr:clientData/>
  </xdr:twoCellAnchor>
  <xdr:twoCellAnchor>
    <xdr:from>
      <xdr:col>5</xdr:col>
      <xdr:colOff>11781</xdr:colOff>
      <xdr:row>8</xdr:row>
      <xdr:rowOff>167760</xdr:rowOff>
    </xdr:from>
    <xdr:to>
      <xdr:col>5</xdr:col>
      <xdr:colOff>464966</xdr:colOff>
      <xdr:row>10</xdr:row>
      <xdr:rowOff>2896</xdr:rowOff>
    </xdr:to>
    <xdr:grpSp>
      <xdr:nvGrpSpPr>
        <xdr:cNvPr id="142" name="Ellipse 59"/>
        <xdr:cNvGrpSpPr/>
      </xdr:nvGrpSpPr>
      <xdr:grpSpPr>
        <a:xfrm>
          <a:off x="532481" y="2758560"/>
          <a:ext cx="453185" cy="437117"/>
          <a:chOff x="0" y="0"/>
          <a:chExt cx="453184" cy="437115"/>
        </a:xfrm>
      </xdr:grpSpPr>
      <xdr:sp>
        <xdr:nvSpPr>
          <xdr:cNvPr id="140" name="Ovale"/>
          <xdr:cNvSpPr/>
        </xdr:nvSpPr>
        <xdr:spPr>
          <a:xfrm>
            <a:off x="-1" y="0"/>
            <a:ext cx="453186" cy="437116"/>
          </a:xfrm>
          <a:prstGeom prst="ellipse">
            <a:avLst/>
          </a:prstGeom>
          <a:noFill/>
          <a:ln w="28575" cap="flat">
            <a:solidFill>
              <a:srgbClr val="203B7D"/>
            </a:solidFill>
            <a:prstDash val="solid"/>
            <a:miter lim="800000"/>
          </a:ln>
          <a:effectLst/>
        </xdr:spPr>
        <xdr:txBody>
          <a:bodyPr/>
          <a:lstStyle/>
          <a:p>
            <a:pPr/>
          </a:p>
        </xdr:txBody>
      </xdr:sp>
      <xdr:sp>
        <xdr:nvSpPr>
          <xdr:cNvPr id="141" name="1"/>
          <xdr:cNvSpPr txBox="1"/>
        </xdr:nvSpPr>
        <xdr:spPr>
          <a:xfrm>
            <a:off x="116352" y="57263"/>
            <a:ext cx="220479" cy="322590"/>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203864"/>
                </a:solidFill>
                <a:uFillTx/>
                <a:latin typeface="Calibri"/>
                <a:ea typeface="Calibri"/>
                <a:cs typeface="Calibri"/>
                <a:sym typeface="Calibri"/>
              </a:defRPr>
            </a:pPr>
            <a:r>
              <a:rPr b="0" baseline="0" cap="none" i="0" spc="0" strike="noStrike" sz="2600" u="none">
                <a:solidFill>
                  <a:srgbClr val="203864"/>
                </a:solidFill>
                <a:uFillTx/>
                <a:latin typeface="Calibri"/>
                <a:ea typeface="Calibri"/>
                <a:cs typeface="Calibri"/>
                <a:sym typeface="Calibri"/>
              </a:rPr>
              <a:t>1</a:t>
            </a:r>
          </a:p>
        </xdr:txBody>
      </xdr:sp>
    </xdr:grpSp>
    <xdr:clientData/>
  </xdr:twoCellAnchor>
  <xdr:twoCellAnchor>
    <xdr:from>
      <xdr:col>1</xdr:col>
      <xdr:colOff>304800</xdr:colOff>
      <xdr:row>24</xdr:row>
      <xdr:rowOff>153555</xdr:rowOff>
    </xdr:from>
    <xdr:to>
      <xdr:col>5</xdr:col>
      <xdr:colOff>453184</xdr:colOff>
      <xdr:row>25</xdr:row>
      <xdr:rowOff>396305</xdr:rowOff>
    </xdr:to>
    <xdr:grpSp>
      <xdr:nvGrpSpPr>
        <xdr:cNvPr id="145" name="Ellipse 60"/>
        <xdr:cNvGrpSpPr/>
      </xdr:nvGrpSpPr>
      <xdr:grpSpPr>
        <a:xfrm>
          <a:off x="520699" y="8226945"/>
          <a:ext cx="453186" cy="433251"/>
          <a:chOff x="0" y="0"/>
          <a:chExt cx="453184" cy="433250"/>
        </a:xfrm>
      </xdr:grpSpPr>
      <xdr:sp>
        <xdr:nvSpPr>
          <xdr:cNvPr id="143" name="Ovale"/>
          <xdr:cNvSpPr/>
        </xdr:nvSpPr>
        <xdr:spPr>
          <a:xfrm>
            <a:off x="-1" y="-1"/>
            <a:ext cx="453186" cy="433252"/>
          </a:xfrm>
          <a:prstGeom prst="ellipse">
            <a:avLst/>
          </a:prstGeom>
          <a:noFill/>
          <a:ln w="28575" cap="flat">
            <a:solidFill>
              <a:srgbClr val="203B7D"/>
            </a:solidFill>
            <a:prstDash val="solid"/>
            <a:miter lim="800000"/>
          </a:ln>
          <a:effectLst/>
        </xdr:spPr>
        <xdr:txBody>
          <a:bodyPr/>
          <a:lstStyle/>
          <a:p>
            <a:pPr/>
          </a:p>
        </xdr:txBody>
      </xdr:sp>
      <xdr:sp>
        <xdr:nvSpPr>
          <xdr:cNvPr id="144" name="2"/>
          <xdr:cNvSpPr txBox="1"/>
        </xdr:nvSpPr>
        <xdr:spPr>
          <a:xfrm>
            <a:off x="116352" y="56902"/>
            <a:ext cx="220479" cy="319445"/>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203B7D"/>
                </a:solidFill>
                <a:uFillTx/>
                <a:latin typeface="Calibri"/>
                <a:ea typeface="Calibri"/>
                <a:cs typeface="Calibri"/>
                <a:sym typeface="Calibri"/>
              </a:defRPr>
            </a:pPr>
            <a:r>
              <a:rPr b="0" baseline="0" cap="none" i="0" spc="0" strike="noStrike" sz="2600" u="none">
                <a:solidFill>
                  <a:srgbClr val="203B7D"/>
                </a:solidFill>
                <a:uFillTx/>
                <a:latin typeface="Calibri"/>
                <a:ea typeface="Calibri"/>
                <a:cs typeface="Calibri"/>
                <a:sym typeface="Calibri"/>
              </a:rPr>
              <a:t>2</a:t>
            </a:r>
          </a:p>
        </xdr:txBody>
      </xdr:sp>
    </xdr:grpSp>
    <xdr:clientData/>
  </xdr:twoCellAnchor>
  <xdr:twoCellAnchor>
    <xdr:from>
      <xdr:col>5</xdr:col>
      <xdr:colOff>18362</xdr:colOff>
      <xdr:row>40</xdr:row>
      <xdr:rowOff>119532</xdr:rowOff>
    </xdr:from>
    <xdr:to>
      <xdr:col>5</xdr:col>
      <xdr:colOff>471546</xdr:colOff>
      <xdr:row>41</xdr:row>
      <xdr:rowOff>362284</xdr:rowOff>
    </xdr:to>
    <xdr:grpSp>
      <xdr:nvGrpSpPr>
        <xdr:cNvPr id="148" name="Ellipse 61"/>
        <xdr:cNvGrpSpPr/>
      </xdr:nvGrpSpPr>
      <xdr:grpSpPr>
        <a:xfrm>
          <a:off x="539062" y="20704962"/>
          <a:ext cx="453185" cy="433253"/>
          <a:chOff x="0" y="0"/>
          <a:chExt cx="453184" cy="433251"/>
        </a:xfrm>
      </xdr:grpSpPr>
      <xdr:sp>
        <xdr:nvSpPr>
          <xdr:cNvPr id="146" name="Ovale"/>
          <xdr:cNvSpPr/>
        </xdr:nvSpPr>
        <xdr:spPr>
          <a:xfrm>
            <a:off x="-1" y="0"/>
            <a:ext cx="453186" cy="433252"/>
          </a:xfrm>
          <a:prstGeom prst="ellipse">
            <a:avLst/>
          </a:prstGeom>
          <a:noFill/>
          <a:ln w="28575" cap="flat">
            <a:solidFill>
              <a:srgbClr val="203B7D"/>
            </a:solidFill>
            <a:prstDash val="solid"/>
            <a:miter lim="800000"/>
          </a:ln>
          <a:effectLst/>
        </xdr:spPr>
        <xdr:txBody>
          <a:bodyPr/>
          <a:lstStyle/>
          <a:p>
            <a:pPr/>
          </a:p>
        </xdr:txBody>
      </xdr:sp>
      <xdr:sp>
        <xdr:nvSpPr>
          <xdr:cNvPr id="147" name="3"/>
          <xdr:cNvSpPr txBox="1"/>
        </xdr:nvSpPr>
        <xdr:spPr>
          <a:xfrm>
            <a:off x="116352" y="56901"/>
            <a:ext cx="220479" cy="319449"/>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203B7D"/>
                </a:solidFill>
                <a:uFillTx/>
                <a:latin typeface="Calibri"/>
                <a:ea typeface="Calibri"/>
                <a:cs typeface="Calibri"/>
                <a:sym typeface="Calibri"/>
              </a:defRPr>
            </a:pPr>
            <a:r>
              <a:rPr b="0" baseline="0" cap="none" i="0" spc="0" strike="noStrike" sz="2600" u="none">
                <a:solidFill>
                  <a:srgbClr val="203B7D"/>
                </a:solidFill>
                <a:uFillTx/>
                <a:latin typeface="Calibri"/>
                <a:ea typeface="Calibri"/>
                <a:cs typeface="Calibri"/>
                <a:sym typeface="Calibri"/>
              </a:rPr>
              <a:t>3</a:t>
            </a:r>
          </a:p>
        </xdr:txBody>
      </xdr:sp>
    </xdr:grpSp>
    <xdr:clientData/>
  </xdr:twoCellAnchor>
  <xdr:twoCellAnchor>
    <xdr:from>
      <xdr:col>1</xdr:col>
      <xdr:colOff>304800</xdr:colOff>
      <xdr:row>56</xdr:row>
      <xdr:rowOff>89052</xdr:rowOff>
    </xdr:from>
    <xdr:to>
      <xdr:col>5</xdr:col>
      <xdr:colOff>453184</xdr:colOff>
      <xdr:row>57</xdr:row>
      <xdr:rowOff>331800</xdr:rowOff>
    </xdr:to>
    <xdr:grpSp>
      <xdr:nvGrpSpPr>
        <xdr:cNvPr id="151" name="Ellipse 62"/>
        <xdr:cNvGrpSpPr/>
      </xdr:nvGrpSpPr>
      <xdr:grpSpPr>
        <a:xfrm>
          <a:off x="520699" y="29601312"/>
          <a:ext cx="453186" cy="433249"/>
          <a:chOff x="0" y="0"/>
          <a:chExt cx="453184" cy="433248"/>
        </a:xfrm>
      </xdr:grpSpPr>
      <xdr:sp>
        <xdr:nvSpPr>
          <xdr:cNvPr id="149" name="Ovale"/>
          <xdr:cNvSpPr/>
        </xdr:nvSpPr>
        <xdr:spPr>
          <a:xfrm>
            <a:off x="-1" y="-1"/>
            <a:ext cx="453186" cy="433250"/>
          </a:xfrm>
          <a:prstGeom prst="ellipse">
            <a:avLst/>
          </a:prstGeom>
          <a:noFill/>
          <a:ln w="28575" cap="flat">
            <a:solidFill>
              <a:srgbClr val="203B7D"/>
            </a:solidFill>
            <a:prstDash val="solid"/>
            <a:miter lim="800000"/>
          </a:ln>
          <a:effectLst/>
        </xdr:spPr>
        <xdr:txBody>
          <a:bodyPr/>
          <a:lstStyle/>
          <a:p>
            <a:pPr/>
          </a:p>
        </xdr:txBody>
      </xdr:sp>
      <xdr:sp>
        <xdr:nvSpPr>
          <xdr:cNvPr id="150" name="4"/>
          <xdr:cNvSpPr txBox="1"/>
        </xdr:nvSpPr>
        <xdr:spPr>
          <a:xfrm>
            <a:off x="116352" y="56902"/>
            <a:ext cx="220479" cy="319443"/>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203B7D"/>
                </a:solidFill>
                <a:uFillTx/>
                <a:latin typeface="Calibri"/>
                <a:ea typeface="Calibri"/>
                <a:cs typeface="Calibri"/>
                <a:sym typeface="Calibri"/>
              </a:defRPr>
            </a:pPr>
            <a:r>
              <a:rPr b="0" baseline="0" cap="none" i="0" spc="0" strike="noStrike" sz="2600" u="none">
                <a:solidFill>
                  <a:srgbClr val="203B7D"/>
                </a:solidFill>
                <a:uFillTx/>
                <a:latin typeface="Calibri"/>
                <a:ea typeface="Calibri"/>
                <a:cs typeface="Calibri"/>
                <a:sym typeface="Calibri"/>
              </a:rPr>
              <a:t>4</a:t>
            </a:r>
          </a:p>
        </xdr:txBody>
      </xdr:sp>
    </xdr:grpSp>
    <xdr:clientData/>
  </xdr:twoCellAnchor>
  <xdr:twoCellAnchor>
    <xdr:from>
      <xdr:col>5</xdr:col>
      <xdr:colOff>9180</xdr:colOff>
      <xdr:row>74</xdr:row>
      <xdr:rowOff>58567</xdr:rowOff>
    </xdr:from>
    <xdr:to>
      <xdr:col>5</xdr:col>
      <xdr:colOff>462365</xdr:colOff>
      <xdr:row>75</xdr:row>
      <xdr:rowOff>301315</xdr:rowOff>
    </xdr:to>
    <xdr:grpSp>
      <xdr:nvGrpSpPr>
        <xdr:cNvPr id="154" name="Ellipse 240639"/>
        <xdr:cNvGrpSpPr/>
      </xdr:nvGrpSpPr>
      <xdr:grpSpPr>
        <a:xfrm>
          <a:off x="529880" y="40343602"/>
          <a:ext cx="453185" cy="433249"/>
          <a:chOff x="0" y="0"/>
          <a:chExt cx="453184" cy="433248"/>
        </a:xfrm>
      </xdr:grpSpPr>
      <xdr:sp>
        <xdr:nvSpPr>
          <xdr:cNvPr id="152" name="Ovale"/>
          <xdr:cNvSpPr/>
        </xdr:nvSpPr>
        <xdr:spPr>
          <a:xfrm>
            <a:off x="-1" y="-1"/>
            <a:ext cx="453186" cy="433250"/>
          </a:xfrm>
          <a:prstGeom prst="ellipse">
            <a:avLst/>
          </a:prstGeom>
          <a:noFill/>
          <a:ln w="28575" cap="flat">
            <a:solidFill>
              <a:srgbClr val="203B7D"/>
            </a:solidFill>
            <a:prstDash val="solid"/>
            <a:miter lim="800000"/>
          </a:ln>
          <a:effectLst/>
        </xdr:spPr>
        <xdr:txBody>
          <a:bodyPr/>
          <a:lstStyle/>
          <a:p>
            <a:pPr/>
          </a:p>
        </xdr:txBody>
      </xdr:sp>
      <xdr:sp>
        <xdr:nvSpPr>
          <xdr:cNvPr id="153" name="5"/>
          <xdr:cNvSpPr txBox="1"/>
        </xdr:nvSpPr>
        <xdr:spPr>
          <a:xfrm>
            <a:off x="116352" y="56902"/>
            <a:ext cx="220479" cy="319443"/>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203B7D"/>
                </a:solidFill>
                <a:uFillTx/>
                <a:latin typeface="Calibri"/>
                <a:ea typeface="Calibri"/>
                <a:cs typeface="Calibri"/>
                <a:sym typeface="Calibri"/>
              </a:defRPr>
            </a:pPr>
            <a:r>
              <a:rPr b="0" baseline="0" cap="none" i="0" spc="0" strike="noStrike" sz="2600" u="none">
                <a:solidFill>
                  <a:srgbClr val="203B7D"/>
                </a:solidFill>
                <a:uFillTx/>
                <a:latin typeface="Calibri"/>
                <a:ea typeface="Calibri"/>
                <a:cs typeface="Calibri"/>
                <a:sym typeface="Calibri"/>
              </a:rPr>
              <a:t>5</a:t>
            </a:r>
          </a:p>
        </xdr:txBody>
      </xdr:sp>
    </xdr:grpSp>
    <xdr:clientData/>
  </xdr:twoCellAnchor>
  <xdr:twoCellAnchor>
    <xdr:from>
      <xdr:col>9</xdr:col>
      <xdr:colOff>10634</xdr:colOff>
      <xdr:row>63</xdr:row>
      <xdr:rowOff>1560196</xdr:rowOff>
    </xdr:from>
    <xdr:to>
      <xdr:col>9</xdr:col>
      <xdr:colOff>4574992</xdr:colOff>
      <xdr:row>74</xdr:row>
      <xdr:rowOff>181307</xdr:rowOff>
    </xdr:to>
    <xdr:sp>
      <xdr:nvSpPr>
        <xdr:cNvPr id="155" name="ZoneTexte 1"/>
        <xdr:cNvSpPr/>
      </xdr:nvSpPr>
      <xdr:spPr>
        <a:xfrm>
          <a:off x="7630634" y="38479096"/>
          <a:ext cx="4564359" cy="1987247"/>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10952</xdr:colOff>
      <xdr:row>63</xdr:row>
      <xdr:rowOff>1560196</xdr:rowOff>
    </xdr:from>
    <xdr:to>
      <xdr:col>9</xdr:col>
      <xdr:colOff>4575309</xdr:colOff>
      <xdr:row>73</xdr:row>
      <xdr:rowOff>24659</xdr:rowOff>
    </xdr:to>
    <xdr:sp>
      <xdr:nvSpPr>
        <xdr:cNvPr id="156" name="ZoneTexte 1"/>
        <xdr:cNvSpPr/>
      </xdr:nvSpPr>
      <xdr:spPr>
        <a:xfrm>
          <a:off x="7630952" y="38479096"/>
          <a:ext cx="4564358" cy="1601999"/>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46</xdr:row>
      <xdr:rowOff>1463042</xdr:rowOff>
    </xdr:from>
    <xdr:to>
      <xdr:col>9</xdr:col>
      <xdr:colOff>4542761</xdr:colOff>
      <xdr:row>56</xdr:row>
      <xdr:rowOff>180544</xdr:rowOff>
    </xdr:to>
    <xdr:sp>
      <xdr:nvSpPr>
        <xdr:cNvPr id="157" name="ZoneTexte 1"/>
        <xdr:cNvSpPr/>
      </xdr:nvSpPr>
      <xdr:spPr>
        <a:xfrm>
          <a:off x="7648574" y="28056842"/>
          <a:ext cx="4514188" cy="163596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10635</xdr:colOff>
      <xdr:row>46</xdr:row>
      <xdr:rowOff>1463042</xdr:rowOff>
    </xdr:from>
    <xdr:to>
      <xdr:col>9</xdr:col>
      <xdr:colOff>4572000</xdr:colOff>
      <xdr:row>56</xdr:row>
      <xdr:rowOff>45724</xdr:rowOff>
    </xdr:to>
    <xdr:sp>
      <xdr:nvSpPr>
        <xdr:cNvPr id="158" name="ZoneTexte 1"/>
        <xdr:cNvSpPr/>
      </xdr:nvSpPr>
      <xdr:spPr>
        <a:xfrm>
          <a:off x="7630635" y="28056842"/>
          <a:ext cx="4561365" cy="150114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46</xdr:row>
      <xdr:rowOff>1463042</xdr:rowOff>
    </xdr:from>
    <xdr:to>
      <xdr:col>9</xdr:col>
      <xdr:colOff>4542761</xdr:colOff>
      <xdr:row>56</xdr:row>
      <xdr:rowOff>180544</xdr:rowOff>
    </xdr:to>
    <xdr:sp>
      <xdr:nvSpPr>
        <xdr:cNvPr id="159" name="ZoneTexte 1"/>
        <xdr:cNvSpPr/>
      </xdr:nvSpPr>
      <xdr:spPr>
        <a:xfrm>
          <a:off x="7648574" y="28056842"/>
          <a:ext cx="4514188" cy="163596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10636</xdr:colOff>
      <xdr:row>80</xdr:row>
      <xdr:rowOff>1529710</xdr:rowOff>
    </xdr:from>
    <xdr:to>
      <xdr:col>9</xdr:col>
      <xdr:colOff>4532585</xdr:colOff>
      <xdr:row>91</xdr:row>
      <xdr:rowOff>359975</xdr:rowOff>
    </xdr:to>
    <xdr:sp>
      <xdr:nvSpPr>
        <xdr:cNvPr id="160" name="ZoneTexte 1"/>
        <xdr:cNvSpPr/>
      </xdr:nvSpPr>
      <xdr:spPr>
        <a:xfrm>
          <a:off x="7630636" y="47569750"/>
          <a:ext cx="4521950" cy="201352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10953</xdr:colOff>
      <xdr:row>80</xdr:row>
      <xdr:rowOff>1529710</xdr:rowOff>
    </xdr:from>
    <xdr:to>
      <xdr:col>9</xdr:col>
      <xdr:colOff>4532903</xdr:colOff>
      <xdr:row>90</xdr:row>
      <xdr:rowOff>138953</xdr:rowOff>
    </xdr:to>
    <xdr:sp>
      <xdr:nvSpPr>
        <xdr:cNvPr id="161" name="ZoneTexte 1"/>
        <xdr:cNvSpPr/>
      </xdr:nvSpPr>
      <xdr:spPr>
        <a:xfrm>
          <a:off x="7630953" y="47569750"/>
          <a:ext cx="4521950" cy="1601999"/>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92</xdr:row>
      <xdr:rowOff>68570</xdr:rowOff>
    </xdr:from>
    <xdr:to>
      <xdr:col>9</xdr:col>
      <xdr:colOff>4503756</xdr:colOff>
      <xdr:row>93</xdr:row>
      <xdr:rowOff>1506845</xdr:rowOff>
    </xdr:to>
    <xdr:sp>
      <xdr:nvSpPr>
        <xdr:cNvPr id="162" name="ZoneTexte 1"/>
        <xdr:cNvSpPr/>
      </xdr:nvSpPr>
      <xdr:spPr>
        <a:xfrm>
          <a:off x="7648574" y="49710965"/>
          <a:ext cx="4475183" cy="162877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93</xdr:row>
      <xdr:rowOff>1563995</xdr:rowOff>
    </xdr:from>
    <xdr:to>
      <xdr:col>9</xdr:col>
      <xdr:colOff>4451453</xdr:colOff>
      <xdr:row>94</xdr:row>
      <xdr:rowOff>1506845</xdr:rowOff>
    </xdr:to>
    <xdr:sp>
      <xdr:nvSpPr>
        <xdr:cNvPr id="163" name="ZoneTexte 1"/>
        <xdr:cNvSpPr/>
      </xdr:nvSpPr>
      <xdr:spPr>
        <a:xfrm>
          <a:off x="7648574" y="51396890"/>
          <a:ext cx="4422880" cy="159448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94</xdr:row>
      <xdr:rowOff>1522522</xdr:rowOff>
    </xdr:from>
    <xdr:to>
      <xdr:col>9</xdr:col>
      <xdr:colOff>4503756</xdr:colOff>
      <xdr:row>95</xdr:row>
      <xdr:rowOff>1506843</xdr:rowOff>
    </xdr:to>
    <xdr:sp>
      <xdr:nvSpPr>
        <xdr:cNvPr id="164" name="ZoneTexte 1"/>
        <xdr:cNvSpPr/>
      </xdr:nvSpPr>
      <xdr:spPr>
        <a:xfrm>
          <a:off x="7648574" y="53007052"/>
          <a:ext cx="4475183" cy="1635957"/>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10636</xdr:colOff>
      <xdr:row>95</xdr:row>
      <xdr:rowOff>1529701</xdr:rowOff>
    </xdr:from>
    <xdr:to>
      <xdr:col>9</xdr:col>
      <xdr:colOff>4532585</xdr:colOff>
      <xdr:row>117</xdr:row>
      <xdr:rowOff>57071</xdr:rowOff>
    </xdr:to>
    <xdr:sp>
      <xdr:nvSpPr>
        <xdr:cNvPr id="165" name="ZoneTexte 1"/>
        <xdr:cNvSpPr/>
      </xdr:nvSpPr>
      <xdr:spPr>
        <a:xfrm>
          <a:off x="7630636" y="54665866"/>
          <a:ext cx="4521950" cy="201352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10953</xdr:colOff>
      <xdr:row>96</xdr:row>
      <xdr:rowOff>1506841</xdr:rowOff>
    </xdr:from>
    <xdr:to>
      <xdr:col>9</xdr:col>
      <xdr:colOff>4532903</xdr:colOff>
      <xdr:row>123</xdr:row>
      <xdr:rowOff>177044</xdr:rowOff>
    </xdr:to>
    <xdr:sp>
      <xdr:nvSpPr>
        <xdr:cNvPr id="166" name="ZoneTexte 1"/>
        <xdr:cNvSpPr/>
      </xdr:nvSpPr>
      <xdr:spPr>
        <a:xfrm>
          <a:off x="7630953" y="56294641"/>
          <a:ext cx="4521950" cy="1601999"/>
        </a:xfrm>
        <a:prstGeom prst="rect">
          <a:avLst/>
        </a:prstGeom>
        <a:solidFill>
          <a:srgbClr val="FFFFFF"/>
        </a:solidFill>
        <a:ln w="12700" cap="flat">
          <a:noFill/>
          <a:miter lim="400000"/>
        </a:ln>
        <a:effectLst/>
      </xdr:spPr>
      <xdr:txBody>
        <a:bodyPr/>
        <a:lstStyle/>
        <a:p>
          <a:pPr/>
        </a:p>
      </xdr:txBody>
    </xdr:sp>
    <xdr:clientData/>
  </xdr:twoCellAnchor>
  <xdr:twoCellAnchor>
    <xdr:from>
      <xdr:col>5</xdr:col>
      <xdr:colOff>9180</xdr:colOff>
      <xdr:row>90</xdr:row>
      <xdr:rowOff>35704</xdr:rowOff>
    </xdr:from>
    <xdr:to>
      <xdr:col>5</xdr:col>
      <xdr:colOff>462365</xdr:colOff>
      <xdr:row>91</xdr:row>
      <xdr:rowOff>278452</xdr:rowOff>
    </xdr:to>
    <xdr:grpSp>
      <xdr:nvGrpSpPr>
        <xdr:cNvPr id="169" name="Ellipse 240862"/>
        <xdr:cNvGrpSpPr/>
      </xdr:nvGrpSpPr>
      <xdr:grpSpPr>
        <a:xfrm>
          <a:off x="529880" y="49068499"/>
          <a:ext cx="453185" cy="433249"/>
          <a:chOff x="0" y="0"/>
          <a:chExt cx="453184" cy="433248"/>
        </a:xfrm>
      </xdr:grpSpPr>
      <xdr:sp>
        <xdr:nvSpPr>
          <xdr:cNvPr id="167" name="Ovale"/>
          <xdr:cNvSpPr/>
        </xdr:nvSpPr>
        <xdr:spPr>
          <a:xfrm>
            <a:off x="-1" y="-1"/>
            <a:ext cx="453186" cy="433250"/>
          </a:xfrm>
          <a:prstGeom prst="ellipse">
            <a:avLst/>
          </a:prstGeom>
          <a:noFill/>
          <a:ln w="28575" cap="flat">
            <a:solidFill>
              <a:srgbClr val="203B7D"/>
            </a:solidFill>
            <a:prstDash val="solid"/>
            <a:miter lim="800000"/>
          </a:ln>
          <a:effectLst/>
        </xdr:spPr>
        <xdr:txBody>
          <a:bodyPr/>
          <a:lstStyle/>
          <a:p>
            <a:pPr/>
          </a:p>
        </xdr:txBody>
      </xdr:sp>
      <xdr:sp>
        <xdr:nvSpPr>
          <xdr:cNvPr id="168" name="6"/>
          <xdr:cNvSpPr txBox="1"/>
        </xdr:nvSpPr>
        <xdr:spPr>
          <a:xfrm>
            <a:off x="116352" y="56902"/>
            <a:ext cx="220479" cy="319443"/>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203B7D"/>
                </a:solidFill>
                <a:uFillTx/>
                <a:latin typeface="Calibri"/>
                <a:ea typeface="Calibri"/>
                <a:cs typeface="Calibri"/>
                <a:sym typeface="Calibri"/>
              </a:defRPr>
            </a:pPr>
            <a:r>
              <a:rPr b="0" baseline="0" cap="none" i="0" spc="0" strike="noStrike" sz="2600" u="none">
                <a:solidFill>
                  <a:srgbClr val="203B7D"/>
                </a:solidFill>
                <a:uFillTx/>
                <a:latin typeface="Calibri"/>
                <a:ea typeface="Calibri"/>
                <a:cs typeface="Calibri"/>
                <a:sym typeface="Calibri"/>
              </a:rPr>
              <a:t>6</a:t>
            </a:r>
          </a:p>
        </xdr:txBody>
      </xdr:sp>
    </xdr:grpSp>
    <xdr:clientData/>
  </xdr:twoCellAnchor>
  <xdr:twoCellAnchor>
    <xdr:from>
      <xdr:col>9</xdr:col>
      <xdr:colOff>10636</xdr:colOff>
      <xdr:row>96</xdr:row>
      <xdr:rowOff>1506841</xdr:rowOff>
    </xdr:from>
    <xdr:to>
      <xdr:col>9</xdr:col>
      <xdr:colOff>4532585</xdr:colOff>
      <xdr:row>126</xdr:row>
      <xdr:rowOff>39926</xdr:rowOff>
    </xdr:to>
    <xdr:sp>
      <xdr:nvSpPr>
        <xdr:cNvPr id="170" name="ZoneTexte 1"/>
        <xdr:cNvSpPr/>
      </xdr:nvSpPr>
      <xdr:spPr>
        <a:xfrm>
          <a:off x="7630636" y="56294641"/>
          <a:ext cx="4521950" cy="201352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10953</xdr:colOff>
      <xdr:row>96</xdr:row>
      <xdr:rowOff>1506841</xdr:rowOff>
    </xdr:from>
    <xdr:to>
      <xdr:col>9</xdr:col>
      <xdr:colOff>4532903</xdr:colOff>
      <xdr:row>123</xdr:row>
      <xdr:rowOff>177044</xdr:rowOff>
    </xdr:to>
    <xdr:sp>
      <xdr:nvSpPr>
        <xdr:cNvPr id="171" name="ZoneTexte 1"/>
        <xdr:cNvSpPr/>
      </xdr:nvSpPr>
      <xdr:spPr>
        <a:xfrm>
          <a:off x="7630953" y="56294641"/>
          <a:ext cx="4521950" cy="1601999"/>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96</xdr:row>
      <xdr:rowOff>1506841</xdr:rowOff>
    </xdr:from>
    <xdr:to>
      <xdr:col>9</xdr:col>
      <xdr:colOff>4503756</xdr:colOff>
      <xdr:row>124</xdr:row>
      <xdr:rowOff>20941</xdr:rowOff>
    </xdr:to>
    <xdr:sp>
      <xdr:nvSpPr>
        <xdr:cNvPr id="172" name="ZoneTexte 1"/>
        <xdr:cNvSpPr/>
      </xdr:nvSpPr>
      <xdr:spPr>
        <a:xfrm>
          <a:off x="7648574" y="56294641"/>
          <a:ext cx="4475183" cy="162877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96</xdr:row>
      <xdr:rowOff>1506841</xdr:rowOff>
    </xdr:from>
    <xdr:to>
      <xdr:col>9</xdr:col>
      <xdr:colOff>4451453</xdr:colOff>
      <xdr:row>123</xdr:row>
      <xdr:rowOff>169528</xdr:rowOff>
    </xdr:to>
    <xdr:sp>
      <xdr:nvSpPr>
        <xdr:cNvPr id="173" name="ZoneTexte 1"/>
        <xdr:cNvSpPr/>
      </xdr:nvSpPr>
      <xdr:spPr>
        <a:xfrm>
          <a:off x="7648574" y="56294641"/>
          <a:ext cx="4422880" cy="159448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96</xdr:row>
      <xdr:rowOff>1506841</xdr:rowOff>
    </xdr:from>
    <xdr:to>
      <xdr:col>9</xdr:col>
      <xdr:colOff>4503756</xdr:colOff>
      <xdr:row>124</xdr:row>
      <xdr:rowOff>28122</xdr:rowOff>
    </xdr:to>
    <xdr:sp>
      <xdr:nvSpPr>
        <xdr:cNvPr id="174" name="ZoneTexte 1"/>
        <xdr:cNvSpPr/>
      </xdr:nvSpPr>
      <xdr:spPr>
        <a:xfrm>
          <a:off x="7648574" y="56294641"/>
          <a:ext cx="4475183" cy="1635957"/>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10636</xdr:colOff>
      <xdr:row>96</xdr:row>
      <xdr:rowOff>1506841</xdr:rowOff>
    </xdr:from>
    <xdr:to>
      <xdr:col>9</xdr:col>
      <xdr:colOff>4532585</xdr:colOff>
      <xdr:row>126</xdr:row>
      <xdr:rowOff>39926</xdr:rowOff>
    </xdr:to>
    <xdr:sp>
      <xdr:nvSpPr>
        <xdr:cNvPr id="175" name="ZoneTexte 1"/>
        <xdr:cNvSpPr/>
      </xdr:nvSpPr>
      <xdr:spPr>
        <a:xfrm>
          <a:off x="7630636" y="56294641"/>
          <a:ext cx="4521950" cy="201352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10953</xdr:colOff>
      <xdr:row>96</xdr:row>
      <xdr:rowOff>1506841</xdr:rowOff>
    </xdr:from>
    <xdr:to>
      <xdr:col>9</xdr:col>
      <xdr:colOff>4532903</xdr:colOff>
      <xdr:row>123</xdr:row>
      <xdr:rowOff>177044</xdr:rowOff>
    </xdr:to>
    <xdr:sp>
      <xdr:nvSpPr>
        <xdr:cNvPr id="176" name="ZoneTexte 1"/>
        <xdr:cNvSpPr/>
      </xdr:nvSpPr>
      <xdr:spPr>
        <a:xfrm>
          <a:off x="7630953" y="56294641"/>
          <a:ext cx="4521950" cy="1601999"/>
        </a:xfrm>
        <a:prstGeom prst="rect">
          <a:avLst/>
        </a:prstGeom>
        <a:solidFill>
          <a:srgbClr val="FFFFFF"/>
        </a:solidFill>
        <a:ln w="12700" cap="flat">
          <a:noFill/>
          <a:miter lim="400000"/>
        </a:ln>
        <a:effectLst/>
      </xdr:spPr>
      <xdr:txBody>
        <a:bodyPr/>
        <a:lstStyle/>
        <a:p>
          <a:pPr/>
        </a:p>
      </xdr:txBody>
    </xdr:sp>
    <xdr:clientData/>
  </xdr:twoCellAnchor>
  <xdr:twoCellAnchor>
    <xdr:from>
      <xdr:col>5</xdr:col>
      <xdr:colOff>9180</xdr:colOff>
      <xdr:row>96</xdr:row>
      <xdr:rowOff>1506841</xdr:rowOff>
    </xdr:from>
    <xdr:to>
      <xdr:col>5</xdr:col>
      <xdr:colOff>462365</xdr:colOff>
      <xdr:row>117</xdr:row>
      <xdr:rowOff>105578</xdr:rowOff>
    </xdr:to>
    <xdr:grpSp>
      <xdr:nvGrpSpPr>
        <xdr:cNvPr id="179" name="Ellipse 240912"/>
        <xdr:cNvGrpSpPr/>
      </xdr:nvGrpSpPr>
      <xdr:grpSpPr>
        <a:xfrm>
          <a:off x="529880" y="56294641"/>
          <a:ext cx="453185" cy="433253"/>
          <a:chOff x="0" y="0"/>
          <a:chExt cx="453184" cy="433251"/>
        </a:xfrm>
      </xdr:grpSpPr>
      <xdr:sp>
        <xdr:nvSpPr>
          <xdr:cNvPr id="177" name="Ovale"/>
          <xdr:cNvSpPr/>
        </xdr:nvSpPr>
        <xdr:spPr>
          <a:xfrm>
            <a:off x="-1" y="0"/>
            <a:ext cx="453186" cy="433252"/>
          </a:xfrm>
          <a:prstGeom prst="ellipse">
            <a:avLst/>
          </a:prstGeom>
          <a:noFill/>
          <a:ln w="28575" cap="flat">
            <a:solidFill>
              <a:srgbClr val="203B7D"/>
            </a:solidFill>
            <a:prstDash val="solid"/>
            <a:miter lim="800000"/>
          </a:ln>
          <a:effectLst/>
        </xdr:spPr>
        <xdr:txBody>
          <a:bodyPr/>
          <a:lstStyle/>
          <a:p>
            <a:pPr/>
          </a:p>
        </xdr:txBody>
      </xdr:sp>
      <xdr:sp>
        <xdr:nvSpPr>
          <xdr:cNvPr id="178" name="7"/>
          <xdr:cNvSpPr txBox="1"/>
        </xdr:nvSpPr>
        <xdr:spPr>
          <a:xfrm>
            <a:off x="116352" y="56901"/>
            <a:ext cx="220479" cy="319449"/>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203B7D"/>
                </a:solidFill>
                <a:uFillTx/>
                <a:latin typeface="Calibri"/>
                <a:ea typeface="Calibri"/>
                <a:cs typeface="Calibri"/>
                <a:sym typeface="Calibri"/>
              </a:defRPr>
            </a:pPr>
            <a:r>
              <a:rPr b="0" baseline="0" cap="none" i="0" spc="0" strike="noStrike" sz="2600" u="none">
                <a:solidFill>
                  <a:srgbClr val="203B7D"/>
                </a:solidFill>
                <a:uFillTx/>
                <a:latin typeface="Calibri"/>
                <a:ea typeface="Calibri"/>
                <a:cs typeface="Calibri"/>
                <a:sym typeface="Calibri"/>
              </a:rPr>
              <a:t>7</a:t>
            </a:r>
          </a:p>
        </xdr:txBody>
      </xdr:sp>
    </xdr:grpSp>
    <xdr:clientData/>
  </xdr:twoCellAnchor>
</xdr:wsDr>
</file>

<file path=xl/drawings/drawing8.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6</xdr:col>
      <xdr:colOff>1022805</xdr:colOff>
      <xdr:row>21</xdr:row>
      <xdr:rowOff>75871</xdr:rowOff>
    </xdr:from>
    <xdr:to>
      <xdr:col>6</xdr:col>
      <xdr:colOff>4086680</xdr:colOff>
      <xdr:row>22</xdr:row>
      <xdr:rowOff>108856</xdr:rowOff>
    </xdr:to>
    <xdr:grpSp>
      <xdr:nvGrpSpPr>
        <xdr:cNvPr id="183" name="Rectangle : coins arrondis 1"/>
        <xdr:cNvGrpSpPr/>
      </xdr:nvGrpSpPr>
      <xdr:grpSpPr>
        <a:xfrm>
          <a:off x="3854905" y="8846491"/>
          <a:ext cx="3063876" cy="673066"/>
          <a:chOff x="0" y="0"/>
          <a:chExt cx="3063875" cy="673065"/>
        </a:xfrm>
      </xdr:grpSpPr>
      <xdr:sp>
        <xdr:nvSpPr>
          <xdr:cNvPr id="181" name="Rectangle aux angles arrondis"/>
          <xdr:cNvSpPr/>
        </xdr:nvSpPr>
        <xdr:spPr>
          <a:xfrm>
            <a:off x="0" y="0"/>
            <a:ext cx="3063875" cy="673066"/>
          </a:xfrm>
          <a:prstGeom prst="roundRect">
            <a:avLst>
              <a:gd name="adj" fmla="val 16667"/>
            </a:avLst>
          </a:prstGeom>
          <a:solidFill>
            <a:srgbClr val="DEEBF7"/>
          </a:solidFill>
          <a:ln w="28575" cap="flat">
            <a:solidFill>
              <a:srgbClr val="C00000"/>
            </a:solidFill>
            <a:prstDash val="solid"/>
            <a:miter lim="800000"/>
          </a:ln>
          <a:effectLst>
            <a:outerShdw sx="100000" sy="100000" kx="0" ky="0" algn="b" rotWithShape="0" blurRad="63500" dist="0" dir="0">
              <a:srgbClr val="000000">
                <a:alpha val="40000"/>
              </a:srgbClr>
            </a:outerShdw>
          </a:effectLst>
        </xdr:spPr>
        <xdr:txBody>
          <a:bodyPr/>
          <a:lstStyle/>
          <a:p>
            <a:pPr/>
          </a:p>
        </xdr:txBody>
      </xdr:sp>
      <xdr:sp>
        <xdr:nvSpPr>
          <xdr:cNvPr id="182" name="Calculer la maturité"/>
          <xdr:cNvSpPr txBox="1"/>
        </xdr:nvSpPr>
        <xdr:spPr>
          <a:xfrm>
            <a:off x="73813" y="3735"/>
            <a:ext cx="2916249" cy="665595"/>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1" baseline="0" cap="none" i="0" spc="0" strike="noStrike" sz="1800" u="none">
                <a:solidFill>
                  <a:srgbClr val="C00000"/>
                </a:solidFill>
                <a:uFillTx/>
                <a:latin typeface="Aptos Light"/>
                <a:ea typeface="Aptos Light"/>
                <a:cs typeface="Aptos Light"/>
                <a:sym typeface="Aptos Light"/>
              </a:defRPr>
            </a:pPr>
            <a:r>
              <a:rPr b="1" baseline="0" cap="none" i="0" spc="0" strike="noStrike" sz="1800" u="none">
                <a:solidFill>
                  <a:srgbClr val="C00000"/>
                </a:solidFill>
                <a:uFillTx/>
                <a:latin typeface="Aptos Light"/>
                <a:ea typeface="Aptos Light"/>
                <a:cs typeface="Aptos Light"/>
                <a:sym typeface="Aptos Light"/>
              </a:rPr>
              <a:t>Calculer la maturité</a:t>
            </a:r>
          </a:p>
        </xdr:txBody>
      </xdr:sp>
    </xdr:grpSp>
    <xdr:clientData/>
  </xdr:twoCellAnchor>
</xdr:wsDr>
</file>

<file path=xl/drawings/drawing9.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9</xdr:col>
      <xdr:colOff>28574</xdr:colOff>
      <xdr:row>11</xdr:row>
      <xdr:rowOff>22859</xdr:rowOff>
    </xdr:from>
    <xdr:to>
      <xdr:col>9</xdr:col>
      <xdr:colOff>4500553</xdr:colOff>
      <xdr:row>11</xdr:row>
      <xdr:rowOff>1651634</xdr:rowOff>
    </xdr:to>
    <xdr:sp>
      <xdr:nvSpPr>
        <xdr:cNvPr id="185" name="ZoneTexte 1"/>
        <xdr:cNvSpPr/>
      </xdr:nvSpPr>
      <xdr:spPr>
        <a:xfrm>
          <a:off x="7991474" y="3398519"/>
          <a:ext cx="4471980" cy="162877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12</xdr:row>
      <xdr:rowOff>57149</xdr:rowOff>
    </xdr:from>
    <xdr:to>
      <xdr:col>9</xdr:col>
      <xdr:colOff>4529666</xdr:colOff>
      <xdr:row>12</xdr:row>
      <xdr:rowOff>1973579</xdr:rowOff>
    </xdr:to>
    <xdr:sp>
      <xdr:nvSpPr>
        <xdr:cNvPr id="186" name="ZoneTexte 1"/>
        <xdr:cNvSpPr/>
      </xdr:nvSpPr>
      <xdr:spPr>
        <a:xfrm>
          <a:off x="7991474" y="5084444"/>
          <a:ext cx="4501093" cy="191643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13</xdr:row>
      <xdr:rowOff>15674</xdr:rowOff>
    </xdr:from>
    <xdr:to>
      <xdr:col>9</xdr:col>
      <xdr:colOff>4500553</xdr:colOff>
      <xdr:row>13</xdr:row>
      <xdr:rowOff>1645919</xdr:rowOff>
    </xdr:to>
    <xdr:sp>
      <xdr:nvSpPr>
        <xdr:cNvPr id="187" name="ZoneTexte 1"/>
        <xdr:cNvSpPr/>
      </xdr:nvSpPr>
      <xdr:spPr>
        <a:xfrm>
          <a:off x="7991474" y="7016549"/>
          <a:ext cx="4471980" cy="163024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10635</xdr:colOff>
      <xdr:row>14</xdr:row>
      <xdr:rowOff>22858</xdr:rowOff>
    </xdr:from>
    <xdr:to>
      <xdr:col>9</xdr:col>
      <xdr:colOff>4529350</xdr:colOff>
      <xdr:row>15</xdr:row>
      <xdr:rowOff>230291</xdr:rowOff>
    </xdr:to>
    <xdr:sp>
      <xdr:nvSpPr>
        <xdr:cNvPr id="188" name="ZoneTexte 1"/>
        <xdr:cNvSpPr/>
      </xdr:nvSpPr>
      <xdr:spPr>
        <a:xfrm>
          <a:off x="7973535" y="8669653"/>
          <a:ext cx="4518715" cy="2051474"/>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10952</xdr:colOff>
      <xdr:row>15</xdr:row>
      <xdr:rowOff>19738</xdr:rowOff>
    </xdr:from>
    <xdr:to>
      <xdr:col>9</xdr:col>
      <xdr:colOff>4529667</xdr:colOff>
      <xdr:row>15</xdr:row>
      <xdr:rowOff>1621737</xdr:rowOff>
    </xdr:to>
    <xdr:sp>
      <xdr:nvSpPr>
        <xdr:cNvPr id="189" name="ZoneTexte 1"/>
        <xdr:cNvSpPr/>
      </xdr:nvSpPr>
      <xdr:spPr>
        <a:xfrm>
          <a:off x="7973852" y="10510573"/>
          <a:ext cx="4518715" cy="1602000"/>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10952</xdr:colOff>
      <xdr:row>16</xdr:row>
      <xdr:rowOff>38467</xdr:rowOff>
    </xdr:from>
    <xdr:to>
      <xdr:col>9</xdr:col>
      <xdr:colOff>4529667</xdr:colOff>
      <xdr:row>16</xdr:row>
      <xdr:rowOff>1640467</xdr:rowOff>
    </xdr:to>
    <xdr:sp>
      <xdr:nvSpPr>
        <xdr:cNvPr id="190" name="ZoneTexte 1"/>
        <xdr:cNvSpPr/>
      </xdr:nvSpPr>
      <xdr:spPr>
        <a:xfrm>
          <a:off x="7973852" y="12180937"/>
          <a:ext cx="4518715" cy="160200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15715</xdr:colOff>
      <xdr:row>17</xdr:row>
      <xdr:rowOff>12059</xdr:rowOff>
    </xdr:from>
    <xdr:to>
      <xdr:col>9</xdr:col>
      <xdr:colOff>4534430</xdr:colOff>
      <xdr:row>17</xdr:row>
      <xdr:rowOff>1614058</xdr:rowOff>
    </xdr:to>
    <xdr:sp>
      <xdr:nvSpPr>
        <xdr:cNvPr id="191" name="ZoneTexte 1"/>
        <xdr:cNvSpPr/>
      </xdr:nvSpPr>
      <xdr:spPr>
        <a:xfrm>
          <a:off x="7978615" y="14021429"/>
          <a:ext cx="4518716" cy="1602000"/>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26</xdr:row>
      <xdr:rowOff>182882</xdr:rowOff>
    </xdr:from>
    <xdr:to>
      <xdr:col>9</xdr:col>
      <xdr:colOff>4519448</xdr:colOff>
      <xdr:row>27</xdr:row>
      <xdr:rowOff>1621157</xdr:rowOff>
    </xdr:to>
    <xdr:sp>
      <xdr:nvSpPr>
        <xdr:cNvPr id="192" name="ZoneTexte 1"/>
        <xdr:cNvSpPr/>
      </xdr:nvSpPr>
      <xdr:spPr>
        <a:xfrm>
          <a:off x="7991474" y="17847947"/>
          <a:ext cx="4490875" cy="162877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28</xdr:row>
      <xdr:rowOff>26672</xdr:rowOff>
    </xdr:from>
    <xdr:to>
      <xdr:col>9</xdr:col>
      <xdr:colOff>4466961</xdr:colOff>
      <xdr:row>28</xdr:row>
      <xdr:rowOff>1621157</xdr:rowOff>
    </xdr:to>
    <xdr:sp>
      <xdr:nvSpPr>
        <xdr:cNvPr id="193" name="ZoneTexte 1"/>
        <xdr:cNvSpPr/>
      </xdr:nvSpPr>
      <xdr:spPr>
        <a:xfrm>
          <a:off x="7991474" y="19533872"/>
          <a:ext cx="4438388" cy="159448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28</xdr:row>
      <xdr:rowOff>1636833</xdr:rowOff>
    </xdr:from>
    <xdr:to>
      <xdr:col>9</xdr:col>
      <xdr:colOff>4519448</xdr:colOff>
      <xdr:row>29</xdr:row>
      <xdr:rowOff>1621158</xdr:rowOff>
    </xdr:to>
    <xdr:sp>
      <xdr:nvSpPr>
        <xdr:cNvPr id="194" name="ZoneTexte 1"/>
        <xdr:cNvSpPr/>
      </xdr:nvSpPr>
      <xdr:spPr>
        <a:xfrm>
          <a:off x="7991474" y="21144033"/>
          <a:ext cx="4490875" cy="163596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10635</xdr:colOff>
      <xdr:row>29</xdr:row>
      <xdr:rowOff>1644019</xdr:rowOff>
    </xdr:from>
    <xdr:to>
      <xdr:col>9</xdr:col>
      <xdr:colOff>4548441</xdr:colOff>
      <xdr:row>30</xdr:row>
      <xdr:rowOff>2288591</xdr:rowOff>
    </xdr:to>
    <xdr:sp>
      <xdr:nvSpPr>
        <xdr:cNvPr id="195" name="ZoneTexte 1"/>
        <xdr:cNvSpPr/>
      </xdr:nvSpPr>
      <xdr:spPr>
        <a:xfrm>
          <a:off x="7973535" y="22802854"/>
          <a:ext cx="4537807" cy="2296208"/>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10952</xdr:colOff>
      <xdr:row>30</xdr:row>
      <xdr:rowOff>2305742</xdr:rowOff>
    </xdr:from>
    <xdr:to>
      <xdr:col>9</xdr:col>
      <xdr:colOff>4548759</xdr:colOff>
      <xdr:row>31</xdr:row>
      <xdr:rowOff>1591263</xdr:rowOff>
    </xdr:to>
    <xdr:sp>
      <xdr:nvSpPr>
        <xdr:cNvPr id="196" name="ZoneTexte 1"/>
        <xdr:cNvSpPr/>
      </xdr:nvSpPr>
      <xdr:spPr>
        <a:xfrm>
          <a:off x="7973852" y="25116212"/>
          <a:ext cx="4537807" cy="1602002"/>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10952</xdr:colOff>
      <xdr:row>32</xdr:row>
      <xdr:rowOff>7993</xdr:rowOff>
    </xdr:from>
    <xdr:to>
      <xdr:col>9</xdr:col>
      <xdr:colOff>4548759</xdr:colOff>
      <xdr:row>32</xdr:row>
      <xdr:rowOff>1609992</xdr:rowOff>
    </xdr:to>
    <xdr:sp>
      <xdr:nvSpPr>
        <xdr:cNvPr id="197" name="ZoneTexte 1"/>
        <xdr:cNvSpPr/>
      </xdr:nvSpPr>
      <xdr:spPr>
        <a:xfrm>
          <a:off x="7973852" y="26786578"/>
          <a:ext cx="4537807" cy="1601999"/>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15716</xdr:colOff>
      <xdr:row>32</xdr:row>
      <xdr:rowOff>1633221</xdr:rowOff>
    </xdr:from>
    <xdr:to>
      <xdr:col>9</xdr:col>
      <xdr:colOff>4553522</xdr:colOff>
      <xdr:row>33</xdr:row>
      <xdr:rowOff>1583584</xdr:rowOff>
    </xdr:to>
    <xdr:sp>
      <xdr:nvSpPr>
        <xdr:cNvPr id="198" name="ZoneTexte 1"/>
        <xdr:cNvSpPr/>
      </xdr:nvSpPr>
      <xdr:spPr>
        <a:xfrm>
          <a:off x="7978616" y="28411806"/>
          <a:ext cx="4537807" cy="1601999"/>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42</xdr:row>
      <xdr:rowOff>152402</xdr:rowOff>
    </xdr:from>
    <xdr:to>
      <xdr:col>9</xdr:col>
      <xdr:colOff>2636519</xdr:colOff>
      <xdr:row>43</xdr:row>
      <xdr:rowOff>1590677</xdr:rowOff>
    </xdr:to>
    <xdr:sp>
      <xdr:nvSpPr>
        <xdr:cNvPr id="199" name="ZoneTexte 1"/>
        <xdr:cNvSpPr/>
      </xdr:nvSpPr>
      <xdr:spPr>
        <a:xfrm>
          <a:off x="7991474" y="32238317"/>
          <a:ext cx="2607946" cy="162877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42</xdr:row>
      <xdr:rowOff>152402</xdr:rowOff>
    </xdr:from>
    <xdr:to>
      <xdr:col>9</xdr:col>
      <xdr:colOff>4542761</xdr:colOff>
      <xdr:row>43</xdr:row>
      <xdr:rowOff>1590677</xdr:rowOff>
    </xdr:to>
    <xdr:sp>
      <xdr:nvSpPr>
        <xdr:cNvPr id="200" name="ZoneTexte 1"/>
        <xdr:cNvSpPr/>
      </xdr:nvSpPr>
      <xdr:spPr>
        <a:xfrm>
          <a:off x="7991474" y="32238317"/>
          <a:ext cx="4514188" cy="162877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43</xdr:row>
      <xdr:rowOff>1647827</xdr:rowOff>
    </xdr:from>
    <xdr:to>
      <xdr:col>9</xdr:col>
      <xdr:colOff>4490003</xdr:colOff>
      <xdr:row>44</xdr:row>
      <xdr:rowOff>1844042</xdr:rowOff>
    </xdr:to>
    <xdr:sp>
      <xdr:nvSpPr>
        <xdr:cNvPr id="201" name="ZoneTexte 1"/>
        <xdr:cNvSpPr/>
      </xdr:nvSpPr>
      <xdr:spPr>
        <a:xfrm>
          <a:off x="7991474" y="33924242"/>
          <a:ext cx="4461430" cy="184785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44</xdr:row>
      <xdr:rowOff>1859716</xdr:rowOff>
    </xdr:from>
    <xdr:to>
      <xdr:col>9</xdr:col>
      <xdr:colOff>4542761</xdr:colOff>
      <xdr:row>45</xdr:row>
      <xdr:rowOff>1590677</xdr:rowOff>
    </xdr:to>
    <xdr:sp>
      <xdr:nvSpPr>
        <xdr:cNvPr id="202" name="ZoneTexte 1"/>
        <xdr:cNvSpPr/>
      </xdr:nvSpPr>
      <xdr:spPr>
        <a:xfrm>
          <a:off x="7991474" y="35787765"/>
          <a:ext cx="4514188" cy="163596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10635</xdr:colOff>
      <xdr:row>45</xdr:row>
      <xdr:rowOff>1590678</xdr:rowOff>
    </xdr:from>
    <xdr:to>
      <xdr:col>9</xdr:col>
      <xdr:colOff>4572000</xdr:colOff>
      <xdr:row>56</xdr:row>
      <xdr:rowOff>45725</xdr:rowOff>
    </xdr:to>
    <xdr:sp>
      <xdr:nvSpPr>
        <xdr:cNvPr id="203" name="ZoneTexte 1"/>
        <xdr:cNvSpPr/>
      </xdr:nvSpPr>
      <xdr:spPr>
        <a:xfrm>
          <a:off x="7973535" y="37423728"/>
          <a:ext cx="4561365" cy="150114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58</xdr:row>
      <xdr:rowOff>121919</xdr:rowOff>
    </xdr:from>
    <xdr:to>
      <xdr:col>9</xdr:col>
      <xdr:colOff>4545724</xdr:colOff>
      <xdr:row>59</xdr:row>
      <xdr:rowOff>1560194</xdr:rowOff>
    </xdr:to>
    <xdr:sp>
      <xdr:nvSpPr>
        <xdr:cNvPr id="204" name="ZoneTexte 1"/>
        <xdr:cNvSpPr/>
      </xdr:nvSpPr>
      <xdr:spPr>
        <a:xfrm>
          <a:off x="7991474" y="39610664"/>
          <a:ext cx="4517151" cy="162877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59</xdr:row>
      <xdr:rowOff>1617344</xdr:rowOff>
    </xdr:from>
    <xdr:to>
      <xdr:col>9</xdr:col>
      <xdr:colOff>4492930</xdr:colOff>
      <xdr:row>60</xdr:row>
      <xdr:rowOff>1560194</xdr:rowOff>
    </xdr:to>
    <xdr:sp>
      <xdr:nvSpPr>
        <xdr:cNvPr id="205" name="ZoneTexte 1"/>
        <xdr:cNvSpPr/>
      </xdr:nvSpPr>
      <xdr:spPr>
        <a:xfrm>
          <a:off x="7991474" y="41296589"/>
          <a:ext cx="4464357" cy="159448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60</xdr:row>
      <xdr:rowOff>1575868</xdr:rowOff>
    </xdr:from>
    <xdr:to>
      <xdr:col>9</xdr:col>
      <xdr:colOff>4545724</xdr:colOff>
      <xdr:row>61</xdr:row>
      <xdr:rowOff>1560195</xdr:rowOff>
    </xdr:to>
    <xdr:sp>
      <xdr:nvSpPr>
        <xdr:cNvPr id="206" name="ZoneTexte 1"/>
        <xdr:cNvSpPr/>
      </xdr:nvSpPr>
      <xdr:spPr>
        <a:xfrm>
          <a:off x="7991474" y="42906748"/>
          <a:ext cx="4517151" cy="163596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10634</xdr:colOff>
      <xdr:row>61</xdr:row>
      <xdr:rowOff>1583053</xdr:rowOff>
    </xdr:from>
    <xdr:to>
      <xdr:col>9</xdr:col>
      <xdr:colOff>4574992</xdr:colOff>
      <xdr:row>63</xdr:row>
      <xdr:rowOff>267026</xdr:rowOff>
    </xdr:to>
    <xdr:sp>
      <xdr:nvSpPr>
        <xdr:cNvPr id="207" name="ZoneTexte 1"/>
        <xdr:cNvSpPr/>
      </xdr:nvSpPr>
      <xdr:spPr>
        <a:xfrm>
          <a:off x="7973534" y="44565568"/>
          <a:ext cx="4564359" cy="1987244"/>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10952</xdr:colOff>
      <xdr:row>62</xdr:row>
      <xdr:rowOff>1579934</xdr:rowOff>
    </xdr:from>
    <xdr:to>
      <xdr:col>9</xdr:col>
      <xdr:colOff>4575309</xdr:colOff>
      <xdr:row>63</xdr:row>
      <xdr:rowOff>1530300</xdr:rowOff>
    </xdr:to>
    <xdr:sp>
      <xdr:nvSpPr>
        <xdr:cNvPr id="208" name="ZoneTexte 1"/>
        <xdr:cNvSpPr/>
      </xdr:nvSpPr>
      <xdr:spPr>
        <a:xfrm>
          <a:off x="7973852" y="46214084"/>
          <a:ext cx="4564358" cy="1602002"/>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10952</xdr:colOff>
      <xdr:row>63</xdr:row>
      <xdr:rowOff>1598665</xdr:rowOff>
    </xdr:from>
    <xdr:to>
      <xdr:col>9</xdr:col>
      <xdr:colOff>4571998</xdr:colOff>
      <xdr:row>64</xdr:row>
      <xdr:rowOff>1549028</xdr:rowOff>
    </xdr:to>
    <xdr:sp>
      <xdr:nvSpPr>
        <xdr:cNvPr id="209" name="ZoneTexte 1"/>
        <xdr:cNvSpPr/>
      </xdr:nvSpPr>
      <xdr:spPr>
        <a:xfrm>
          <a:off x="7973852" y="47884450"/>
          <a:ext cx="4561047" cy="1601999"/>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76</xdr:row>
      <xdr:rowOff>91435</xdr:rowOff>
    </xdr:from>
    <xdr:to>
      <xdr:col>9</xdr:col>
      <xdr:colOff>4503756</xdr:colOff>
      <xdr:row>77</xdr:row>
      <xdr:rowOff>1529710</xdr:rowOff>
    </xdr:to>
    <xdr:sp>
      <xdr:nvSpPr>
        <xdr:cNvPr id="210" name="ZoneTexte 1"/>
        <xdr:cNvSpPr/>
      </xdr:nvSpPr>
      <xdr:spPr>
        <a:xfrm>
          <a:off x="7991474" y="52004590"/>
          <a:ext cx="4475183" cy="162877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77</xdr:row>
      <xdr:rowOff>1586860</xdr:rowOff>
    </xdr:from>
    <xdr:to>
      <xdr:col>9</xdr:col>
      <xdr:colOff>4451453</xdr:colOff>
      <xdr:row>78</xdr:row>
      <xdr:rowOff>1529707</xdr:rowOff>
    </xdr:to>
    <xdr:sp>
      <xdr:nvSpPr>
        <xdr:cNvPr id="211" name="ZoneTexte 1"/>
        <xdr:cNvSpPr/>
      </xdr:nvSpPr>
      <xdr:spPr>
        <a:xfrm>
          <a:off x="7991474" y="53690515"/>
          <a:ext cx="4422880" cy="159448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78</xdr:row>
      <xdr:rowOff>1545384</xdr:rowOff>
    </xdr:from>
    <xdr:to>
      <xdr:col>9</xdr:col>
      <xdr:colOff>4503756</xdr:colOff>
      <xdr:row>79</xdr:row>
      <xdr:rowOff>1529705</xdr:rowOff>
    </xdr:to>
    <xdr:sp>
      <xdr:nvSpPr>
        <xdr:cNvPr id="212" name="ZoneTexte 1"/>
        <xdr:cNvSpPr/>
      </xdr:nvSpPr>
      <xdr:spPr>
        <a:xfrm>
          <a:off x="7991474" y="55300674"/>
          <a:ext cx="4475183" cy="1635957"/>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10636</xdr:colOff>
      <xdr:row>79</xdr:row>
      <xdr:rowOff>1552562</xdr:rowOff>
    </xdr:from>
    <xdr:to>
      <xdr:col>9</xdr:col>
      <xdr:colOff>4532585</xdr:colOff>
      <xdr:row>80</xdr:row>
      <xdr:rowOff>1460683</xdr:rowOff>
    </xdr:to>
    <xdr:sp>
      <xdr:nvSpPr>
        <xdr:cNvPr id="213" name="ZoneTexte 1"/>
        <xdr:cNvSpPr/>
      </xdr:nvSpPr>
      <xdr:spPr>
        <a:xfrm>
          <a:off x="7973536" y="56959487"/>
          <a:ext cx="4521950" cy="1559757"/>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10953</xdr:colOff>
      <xdr:row>80</xdr:row>
      <xdr:rowOff>1549440</xdr:rowOff>
    </xdr:from>
    <xdr:to>
      <xdr:col>9</xdr:col>
      <xdr:colOff>4532903</xdr:colOff>
      <xdr:row>81</xdr:row>
      <xdr:rowOff>1499804</xdr:rowOff>
    </xdr:to>
    <xdr:sp>
      <xdr:nvSpPr>
        <xdr:cNvPr id="214" name="ZoneTexte 1"/>
        <xdr:cNvSpPr/>
      </xdr:nvSpPr>
      <xdr:spPr>
        <a:xfrm>
          <a:off x="7973853" y="58608000"/>
          <a:ext cx="4521950" cy="1601999"/>
        </a:xfrm>
        <a:prstGeom prst="rect">
          <a:avLst/>
        </a:prstGeom>
        <a:solidFill>
          <a:srgbClr val="FFFFFF"/>
        </a:solidFill>
        <a:ln w="12700" cap="flat">
          <a:noFill/>
          <a:miter lim="400000"/>
        </a:ln>
        <a:effectLst/>
      </xdr:spPr>
      <xdr:txBody>
        <a:bodyPr/>
        <a:lstStyle/>
        <a:p>
          <a:pPr/>
        </a:p>
      </xdr:txBody>
    </xdr:sp>
    <xdr:clientData/>
  </xdr:twoCellAnchor>
  <xdr:twoCellAnchor>
    <xdr:from>
      <xdr:col>5</xdr:col>
      <xdr:colOff>11781</xdr:colOff>
      <xdr:row>8</xdr:row>
      <xdr:rowOff>167760</xdr:rowOff>
    </xdr:from>
    <xdr:to>
      <xdr:col>5</xdr:col>
      <xdr:colOff>464966</xdr:colOff>
      <xdr:row>10</xdr:row>
      <xdr:rowOff>2896</xdr:rowOff>
    </xdr:to>
    <xdr:grpSp>
      <xdr:nvGrpSpPr>
        <xdr:cNvPr id="217" name="Ellipse 59"/>
        <xdr:cNvGrpSpPr/>
      </xdr:nvGrpSpPr>
      <xdr:grpSpPr>
        <a:xfrm>
          <a:off x="532481" y="2758560"/>
          <a:ext cx="453185" cy="437117"/>
          <a:chOff x="0" y="0"/>
          <a:chExt cx="453184" cy="437115"/>
        </a:xfrm>
      </xdr:grpSpPr>
      <xdr:sp>
        <xdr:nvSpPr>
          <xdr:cNvPr id="215" name="Ovale"/>
          <xdr:cNvSpPr/>
        </xdr:nvSpPr>
        <xdr:spPr>
          <a:xfrm>
            <a:off x="-1" y="0"/>
            <a:ext cx="453186" cy="437116"/>
          </a:xfrm>
          <a:prstGeom prst="ellipse">
            <a:avLst/>
          </a:prstGeom>
          <a:noFill/>
          <a:ln w="28575" cap="flat">
            <a:solidFill>
              <a:srgbClr val="203B7D"/>
            </a:solidFill>
            <a:prstDash val="solid"/>
            <a:miter lim="800000"/>
          </a:ln>
          <a:effectLst/>
        </xdr:spPr>
        <xdr:txBody>
          <a:bodyPr/>
          <a:lstStyle/>
          <a:p>
            <a:pPr/>
          </a:p>
        </xdr:txBody>
      </xdr:sp>
      <xdr:sp>
        <xdr:nvSpPr>
          <xdr:cNvPr id="216" name="1"/>
          <xdr:cNvSpPr txBox="1"/>
        </xdr:nvSpPr>
        <xdr:spPr>
          <a:xfrm>
            <a:off x="116352" y="57263"/>
            <a:ext cx="220479" cy="322590"/>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203864"/>
                </a:solidFill>
                <a:uFillTx/>
                <a:latin typeface="Calibri"/>
                <a:ea typeface="Calibri"/>
                <a:cs typeface="Calibri"/>
                <a:sym typeface="Calibri"/>
              </a:defRPr>
            </a:pPr>
            <a:r>
              <a:rPr b="0" baseline="0" cap="none" i="0" spc="0" strike="noStrike" sz="2600" u="none">
                <a:solidFill>
                  <a:srgbClr val="203864"/>
                </a:solidFill>
                <a:uFillTx/>
                <a:latin typeface="Calibri"/>
                <a:ea typeface="Calibri"/>
                <a:cs typeface="Calibri"/>
                <a:sym typeface="Calibri"/>
              </a:rPr>
              <a:t>1</a:t>
            </a:r>
          </a:p>
        </xdr:txBody>
      </xdr:sp>
    </xdr:grpSp>
    <xdr:clientData/>
  </xdr:twoCellAnchor>
  <xdr:twoCellAnchor>
    <xdr:from>
      <xdr:col>1</xdr:col>
      <xdr:colOff>304800</xdr:colOff>
      <xdr:row>24</xdr:row>
      <xdr:rowOff>153557</xdr:rowOff>
    </xdr:from>
    <xdr:to>
      <xdr:col>5</xdr:col>
      <xdr:colOff>453184</xdr:colOff>
      <xdr:row>25</xdr:row>
      <xdr:rowOff>396307</xdr:rowOff>
    </xdr:to>
    <xdr:grpSp>
      <xdr:nvGrpSpPr>
        <xdr:cNvPr id="220" name="Ellipse 60"/>
        <xdr:cNvGrpSpPr/>
      </xdr:nvGrpSpPr>
      <xdr:grpSpPr>
        <a:xfrm>
          <a:off x="520699" y="17209022"/>
          <a:ext cx="453186" cy="433251"/>
          <a:chOff x="0" y="0"/>
          <a:chExt cx="453184" cy="433250"/>
        </a:xfrm>
      </xdr:grpSpPr>
      <xdr:sp>
        <xdr:nvSpPr>
          <xdr:cNvPr id="218" name="Ovale"/>
          <xdr:cNvSpPr/>
        </xdr:nvSpPr>
        <xdr:spPr>
          <a:xfrm>
            <a:off x="-1" y="-1"/>
            <a:ext cx="453186" cy="433252"/>
          </a:xfrm>
          <a:prstGeom prst="ellipse">
            <a:avLst/>
          </a:prstGeom>
          <a:noFill/>
          <a:ln w="28575" cap="flat">
            <a:solidFill>
              <a:srgbClr val="203B7D"/>
            </a:solidFill>
            <a:prstDash val="solid"/>
            <a:miter lim="800000"/>
          </a:ln>
          <a:effectLst/>
        </xdr:spPr>
        <xdr:txBody>
          <a:bodyPr/>
          <a:lstStyle/>
          <a:p>
            <a:pPr/>
          </a:p>
        </xdr:txBody>
      </xdr:sp>
      <xdr:sp>
        <xdr:nvSpPr>
          <xdr:cNvPr id="219" name="2"/>
          <xdr:cNvSpPr txBox="1"/>
        </xdr:nvSpPr>
        <xdr:spPr>
          <a:xfrm>
            <a:off x="116352" y="56902"/>
            <a:ext cx="220479" cy="319445"/>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203B7D"/>
                </a:solidFill>
                <a:uFillTx/>
                <a:latin typeface="Calibri"/>
                <a:ea typeface="Calibri"/>
                <a:cs typeface="Calibri"/>
                <a:sym typeface="Calibri"/>
              </a:defRPr>
            </a:pPr>
            <a:r>
              <a:rPr b="0" baseline="0" cap="none" i="0" spc="0" strike="noStrike" sz="2600" u="none">
                <a:solidFill>
                  <a:srgbClr val="203B7D"/>
                </a:solidFill>
                <a:uFillTx/>
                <a:latin typeface="Calibri"/>
                <a:ea typeface="Calibri"/>
                <a:cs typeface="Calibri"/>
                <a:sym typeface="Calibri"/>
              </a:rPr>
              <a:t>2</a:t>
            </a:r>
          </a:p>
        </xdr:txBody>
      </xdr:sp>
    </xdr:grpSp>
    <xdr:clientData/>
  </xdr:twoCellAnchor>
  <xdr:twoCellAnchor>
    <xdr:from>
      <xdr:col>5</xdr:col>
      <xdr:colOff>18362</xdr:colOff>
      <xdr:row>40</xdr:row>
      <xdr:rowOff>119536</xdr:rowOff>
    </xdr:from>
    <xdr:to>
      <xdr:col>5</xdr:col>
      <xdr:colOff>471546</xdr:colOff>
      <xdr:row>41</xdr:row>
      <xdr:rowOff>362284</xdr:rowOff>
    </xdr:to>
    <xdr:grpSp>
      <xdr:nvGrpSpPr>
        <xdr:cNvPr id="223" name="Ellipse 61"/>
        <xdr:cNvGrpSpPr/>
      </xdr:nvGrpSpPr>
      <xdr:grpSpPr>
        <a:xfrm>
          <a:off x="539062" y="31595851"/>
          <a:ext cx="453185" cy="433249"/>
          <a:chOff x="0" y="0"/>
          <a:chExt cx="453184" cy="433248"/>
        </a:xfrm>
      </xdr:grpSpPr>
      <xdr:sp>
        <xdr:nvSpPr>
          <xdr:cNvPr id="221" name="Ovale"/>
          <xdr:cNvSpPr/>
        </xdr:nvSpPr>
        <xdr:spPr>
          <a:xfrm>
            <a:off x="-1" y="-1"/>
            <a:ext cx="453186" cy="433250"/>
          </a:xfrm>
          <a:prstGeom prst="ellipse">
            <a:avLst/>
          </a:prstGeom>
          <a:noFill/>
          <a:ln w="28575" cap="flat">
            <a:solidFill>
              <a:srgbClr val="203B7D"/>
            </a:solidFill>
            <a:prstDash val="solid"/>
            <a:miter lim="800000"/>
          </a:ln>
          <a:effectLst/>
        </xdr:spPr>
        <xdr:txBody>
          <a:bodyPr/>
          <a:lstStyle/>
          <a:p>
            <a:pPr/>
          </a:p>
        </xdr:txBody>
      </xdr:sp>
      <xdr:sp>
        <xdr:nvSpPr>
          <xdr:cNvPr id="222" name="3"/>
          <xdr:cNvSpPr txBox="1"/>
        </xdr:nvSpPr>
        <xdr:spPr>
          <a:xfrm>
            <a:off x="116352" y="56902"/>
            <a:ext cx="220479" cy="319443"/>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203B7D"/>
                </a:solidFill>
                <a:uFillTx/>
                <a:latin typeface="Calibri"/>
                <a:ea typeface="Calibri"/>
                <a:cs typeface="Calibri"/>
                <a:sym typeface="Calibri"/>
              </a:defRPr>
            </a:pPr>
            <a:r>
              <a:rPr b="0" baseline="0" cap="none" i="0" spc="0" strike="noStrike" sz="2600" u="none">
                <a:solidFill>
                  <a:srgbClr val="203B7D"/>
                </a:solidFill>
                <a:uFillTx/>
                <a:latin typeface="Calibri"/>
                <a:ea typeface="Calibri"/>
                <a:cs typeface="Calibri"/>
                <a:sym typeface="Calibri"/>
              </a:rPr>
              <a:t>3</a:t>
            </a:r>
          </a:p>
        </xdr:txBody>
      </xdr:sp>
    </xdr:grpSp>
    <xdr:clientData/>
  </xdr:twoCellAnchor>
  <xdr:twoCellAnchor>
    <xdr:from>
      <xdr:col>1</xdr:col>
      <xdr:colOff>304800</xdr:colOff>
      <xdr:row>56</xdr:row>
      <xdr:rowOff>89053</xdr:rowOff>
    </xdr:from>
    <xdr:to>
      <xdr:col>5</xdr:col>
      <xdr:colOff>453184</xdr:colOff>
      <xdr:row>57</xdr:row>
      <xdr:rowOff>331801</xdr:rowOff>
    </xdr:to>
    <xdr:grpSp>
      <xdr:nvGrpSpPr>
        <xdr:cNvPr id="226" name="Ellipse 62"/>
        <xdr:cNvGrpSpPr/>
      </xdr:nvGrpSpPr>
      <xdr:grpSpPr>
        <a:xfrm>
          <a:off x="520699" y="38968198"/>
          <a:ext cx="453186" cy="433249"/>
          <a:chOff x="0" y="0"/>
          <a:chExt cx="453184" cy="433248"/>
        </a:xfrm>
      </xdr:grpSpPr>
      <xdr:sp>
        <xdr:nvSpPr>
          <xdr:cNvPr id="224" name="Ovale"/>
          <xdr:cNvSpPr/>
        </xdr:nvSpPr>
        <xdr:spPr>
          <a:xfrm>
            <a:off x="-1" y="-1"/>
            <a:ext cx="453186" cy="433250"/>
          </a:xfrm>
          <a:prstGeom prst="ellipse">
            <a:avLst/>
          </a:prstGeom>
          <a:noFill/>
          <a:ln w="28575" cap="flat">
            <a:solidFill>
              <a:srgbClr val="203B7D"/>
            </a:solidFill>
            <a:prstDash val="solid"/>
            <a:miter lim="800000"/>
          </a:ln>
          <a:effectLst/>
        </xdr:spPr>
        <xdr:txBody>
          <a:bodyPr/>
          <a:lstStyle/>
          <a:p>
            <a:pPr/>
          </a:p>
        </xdr:txBody>
      </xdr:sp>
      <xdr:sp>
        <xdr:nvSpPr>
          <xdr:cNvPr id="225" name="4"/>
          <xdr:cNvSpPr txBox="1"/>
        </xdr:nvSpPr>
        <xdr:spPr>
          <a:xfrm>
            <a:off x="116352" y="56902"/>
            <a:ext cx="220479" cy="319443"/>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203B7D"/>
                </a:solidFill>
                <a:uFillTx/>
                <a:latin typeface="Calibri"/>
                <a:ea typeface="Calibri"/>
                <a:cs typeface="Calibri"/>
                <a:sym typeface="Calibri"/>
              </a:defRPr>
            </a:pPr>
            <a:r>
              <a:rPr b="0" baseline="0" cap="none" i="0" spc="0" strike="noStrike" sz="2600" u="none">
                <a:solidFill>
                  <a:srgbClr val="203B7D"/>
                </a:solidFill>
                <a:uFillTx/>
                <a:latin typeface="Calibri"/>
                <a:ea typeface="Calibri"/>
                <a:cs typeface="Calibri"/>
                <a:sym typeface="Calibri"/>
              </a:rPr>
              <a:t>4</a:t>
            </a:r>
          </a:p>
        </xdr:txBody>
      </xdr:sp>
    </xdr:grpSp>
    <xdr:clientData/>
  </xdr:twoCellAnchor>
  <xdr:twoCellAnchor>
    <xdr:from>
      <xdr:col>5</xdr:col>
      <xdr:colOff>9180</xdr:colOff>
      <xdr:row>74</xdr:row>
      <xdr:rowOff>58568</xdr:rowOff>
    </xdr:from>
    <xdr:to>
      <xdr:col>5</xdr:col>
      <xdr:colOff>462365</xdr:colOff>
      <xdr:row>75</xdr:row>
      <xdr:rowOff>301316</xdr:rowOff>
    </xdr:to>
    <xdr:grpSp>
      <xdr:nvGrpSpPr>
        <xdr:cNvPr id="229" name="Ellipse 241663"/>
        <xdr:cNvGrpSpPr/>
      </xdr:nvGrpSpPr>
      <xdr:grpSpPr>
        <a:xfrm>
          <a:off x="529880" y="51362123"/>
          <a:ext cx="453185" cy="433249"/>
          <a:chOff x="0" y="0"/>
          <a:chExt cx="453184" cy="433248"/>
        </a:xfrm>
      </xdr:grpSpPr>
      <xdr:sp>
        <xdr:nvSpPr>
          <xdr:cNvPr id="227" name="Ovale"/>
          <xdr:cNvSpPr/>
        </xdr:nvSpPr>
        <xdr:spPr>
          <a:xfrm>
            <a:off x="-1" y="-1"/>
            <a:ext cx="453186" cy="433250"/>
          </a:xfrm>
          <a:prstGeom prst="ellipse">
            <a:avLst/>
          </a:prstGeom>
          <a:noFill/>
          <a:ln w="28575" cap="flat">
            <a:solidFill>
              <a:srgbClr val="203B7D"/>
            </a:solidFill>
            <a:prstDash val="solid"/>
            <a:miter lim="800000"/>
          </a:ln>
          <a:effectLst/>
        </xdr:spPr>
        <xdr:txBody>
          <a:bodyPr/>
          <a:lstStyle/>
          <a:p>
            <a:pPr/>
          </a:p>
        </xdr:txBody>
      </xdr:sp>
      <xdr:sp>
        <xdr:nvSpPr>
          <xdr:cNvPr id="228" name="5"/>
          <xdr:cNvSpPr txBox="1"/>
        </xdr:nvSpPr>
        <xdr:spPr>
          <a:xfrm>
            <a:off x="116352" y="56902"/>
            <a:ext cx="220479" cy="319443"/>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203B7D"/>
                </a:solidFill>
                <a:uFillTx/>
                <a:latin typeface="Calibri"/>
                <a:ea typeface="Calibri"/>
                <a:cs typeface="Calibri"/>
                <a:sym typeface="Calibri"/>
              </a:defRPr>
            </a:pPr>
            <a:r>
              <a:rPr b="0" baseline="0" cap="none" i="0" spc="0" strike="noStrike" sz="2600" u="none">
                <a:solidFill>
                  <a:srgbClr val="203B7D"/>
                </a:solidFill>
                <a:uFillTx/>
                <a:latin typeface="Calibri"/>
                <a:ea typeface="Calibri"/>
                <a:cs typeface="Calibri"/>
                <a:sym typeface="Calibri"/>
              </a:rPr>
              <a:t>5</a:t>
            </a:r>
          </a:p>
        </xdr:txBody>
      </xdr:sp>
    </xdr:grpSp>
    <xdr:clientData/>
  </xdr:twoCellAnchor>
  <xdr:twoCellAnchor>
    <xdr:from>
      <xdr:col>9</xdr:col>
      <xdr:colOff>10634</xdr:colOff>
      <xdr:row>63</xdr:row>
      <xdr:rowOff>1583054</xdr:rowOff>
    </xdr:from>
    <xdr:to>
      <xdr:col>9</xdr:col>
      <xdr:colOff>4574992</xdr:colOff>
      <xdr:row>67</xdr:row>
      <xdr:rowOff>76527</xdr:rowOff>
    </xdr:to>
    <xdr:sp>
      <xdr:nvSpPr>
        <xdr:cNvPr id="230" name="ZoneTexte 1"/>
        <xdr:cNvSpPr/>
      </xdr:nvSpPr>
      <xdr:spPr>
        <a:xfrm>
          <a:off x="7973534" y="47868839"/>
          <a:ext cx="4564359" cy="1987244"/>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10952</xdr:colOff>
      <xdr:row>64</xdr:row>
      <xdr:rowOff>1560197</xdr:rowOff>
    </xdr:from>
    <xdr:to>
      <xdr:col>9</xdr:col>
      <xdr:colOff>4575309</xdr:colOff>
      <xdr:row>73</xdr:row>
      <xdr:rowOff>24660</xdr:rowOff>
    </xdr:to>
    <xdr:sp>
      <xdr:nvSpPr>
        <xdr:cNvPr id="231" name="ZoneTexte 1"/>
        <xdr:cNvSpPr/>
      </xdr:nvSpPr>
      <xdr:spPr>
        <a:xfrm>
          <a:off x="7973852" y="49497617"/>
          <a:ext cx="4564358" cy="1601999"/>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45</xdr:row>
      <xdr:rowOff>1590678</xdr:rowOff>
    </xdr:from>
    <xdr:to>
      <xdr:col>9</xdr:col>
      <xdr:colOff>4542761</xdr:colOff>
      <xdr:row>56</xdr:row>
      <xdr:rowOff>180545</xdr:rowOff>
    </xdr:to>
    <xdr:sp>
      <xdr:nvSpPr>
        <xdr:cNvPr id="232" name="ZoneTexte 1"/>
        <xdr:cNvSpPr/>
      </xdr:nvSpPr>
      <xdr:spPr>
        <a:xfrm>
          <a:off x="7991474" y="37423728"/>
          <a:ext cx="4514188" cy="163596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10635</xdr:colOff>
      <xdr:row>45</xdr:row>
      <xdr:rowOff>1590678</xdr:rowOff>
    </xdr:from>
    <xdr:to>
      <xdr:col>9</xdr:col>
      <xdr:colOff>4572000</xdr:colOff>
      <xdr:row>56</xdr:row>
      <xdr:rowOff>45725</xdr:rowOff>
    </xdr:to>
    <xdr:sp>
      <xdr:nvSpPr>
        <xdr:cNvPr id="233" name="ZoneTexte 1"/>
        <xdr:cNvSpPr/>
      </xdr:nvSpPr>
      <xdr:spPr>
        <a:xfrm>
          <a:off x="7973535" y="37423728"/>
          <a:ext cx="4561365" cy="150114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45</xdr:row>
      <xdr:rowOff>1590678</xdr:rowOff>
    </xdr:from>
    <xdr:to>
      <xdr:col>9</xdr:col>
      <xdr:colOff>4542761</xdr:colOff>
      <xdr:row>56</xdr:row>
      <xdr:rowOff>180545</xdr:rowOff>
    </xdr:to>
    <xdr:sp>
      <xdr:nvSpPr>
        <xdr:cNvPr id="234" name="ZoneTexte 1"/>
        <xdr:cNvSpPr/>
      </xdr:nvSpPr>
      <xdr:spPr>
        <a:xfrm>
          <a:off x="7991474" y="37423728"/>
          <a:ext cx="4514188" cy="163596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10636</xdr:colOff>
      <xdr:row>81</xdr:row>
      <xdr:rowOff>1529700</xdr:rowOff>
    </xdr:from>
    <xdr:to>
      <xdr:col>9</xdr:col>
      <xdr:colOff>4532585</xdr:colOff>
      <xdr:row>91</xdr:row>
      <xdr:rowOff>359965</xdr:rowOff>
    </xdr:to>
    <xdr:sp>
      <xdr:nvSpPr>
        <xdr:cNvPr id="235" name="ZoneTexte 1"/>
        <xdr:cNvSpPr/>
      </xdr:nvSpPr>
      <xdr:spPr>
        <a:xfrm>
          <a:off x="7973536" y="60239895"/>
          <a:ext cx="4521950" cy="201352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10953</xdr:colOff>
      <xdr:row>81</xdr:row>
      <xdr:rowOff>1529700</xdr:rowOff>
    </xdr:from>
    <xdr:to>
      <xdr:col>9</xdr:col>
      <xdr:colOff>4532903</xdr:colOff>
      <xdr:row>90</xdr:row>
      <xdr:rowOff>138943</xdr:rowOff>
    </xdr:to>
    <xdr:sp>
      <xdr:nvSpPr>
        <xdr:cNvPr id="236" name="ZoneTexte 1"/>
        <xdr:cNvSpPr/>
      </xdr:nvSpPr>
      <xdr:spPr>
        <a:xfrm>
          <a:off x="7973853" y="60239895"/>
          <a:ext cx="4521950" cy="1601999"/>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92</xdr:row>
      <xdr:rowOff>68553</xdr:rowOff>
    </xdr:from>
    <xdr:to>
      <xdr:col>9</xdr:col>
      <xdr:colOff>4503756</xdr:colOff>
      <xdr:row>93</xdr:row>
      <xdr:rowOff>1506829</xdr:rowOff>
    </xdr:to>
    <xdr:sp>
      <xdr:nvSpPr>
        <xdr:cNvPr id="237" name="ZoneTexte 1"/>
        <xdr:cNvSpPr/>
      </xdr:nvSpPr>
      <xdr:spPr>
        <a:xfrm>
          <a:off x="7991474" y="62381103"/>
          <a:ext cx="4475183" cy="162877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93</xdr:row>
      <xdr:rowOff>1563979</xdr:rowOff>
    </xdr:from>
    <xdr:to>
      <xdr:col>9</xdr:col>
      <xdr:colOff>4451453</xdr:colOff>
      <xdr:row>94</xdr:row>
      <xdr:rowOff>1729715</xdr:rowOff>
    </xdr:to>
    <xdr:sp>
      <xdr:nvSpPr>
        <xdr:cNvPr id="238" name="ZoneTexte 1"/>
        <xdr:cNvSpPr/>
      </xdr:nvSpPr>
      <xdr:spPr>
        <a:xfrm>
          <a:off x="7991474" y="64067028"/>
          <a:ext cx="4422880" cy="1817372"/>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94</xdr:row>
      <xdr:rowOff>1745391</xdr:rowOff>
    </xdr:from>
    <xdr:to>
      <xdr:col>9</xdr:col>
      <xdr:colOff>4503756</xdr:colOff>
      <xdr:row>95</xdr:row>
      <xdr:rowOff>1506827</xdr:rowOff>
    </xdr:to>
    <xdr:sp>
      <xdr:nvSpPr>
        <xdr:cNvPr id="239" name="ZoneTexte 1"/>
        <xdr:cNvSpPr/>
      </xdr:nvSpPr>
      <xdr:spPr>
        <a:xfrm>
          <a:off x="7991474" y="65900076"/>
          <a:ext cx="4475183" cy="1635957"/>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10636</xdr:colOff>
      <xdr:row>95</xdr:row>
      <xdr:rowOff>1529685</xdr:rowOff>
    </xdr:from>
    <xdr:to>
      <xdr:col>9</xdr:col>
      <xdr:colOff>4532585</xdr:colOff>
      <xdr:row>96</xdr:row>
      <xdr:rowOff>1449532</xdr:rowOff>
    </xdr:to>
    <xdr:sp>
      <xdr:nvSpPr>
        <xdr:cNvPr id="240" name="ZoneTexte 1"/>
        <xdr:cNvSpPr/>
      </xdr:nvSpPr>
      <xdr:spPr>
        <a:xfrm>
          <a:off x="7973536" y="67558890"/>
          <a:ext cx="4521950" cy="157148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10953</xdr:colOff>
      <xdr:row>96</xdr:row>
      <xdr:rowOff>1526563</xdr:rowOff>
    </xdr:from>
    <xdr:to>
      <xdr:col>9</xdr:col>
      <xdr:colOff>4532903</xdr:colOff>
      <xdr:row>97</xdr:row>
      <xdr:rowOff>1476926</xdr:rowOff>
    </xdr:to>
    <xdr:sp>
      <xdr:nvSpPr>
        <xdr:cNvPr id="241" name="ZoneTexte 1"/>
        <xdr:cNvSpPr/>
      </xdr:nvSpPr>
      <xdr:spPr>
        <a:xfrm>
          <a:off x="7973853" y="69207403"/>
          <a:ext cx="4521950" cy="1601999"/>
        </a:xfrm>
        <a:prstGeom prst="rect">
          <a:avLst/>
        </a:prstGeom>
        <a:solidFill>
          <a:srgbClr val="FFFFFF"/>
        </a:solidFill>
        <a:ln w="12700" cap="flat">
          <a:noFill/>
          <a:miter lim="400000"/>
        </a:ln>
        <a:effectLst/>
      </xdr:spPr>
      <xdr:txBody>
        <a:bodyPr/>
        <a:lstStyle/>
        <a:p>
          <a:pPr/>
        </a:p>
      </xdr:txBody>
    </xdr:sp>
    <xdr:clientData/>
  </xdr:twoCellAnchor>
  <xdr:twoCellAnchor>
    <xdr:from>
      <xdr:col>5</xdr:col>
      <xdr:colOff>9180</xdr:colOff>
      <xdr:row>90</xdr:row>
      <xdr:rowOff>35687</xdr:rowOff>
    </xdr:from>
    <xdr:to>
      <xdr:col>5</xdr:col>
      <xdr:colOff>462365</xdr:colOff>
      <xdr:row>91</xdr:row>
      <xdr:rowOff>278439</xdr:rowOff>
    </xdr:to>
    <xdr:grpSp>
      <xdr:nvGrpSpPr>
        <xdr:cNvPr id="244" name="Ellipse 241886"/>
        <xdr:cNvGrpSpPr/>
      </xdr:nvGrpSpPr>
      <xdr:grpSpPr>
        <a:xfrm>
          <a:off x="529880" y="61738637"/>
          <a:ext cx="453185" cy="433253"/>
          <a:chOff x="0" y="0"/>
          <a:chExt cx="453184" cy="433251"/>
        </a:xfrm>
      </xdr:grpSpPr>
      <xdr:sp>
        <xdr:nvSpPr>
          <xdr:cNvPr id="242" name="Ovale"/>
          <xdr:cNvSpPr/>
        </xdr:nvSpPr>
        <xdr:spPr>
          <a:xfrm>
            <a:off x="-1" y="0"/>
            <a:ext cx="453186" cy="433252"/>
          </a:xfrm>
          <a:prstGeom prst="ellipse">
            <a:avLst/>
          </a:prstGeom>
          <a:noFill/>
          <a:ln w="28575" cap="flat">
            <a:solidFill>
              <a:srgbClr val="203B7D"/>
            </a:solidFill>
            <a:prstDash val="solid"/>
            <a:miter lim="800000"/>
          </a:ln>
          <a:effectLst/>
        </xdr:spPr>
        <xdr:txBody>
          <a:bodyPr/>
          <a:lstStyle/>
          <a:p>
            <a:pPr/>
          </a:p>
        </xdr:txBody>
      </xdr:sp>
      <xdr:sp>
        <xdr:nvSpPr>
          <xdr:cNvPr id="243" name="6"/>
          <xdr:cNvSpPr txBox="1"/>
        </xdr:nvSpPr>
        <xdr:spPr>
          <a:xfrm>
            <a:off x="116352" y="56901"/>
            <a:ext cx="220479" cy="319449"/>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203B7D"/>
                </a:solidFill>
                <a:uFillTx/>
                <a:latin typeface="Calibri"/>
                <a:ea typeface="Calibri"/>
                <a:cs typeface="Calibri"/>
                <a:sym typeface="Calibri"/>
              </a:defRPr>
            </a:pPr>
            <a:r>
              <a:rPr b="0" baseline="0" cap="none" i="0" spc="0" strike="noStrike" sz="2600" u="none">
                <a:solidFill>
                  <a:srgbClr val="203B7D"/>
                </a:solidFill>
                <a:uFillTx/>
                <a:latin typeface="Calibri"/>
                <a:ea typeface="Calibri"/>
                <a:cs typeface="Calibri"/>
                <a:sym typeface="Calibri"/>
              </a:rPr>
              <a:t>6</a:t>
            </a:r>
          </a:p>
        </xdr:txBody>
      </xdr:sp>
    </xdr:grpSp>
    <xdr:clientData/>
  </xdr:twoCellAnchor>
  <xdr:twoCellAnchor>
    <xdr:from>
      <xdr:col>9</xdr:col>
      <xdr:colOff>10636</xdr:colOff>
      <xdr:row>97</xdr:row>
      <xdr:rowOff>1506822</xdr:rowOff>
    </xdr:from>
    <xdr:to>
      <xdr:col>9</xdr:col>
      <xdr:colOff>4532585</xdr:colOff>
      <xdr:row>107</xdr:row>
      <xdr:rowOff>337087</xdr:rowOff>
    </xdr:to>
    <xdr:sp>
      <xdr:nvSpPr>
        <xdr:cNvPr id="245" name="ZoneTexte 1"/>
        <xdr:cNvSpPr/>
      </xdr:nvSpPr>
      <xdr:spPr>
        <a:xfrm>
          <a:off x="7973536" y="70839297"/>
          <a:ext cx="4521950" cy="201352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10953</xdr:colOff>
      <xdr:row>97</xdr:row>
      <xdr:rowOff>1506822</xdr:rowOff>
    </xdr:from>
    <xdr:to>
      <xdr:col>9</xdr:col>
      <xdr:colOff>4532903</xdr:colOff>
      <xdr:row>106</xdr:row>
      <xdr:rowOff>116065</xdr:rowOff>
    </xdr:to>
    <xdr:sp>
      <xdr:nvSpPr>
        <xdr:cNvPr id="246" name="ZoneTexte 1"/>
        <xdr:cNvSpPr/>
      </xdr:nvSpPr>
      <xdr:spPr>
        <a:xfrm>
          <a:off x="7973853" y="70839297"/>
          <a:ext cx="4521950" cy="1601999"/>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108</xdr:row>
      <xdr:rowOff>45676</xdr:rowOff>
    </xdr:from>
    <xdr:to>
      <xdr:col>9</xdr:col>
      <xdr:colOff>4503756</xdr:colOff>
      <xdr:row>109</xdr:row>
      <xdr:rowOff>1483951</xdr:rowOff>
    </xdr:to>
    <xdr:sp>
      <xdr:nvSpPr>
        <xdr:cNvPr id="247" name="ZoneTexte 1"/>
        <xdr:cNvSpPr/>
      </xdr:nvSpPr>
      <xdr:spPr>
        <a:xfrm>
          <a:off x="7991474" y="72980506"/>
          <a:ext cx="4475183" cy="162877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109</xdr:row>
      <xdr:rowOff>1541101</xdr:rowOff>
    </xdr:from>
    <xdr:to>
      <xdr:col>9</xdr:col>
      <xdr:colOff>4451453</xdr:colOff>
      <xdr:row>110</xdr:row>
      <xdr:rowOff>1483948</xdr:rowOff>
    </xdr:to>
    <xdr:sp>
      <xdr:nvSpPr>
        <xdr:cNvPr id="248" name="ZoneTexte 1"/>
        <xdr:cNvSpPr/>
      </xdr:nvSpPr>
      <xdr:spPr>
        <a:xfrm>
          <a:off x="7991474" y="74666431"/>
          <a:ext cx="4422880" cy="159448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110</xdr:row>
      <xdr:rowOff>1499625</xdr:rowOff>
    </xdr:from>
    <xdr:to>
      <xdr:col>9</xdr:col>
      <xdr:colOff>4503756</xdr:colOff>
      <xdr:row>111</xdr:row>
      <xdr:rowOff>1483946</xdr:rowOff>
    </xdr:to>
    <xdr:sp>
      <xdr:nvSpPr>
        <xdr:cNvPr id="249" name="ZoneTexte 1"/>
        <xdr:cNvSpPr/>
      </xdr:nvSpPr>
      <xdr:spPr>
        <a:xfrm>
          <a:off x="7991474" y="76276590"/>
          <a:ext cx="4475183" cy="1635957"/>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10636</xdr:colOff>
      <xdr:row>111</xdr:row>
      <xdr:rowOff>1506804</xdr:rowOff>
    </xdr:from>
    <xdr:to>
      <xdr:col>9</xdr:col>
      <xdr:colOff>4532585</xdr:colOff>
      <xdr:row>112</xdr:row>
      <xdr:rowOff>1403204</xdr:rowOff>
    </xdr:to>
    <xdr:sp>
      <xdr:nvSpPr>
        <xdr:cNvPr id="250" name="ZoneTexte 1"/>
        <xdr:cNvSpPr/>
      </xdr:nvSpPr>
      <xdr:spPr>
        <a:xfrm>
          <a:off x="7973536" y="77935404"/>
          <a:ext cx="4521950" cy="1548036"/>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10953</xdr:colOff>
      <xdr:row>112</xdr:row>
      <xdr:rowOff>1503682</xdr:rowOff>
    </xdr:from>
    <xdr:to>
      <xdr:col>9</xdr:col>
      <xdr:colOff>4532903</xdr:colOff>
      <xdr:row>113</xdr:row>
      <xdr:rowOff>1454045</xdr:rowOff>
    </xdr:to>
    <xdr:sp>
      <xdr:nvSpPr>
        <xdr:cNvPr id="251" name="ZoneTexte 1"/>
        <xdr:cNvSpPr/>
      </xdr:nvSpPr>
      <xdr:spPr>
        <a:xfrm>
          <a:off x="7973853" y="79583917"/>
          <a:ext cx="4521950" cy="1601999"/>
        </a:xfrm>
        <a:prstGeom prst="rect">
          <a:avLst/>
        </a:prstGeom>
        <a:solidFill>
          <a:srgbClr val="FFFFFF"/>
        </a:solidFill>
        <a:ln w="12700" cap="flat">
          <a:noFill/>
          <a:miter lim="400000"/>
        </a:ln>
        <a:effectLst/>
      </xdr:spPr>
      <xdr:txBody>
        <a:bodyPr/>
        <a:lstStyle/>
        <a:p>
          <a:pPr/>
        </a:p>
      </xdr:txBody>
    </xdr:sp>
    <xdr:clientData/>
  </xdr:twoCellAnchor>
  <xdr:twoCellAnchor>
    <xdr:from>
      <xdr:col>5</xdr:col>
      <xdr:colOff>9180</xdr:colOff>
      <xdr:row>106</xdr:row>
      <xdr:rowOff>12810</xdr:rowOff>
    </xdr:from>
    <xdr:to>
      <xdr:col>5</xdr:col>
      <xdr:colOff>462365</xdr:colOff>
      <xdr:row>107</xdr:row>
      <xdr:rowOff>255562</xdr:rowOff>
    </xdr:to>
    <xdr:grpSp>
      <xdr:nvGrpSpPr>
        <xdr:cNvPr id="254" name="Ellipse 241936"/>
        <xdr:cNvGrpSpPr/>
      </xdr:nvGrpSpPr>
      <xdr:grpSpPr>
        <a:xfrm>
          <a:off x="529880" y="72338040"/>
          <a:ext cx="453185" cy="433253"/>
          <a:chOff x="0" y="0"/>
          <a:chExt cx="453184" cy="433251"/>
        </a:xfrm>
      </xdr:grpSpPr>
      <xdr:sp>
        <xdr:nvSpPr>
          <xdr:cNvPr id="252" name="Ovale"/>
          <xdr:cNvSpPr/>
        </xdr:nvSpPr>
        <xdr:spPr>
          <a:xfrm>
            <a:off x="-1" y="0"/>
            <a:ext cx="453186" cy="433252"/>
          </a:xfrm>
          <a:prstGeom prst="ellipse">
            <a:avLst/>
          </a:prstGeom>
          <a:noFill/>
          <a:ln w="28575" cap="flat">
            <a:solidFill>
              <a:srgbClr val="203B7D"/>
            </a:solidFill>
            <a:prstDash val="solid"/>
            <a:miter lim="800000"/>
          </a:ln>
          <a:effectLst/>
        </xdr:spPr>
        <xdr:txBody>
          <a:bodyPr/>
          <a:lstStyle/>
          <a:p>
            <a:pPr/>
          </a:p>
        </xdr:txBody>
      </xdr:sp>
      <xdr:sp>
        <xdr:nvSpPr>
          <xdr:cNvPr id="253" name="7"/>
          <xdr:cNvSpPr txBox="1"/>
        </xdr:nvSpPr>
        <xdr:spPr>
          <a:xfrm>
            <a:off x="116352" y="56901"/>
            <a:ext cx="220479" cy="319449"/>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203B7D"/>
                </a:solidFill>
                <a:uFillTx/>
                <a:latin typeface="Calibri"/>
                <a:ea typeface="Calibri"/>
                <a:cs typeface="Calibri"/>
                <a:sym typeface="Calibri"/>
              </a:defRPr>
            </a:pPr>
            <a:r>
              <a:rPr b="0" baseline="0" cap="none" i="0" spc="0" strike="noStrike" sz="2600" u="none">
                <a:solidFill>
                  <a:srgbClr val="203B7D"/>
                </a:solidFill>
                <a:uFillTx/>
                <a:latin typeface="Calibri"/>
                <a:ea typeface="Calibri"/>
                <a:cs typeface="Calibri"/>
                <a:sym typeface="Calibri"/>
              </a:rPr>
              <a:t>7</a:t>
            </a:r>
          </a:p>
        </xdr:txBody>
      </xdr:sp>
    </xdr:grpSp>
    <xdr:clientData/>
  </xdr:twoCellAnchor>
  <xdr:twoCellAnchor>
    <xdr:from>
      <xdr:col>9</xdr:col>
      <xdr:colOff>10636</xdr:colOff>
      <xdr:row>113</xdr:row>
      <xdr:rowOff>1483941</xdr:rowOff>
    </xdr:from>
    <xdr:to>
      <xdr:col>9</xdr:col>
      <xdr:colOff>4532585</xdr:colOff>
      <xdr:row>123</xdr:row>
      <xdr:rowOff>298966</xdr:rowOff>
    </xdr:to>
    <xdr:sp>
      <xdr:nvSpPr>
        <xdr:cNvPr id="255" name="ZoneTexte 1"/>
        <xdr:cNvSpPr/>
      </xdr:nvSpPr>
      <xdr:spPr>
        <a:xfrm>
          <a:off x="7973536" y="81215811"/>
          <a:ext cx="4521950" cy="201352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10953</xdr:colOff>
      <xdr:row>113</xdr:row>
      <xdr:rowOff>1483941</xdr:rowOff>
    </xdr:from>
    <xdr:to>
      <xdr:col>9</xdr:col>
      <xdr:colOff>4532903</xdr:colOff>
      <xdr:row>122</xdr:row>
      <xdr:rowOff>77944</xdr:rowOff>
    </xdr:to>
    <xdr:sp>
      <xdr:nvSpPr>
        <xdr:cNvPr id="256" name="ZoneTexte 1"/>
        <xdr:cNvSpPr/>
      </xdr:nvSpPr>
      <xdr:spPr>
        <a:xfrm>
          <a:off x="7973853" y="81215811"/>
          <a:ext cx="4521950" cy="1601999"/>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124</xdr:row>
      <xdr:rowOff>7555</xdr:rowOff>
    </xdr:from>
    <xdr:to>
      <xdr:col>9</xdr:col>
      <xdr:colOff>4519448</xdr:colOff>
      <xdr:row>125</xdr:row>
      <xdr:rowOff>1661097</xdr:rowOff>
    </xdr:to>
    <xdr:sp>
      <xdr:nvSpPr>
        <xdr:cNvPr id="257" name="ZoneTexte 1"/>
        <xdr:cNvSpPr/>
      </xdr:nvSpPr>
      <xdr:spPr>
        <a:xfrm>
          <a:off x="7991474" y="83357020"/>
          <a:ext cx="4490875" cy="1844043"/>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125</xdr:row>
      <xdr:rowOff>1718248</xdr:rowOff>
    </xdr:from>
    <xdr:to>
      <xdr:col>9</xdr:col>
      <xdr:colOff>4466961</xdr:colOff>
      <xdr:row>126</xdr:row>
      <xdr:rowOff>1445830</xdr:rowOff>
    </xdr:to>
    <xdr:sp>
      <xdr:nvSpPr>
        <xdr:cNvPr id="258" name="ZoneTexte 1"/>
        <xdr:cNvSpPr/>
      </xdr:nvSpPr>
      <xdr:spPr>
        <a:xfrm>
          <a:off x="7991474" y="85258212"/>
          <a:ext cx="4438388" cy="1594484"/>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28574</xdr:colOff>
      <xdr:row>126</xdr:row>
      <xdr:rowOff>1461507</xdr:rowOff>
    </xdr:from>
    <xdr:to>
      <xdr:col>9</xdr:col>
      <xdr:colOff>4519448</xdr:colOff>
      <xdr:row>127</xdr:row>
      <xdr:rowOff>1445828</xdr:rowOff>
    </xdr:to>
    <xdr:sp>
      <xdr:nvSpPr>
        <xdr:cNvPr id="259" name="ZoneTexte 1"/>
        <xdr:cNvSpPr/>
      </xdr:nvSpPr>
      <xdr:spPr>
        <a:xfrm>
          <a:off x="7991474" y="86868372"/>
          <a:ext cx="4490875" cy="1635957"/>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10635</xdr:colOff>
      <xdr:row>127</xdr:row>
      <xdr:rowOff>1468685</xdr:rowOff>
    </xdr:from>
    <xdr:to>
      <xdr:col>9</xdr:col>
      <xdr:colOff>4548441</xdr:colOff>
      <xdr:row>128</xdr:row>
      <xdr:rowOff>1448410</xdr:rowOff>
    </xdr:to>
    <xdr:sp>
      <xdr:nvSpPr>
        <xdr:cNvPr id="260" name="ZoneTexte 1"/>
        <xdr:cNvSpPr/>
      </xdr:nvSpPr>
      <xdr:spPr>
        <a:xfrm>
          <a:off x="7973535" y="88527185"/>
          <a:ext cx="4537807" cy="1631361"/>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10952</xdr:colOff>
      <xdr:row>128</xdr:row>
      <xdr:rowOff>1465563</xdr:rowOff>
    </xdr:from>
    <xdr:to>
      <xdr:col>9</xdr:col>
      <xdr:colOff>4548759</xdr:colOff>
      <xdr:row>129</xdr:row>
      <xdr:rowOff>1415927</xdr:rowOff>
    </xdr:to>
    <xdr:sp>
      <xdr:nvSpPr>
        <xdr:cNvPr id="261" name="ZoneTexte 1"/>
        <xdr:cNvSpPr/>
      </xdr:nvSpPr>
      <xdr:spPr>
        <a:xfrm>
          <a:off x="7973852" y="90175698"/>
          <a:ext cx="4537807" cy="1601999"/>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10952</xdr:colOff>
      <xdr:row>129</xdr:row>
      <xdr:rowOff>1484289</xdr:rowOff>
    </xdr:from>
    <xdr:to>
      <xdr:col>9</xdr:col>
      <xdr:colOff>4548759</xdr:colOff>
      <xdr:row>130</xdr:row>
      <xdr:rowOff>1434658</xdr:rowOff>
    </xdr:to>
    <xdr:sp>
      <xdr:nvSpPr>
        <xdr:cNvPr id="262" name="ZoneTexte 1"/>
        <xdr:cNvSpPr/>
      </xdr:nvSpPr>
      <xdr:spPr>
        <a:xfrm>
          <a:off x="7973852" y="91846058"/>
          <a:ext cx="4537807" cy="1602005"/>
        </a:xfrm>
        <a:prstGeom prst="rect">
          <a:avLst/>
        </a:prstGeom>
        <a:solidFill>
          <a:srgbClr val="FFFFFF"/>
        </a:solidFill>
        <a:ln w="12700" cap="flat">
          <a:noFill/>
          <a:miter lim="400000"/>
        </a:ln>
        <a:effectLst/>
      </xdr:spPr>
      <xdr:txBody>
        <a:bodyPr/>
        <a:lstStyle/>
        <a:p>
          <a:pPr/>
        </a:p>
      </xdr:txBody>
    </xdr:sp>
    <xdr:clientData/>
  </xdr:twoCellAnchor>
  <xdr:twoCellAnchor>
    <xdr:from>
      <xdr:col>9</xdr:col>
      <xdr:colOff>15716</xdr:colOff>
      <xdr:row>130</xdr:row>
      <xdr:rowOff>1457881</xdr:rowOff>
    </xdr:from>
    <xdr:to>
      <xdr:col>9</xdr:col>
      <xdr:colOff>4553522</xdr:colOff>
      <xdr:row>131</xdr:row>
      <xdr:rowOff>1408244</xdr:rowOff>
    </xdr:to>
    <xdr:sp>
      <xdr:nvSpPr>
        <xdr:cNvPr id="263" name="ZoneTexte 1"/>
        <xdr:cNvSpPr/>
      </xdr:nvSpPr>
      <xdr:spPr>
        <a:xfrm>
          <a:off x="7978616" y="93471286"/>
          <a:ext cx="4537807" cy="1601999"/>
        </a:xfrm>
        <a:prstGeom prst="rect">
          <a:avLst/>
        </a:prstGeom>
        <a:solidFill>
          <a:srgbClr val="FFFFFF"/>
        </a:solidFill>
        <a:ln w="12700" cap="flat">
          <a:noFill/>
          <a:miter lim="400000"/>
        </a:ln>
        <a:effectLst/>
      </xdr:spPr>
      <xdr:txBody>
        <a:bodyPr/>
        <a:lstStyle/>
        <a:p>
          <a:pPr/>
        </a:p>
      </xdr:txBody>
    </xdr:sp>
    <xdr:clientData/>
  </xdr:twoCellAnchor>
  <xdr:twoCellAnchor>
    <xdr:from>
      <xdr:col>1</xdr:col>
      <xdr:colOff>304800</xdr:colOff>
      <xdr:row>121</xdr:row>
      <xdr:rowOff>206836</xdr:rowOff>
    </xdr:from>
    <xdr:to>
      <xdr:col>5</xdr:col>
      <xdr:colOff>453184</xdr:colOff>
      <xdr:row>123</xdr:row>
      <xdr:rowOff>220980</xdr:rowOff>
    </xdr:to>
    <xdr:grpSp>
      <xdr:nvGrpSpPr>
        <xdr:cNvPr id="266" name="Ellipse 241966"/>
        <xdr:cNvGrpSpPr/>
      </xdr:nvGrpSpPr>
      <xdr:grpSpPr>
        <a:xfrm>
          <a:off x="520699" y="82718101"/>
          <a:ext cx="453186" cy="433245"/>
          <a:chOff x="0" y="0"/>
          <a:chExt cx="453184" cy="433244"/>
        </a:xfrm>
      </xdr:grpSpPr>
      <xdr:sp>
        <xdr:nvSpPr>
          <xdr:cNvPr id="264" name="Ovale"/>
          <xdr:cNvSpPr/>
        </xdr:nvSpPr>
        <xdr:spPr>
          <a:xfrm>
            <a:off x="-1" y="-1"/>
            <a:ext cx="453186" cy="433246"/>
          </a:xfrm>
          <a:prstGeom prst="ellipse">
            <a:avLst/>
          </a:prstGeom>
          <a:noFill/>
          <a:ln w="28575" cap="flat">
            <a:solidFill>
              <a:srgbClr val="203B7D"/>
            </a:solidFill>
            <a:prstDash val="solid"/>
            <a:miter lim="800000"/>
          </a:ln>
          <a:effectLst/>
        </xdr:spPr>
        <xdr:txBody>
          <a:bodyPr/>
          <a:lstStyle/>
          <a:p>
            <a:pPr/>
          </a:p>
        </xdr:txBody>
      </xdr:sp>
      <xdr:sp>
        <xdr:nvSpPr>
          <xdr:cNvPr id="265" name="8"/>
          <xdr:cNvSpPr txBox="1"/>
        </xdr:nvSpPr>
        <xdr:spPr>
          <a:xfrm>
            <a:off x="116352" y="56901"/>
            <a:ext cx="220479" cy="319442"/>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9" tIns="45719" rIns="45719" bIns="45719" numCol="1" anchor="ctr">
            <a:noAutofit/>
          </a:bodyPr>
          <a:lstStyle/>
          <a:p>
            <a:pPr marL="0" marR="0" indent="0" algn="ctr" defTabSz="914400" latinLnBrk="0">
              <a:lnSpc>
                <a:spcPct val="100000"/>
              </a:lnSpc>
              <a:spcBef>
                <a:spcPts val="0"/>
              </a:spcBef>
              <a:spcAft>
                <a:spcPts val="0"/>
              </a:spcAft>
              <a:buClrTx/>
              <a:buSzTx/>
              <a:buFontTx/>
              <a:buNone/>
              <a:tabLst/>
              <a:defRPr b="0" baseline="0" cap="none" i="0" spc="0" strike="noStrike" sz="2600" u="none">
                <a:solidFill>
                  <a:srgbClr val="203B7D"/>
                </a:solidFill>
                <a:uFillTx/>
                <a:latin typeface="Calibri"/>
                <a:ea typeface="Calibri"/>
                <a:cs typeface="Calibri"/>
                <a:sym typeface="Calibri"/>
              </a:defRPr>
            </a:pPr>
            <a:r>
              <a:rPr b="0" baseline="0" cap="none" i="0" spc="0" strike="noStrike" sz="2600" u="none">
                <a:solidFill>
                  <a:srgbClr val="203B7D"/>
                </a:solidFill>
                <a:uFillTx/>
                <a:latin typeface="Calibri"/>
                <a:ea typeface="Calibri"/>
                <a:cs typeface="Calibri"/>
                <a:sym typeface="Calibri"/>
              </a:rPr>
              <a:t>8</a:t>
            </a:r>
          </a:p>
        </xdr:txBody>
      </xdr:sp>
    </xdr:grpSp>
    <xdr:clientData/>
  </xdr:twoCellAnchor>
</xdr:wsDr>
</file>

<file path=xl/theme/theme1.xml><?xml version="1.0" encoding="utf-8"?>
<a:theme xmlns:a="http://schemas.openxmlformats.org/drawingml/2006/main" xmlns:r="http://schemas.openxmlformats.org/officeDocument/2006/relationships" name="Office Theme">
  <a:themeElements>
    <a:clrScheme name="Office Them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1.xml.rels><?xml version="1.0" encoding="UTF-8"?>
<Relationships xmlns="http://schemas.openxmlformats.org/package/2006/relationships"><Relationship Id="rId1" Type="http://schemas.openxmlformats.org/officeDocument/2006/relationships/drawing" Target="../drawings/drawing1.xml"/></Relationships>

</file>

<file path=xl/worksheets/_rels/sheet10.xml.rels><?xml version="1.0" encoding="UTF-8"?>
<Relationships xmlns="http://schemas.openxmlformats.org/package/2006/relationships"><Relationship Id="rId1" Type="http://schemas.openxmlformats.org/officeDocument/2006/relationships/drawing" Target="../drawings/drawing7.xml"/></Relationships>

</file>

<file path=xl/worksheets/_rels/sheet11.xml.rels><?xml version="1.0" encoding="UTF-8"?>
<Relationships xmlns="http://schemas.openxmlformats.org/package/2006/relationships"><Relationship Id="rId1" Type="http://schemas.openxmlformats.org/officeDocument/2006/relationships/drawing" Target="../drawings/drawing8.xml"/></Relationships>

</file>

<file path=xl/worksheets/_rels/sheet12.xml.rels><?xml version="1.0" encoding="UTF-8"?>
<Relationships xmlns="http://schemas.openxmlformats.org/package/2006/relationships"><Relationship Id="rId1" Type="http://schemas.openxmlformats.org/officeDocument/2006/relationships/drawing" Target="../drawings/drawing9.xml"/></Relationships>

</file>

<file path=xl/worksheets/_rels/sheet13.xml.rels><?xml version="1.0" encoding="UTF-8"?>
<Relationships xmlns="http://schemas.openxmlformats.org/package/2006/relationships"><Relationship Id="rId1" Type="http://schemas.openxmlformats.org/officeDocument/2006/relationships/drawing" Target="../drawings/drawing10.xml"/></Relationships>

</file>

<file path=xl/worksheets/_rels/sheet14.xml.rels><?xml version="1.0" encoding="UTF-8"?>
<Relationships xmlns="http://schemas.openxmlformats.org/package/2006/relationships"><Relationship Id="rId1" Type="http://schemas.openxmlformats.org/officeDocument/2006/relationships/drawing" Target="../drawings/drawing11.xml"/></Relationships>

</file>

<file path=xl/worksheets/_rels/sheet15.xml.rels><?xml version="1.0" encoding="UTF-8"?>
<Relationships xmlns="http://schemas.openxmlformats.org/package/2006/relationships"><Relationship Id="rId1" Type="http://schemas.openxmlformats.org/officeDocument/2006/relationships/drawing" Target="../drawings/drawing12.xml"/></Relationships>

</file>

<file path=xl/worksheets/_rels/sheet16.xml.rels><?xml version="1.0" encoding="UTF-8"?>
<Relationships xmlns="http://schemas.openxmlformats.org/package/2006/relationships"><Relationship Id="rId1" Type="http://schemas.openxmlformats.org/officeDocument/2006/relationships/drawing" Target="../drawings/drawing13.xml"/></Relationships>

</file>

<file path=xl/worksheets/_rels/sheet17.xml.rels><?xml version="1.0" encoding="UTF-8"?>
<Relationships xmlns="http://schemas.openxmlformats.org/package/2006/relationships"><Relationship Id="rId1" Type="http://schemas.openxmlformats.org/officeDocument/2006/relationships/drawing" Target="../drawings/drawing14.xml"/></Relationships>

</file>

<file path=xl/worksheets/_rels/sheet18.xml.rels><?xml version="1.0" encoding="UTF-8"?>
<Relationships xmlns="http://schemas.openxmlformats.org/package/2006/relationships"><Relationship Id="rId1" Type="http://schemas.openxmlformats.org/officeDocument/2006/relationships/drawing" Target="../drawings/drawing15.xml"/></Relationships>

</file>

<file path=xl/worksheets/_rels/sheet19.xml.rels><?xml version="1.0" encoding="UTF-8"?>
<Relationships xmlns="http://schemas.openxmlformats.org/package/2006/relationships"><Relationship Id="rId1" Type="http://schemas.openxmlformats.org/officeDocument/2006/relationships/drawing" Target="../drawings/drawing16.xml"/></Relationships>

</file>

<file path=xl/worksheets/_rels/sheet20.xml.rels><?xml version="1.0" encoding="UTF-8"?>
<Relationships xmlns="http://schemas.openxmlformats.org/package/2006/relationships"><Relationship Id="rId1" Type="http://schemas.openxmlformats.org/officeDocument/2006/relationships/drawing" Target="../drawings/drawing17.xml"/></Relationships>

</file>

<file path=xl/worksheets/_rels/sheet21.xml.rels><?xml version="1.0" encoding="UTF-8"?>
<Relationships xmlns="http://schemas.openxmlformats.org/package/2006/relationships"><Relationship Id="rId1" Type="http://schemas.openxmlformats.org/officeDocument/2006/relationships/drawing" Target="../drawings/drawing18.xml"/></Relationships>

</file>

<file path=xl/worksheets/_rels/sheet22.xml.rels><?xml version="1.0" encoding="UTF-8"?>
<Relationships xmlns="http://schemas.openxmlformats.org/package/2006/relationships"><Relationship Id="rId1" Type="http://schemas.openxmlformats.org/officeDocument/2006/relationships/drawing" Target="../drawings/drawing19.xml"/></Relationships>

</file>

<file path=xl/worksheets/_rels/sheet23.xml.rels><?xml version="1.0" encoding="UTF-8"?>
<Relationships xmlns="http://schemas.openxmlformats.org/package/2006/relationships"><Relationship Id="rId1" Type="http://schemas.openxmlformats.org/officeDocument/2006/relationships/drawing" Target="../drawings/drawing20.xml"/></Relationships>

</file>

<file path=xl/worksheets/_rels/sheet24.xml.rels><?xml version="1.0" encoding="UTF-8"?>
<Relationships xmlns="http://schemas.openxmlformats.org/package/2006/relationships"><Relationship Id="rId1" Type="http://schemas.openxmlformats.org/officeDocument/2006/relationships/drawing" Target="../drawings/drawing21.xml"/></Relationships>

</file>

<file path=xl/worksheets/_rels/sheet25.xml.rels><?xml version="1.0" encoding="UTF-8"?>
<Relationships xmlns="http://schemas.openxmlformats.org/package/2006/relationships"><Relationship Id="rId1" Type="http://schemas.openxmlformats.org/officeDocument/2006/relationships/drawing" Target="../drawings/drawing22.xml"/></Relationships>

</file>

<file path=xl/worksheets/_rels/sheet26.xml.rels><?xml version="1.0" encoding="UTF-8"?>
<Relationships xmlns="http://schemas.openxmlformats.org/package/2006/relationships"><Relationship Id="rId1" Type="http://schemas.openxmlformats.org/officeDocument/2006/relationships/drawing" Target="../drawings/drawing23.xml"/></Relationships>

</file>

<file path=xl/worksheets/_rels/sheet27.xml.rels><?xml version="1.0" encoding="UTF-8"?>
<Relationships xmlns="http://schemas.openxmlformats.org/package/2006/relationships"><Relationship Id="rId1" Type="http://schemas.openxmlformats.org/officeDocument/2006/relationships/drawing" Target="../drawings/drawing24.xml"/></Relationships>

</file>

<file path=xl/worksheets/_rels/sheet28.xml.rels><?xml version="1.0" encoding="UTF-8"?>
<Relationships xmlns="http://schemas.openxmlformats.org/package/2006/relationships"><Relationship Id="rId1" Type="http://schemas.openxmlformats.org/officeDocument/2006/relationships/drawing" Target="../drawings/drawing25.xml"/></Relationships>

</file>

<file path=xl/worksheets/_rels/sheet29.xml.rels><?xml version="1.0" encoding="UTF-8"?>
<Relationships xmlns="http://schemas.openxmlformats.org/package/2006/relationships"><Relationship Id="rId1" Type="http://schemas.openxmlformats.org/officeDocument/2006/relationships/drawing" Target="../drawings/drawing26.xml"/></Relationships>

</file>

<file path=xl/worksheets/_rels/sheet30.xml.rels><?xml version="1.0" encoding="UTF-8"?>
<Relationships xmlns="http://schemas.openxmlformats.org/package/2006/relationships"><Relationship Id="rId1" Type="http://schemas.openxmlformats.org/officeDocument/2006/relationships/drawing" Target="../drawings/drawing27.xml"/></Relationships>

</file>

<file path=xl/worksheets/_rels/sheet31.xml.rels><?xml version="1.0" encoding="UTF-8"?>
<Relationships xmlns="http://schemas.openxmlformats.org/package/2006/relationships"><Relationship Id="rId1" Type="http://schemas.openxmlformats.org/officeDocument/2006/relationships/drawing" Target="../drawings/drawing28.xml"/></Relationships>

</file>

<file path=xl/worksheets/_rels/sheet32.xml.rels><?xml version="1.0" encoding="UTF-8"?>
<Relationships xmlns="http://schemas.openxmlformats.org/package/2006/relationships"><Relationship Id="rId1" Type="http://schemas.openxmlformats.org/officeDocument/2006/relationships/drawing" Target="../drawings/drawing29.xml"/></Relationships>

</file>

<file path=xl/worksheets/_rels/sheet33.xml.rels><?xml version="1.0" encoding="UTF-8"?>
<Relationships xmlns="http://schemas.openxmlformats.org/package/2006/relationships"><Relationship Id="rId1" Type="http://schemas.openxmlformats.org/officeDocument/2006/relationships/drawing" Target="../drawings/drawing30.xml"/></Relationships>

</file>

<file path=xl/worksheets/_rels/sheet34.xml.rels><?xml version="1.0" encoding="UTF-8"?>
<Relationships xmlns="http://schemas.openxmlformats.org/package/2006/relationships"><Relationship Id="rId1" Type="http://schemas.openxmlformats.org/officeDocument/2006/relationships/drawing" Target="../drawings/drawing31.xml"/></Relationships>

</file>

<file path=xl/worksheets/_rels/sheet4.xml.rels><?xml version="1.0" encoding="UTF-8"?>
<Relationships xmlns="http://schemas.openxmlformats.org/package/2006/relationships"><Relationship Id="rId1" Type="http://schemas.openxmlformats.org/officeDocument/2006/relationships/drawing" Target="../drawings/drawing2.xml"/></Relationships>

</file>

<file path=xl/worksheets/_rels/sheet5.xml.rels><?xml version="1.0" encoding="UTF-8"?>
<Relationships xmlns="http://schemas.openxmlformats.org/package/2006/relationships"><Relationship Id="rId1" Type="http://schemas.openxmlformats.org/officeDocument/2006/relationships/drawing" Target="../drawings/drawing3.xml"/></Relationships>

</file>

<file path=xl/worksheets/_rels/sheet6.xml.rels><?xml version="1.0" encoding="UTF-8"?>
<Relationships xmlns="http://schemas.openxmlformats.org/package/2006/relationships"><Relationship Id="rId1" Type="http://schemas.openxmlformats.org/officeDocument/2006/relationships/drawing" Target="../drawings/drawing4.xml"/><Relationship Id="rId2" Type="http://schemas.openxmlformats.org/officeDocument/2006/relationships/vmlDrawing" Target="../drawings/vmlDrawing1.vml"/><Relationship Id="rId3" Type="http://schemas.openxmlformats.org/officeDocument/2006/relationships/comments" Target="../comments1.xml"/></Relationships>

</file>

<file path=xl/worksheets/_rels/sheet8.xml.rels><?xml version="1.0" encoding="UTF-8"?>
<Relationships xmlns="http://schemas.openxmlformats.org/package/2006/relationships"><Relationship Id="rId1" Type="http://schemas.openxmlformats.org/officeDocument/2006/relationships/drawing" Target="../drawings/drawing5.xml"/></Relationships>

</file>

<file path=xl/worksheets/_rels/sheet9.xml.rels><?xml version="1.0" encoding="UTF-8"?>
<Relationships xmlns="http://schemas.openxmlformats.org/package/2006/relationships"><Relationship Id="rId1" Type="http://schemas.openxmlformats.org/officeDocument/2006/relationships/drawing" Target="../drawings/drawing6.xml"/></Relationships>

</file>

<file path=xl/worksheets/sheet1.xml><?xml version="1.0" encoding="utf-8"?>
<worksheet xmlns:r="http://schemas.openxmlformats.org/officeDocument/2006/relationships" xmlns="http://schemas.openxmlformats.org/spreadsheetml/2006/main">
  <dimension ref="A1:W76"/>
  <sheetViews>
    <sheetView workbookViewId="0" showGridLines="0" defaultGridColor="1"/>
  </sheetViews>
  <sheetFormatPr defaultColWidth="10.8333" defaultRowHeight="14.4" customHeight="1" outlineLevelRow="0" outlineLevelCol="0"/>
  <cols>
    <col min="1" max="23" width="11.5" style="1" customWidth="1"/>
    <col min="24" max="16384" width="10.8516" style="1" customWidth="1"/>
  </cols>
  <sheetData>
    <row r="1" ht="14.4" customHeight="1">
      <c r="A1" s="2"/>
      <c r="B1" s="3"/>
      <c r="C1" s="3"/>
      <c r="D1" s="3"/>
      <c r="E1" s="3"/>
      <c r="F1" s="3"/>
      <c r="G1" s="3"/>
      <c r="H1" s="3"/>
      <c r="I1" s="3"/>
      <c r="J1" s="3"/>
      <c r="K1" s="3"/>
      <c r="L1" s="3"/>
      <c r="M1" s="3"/>
      <c r="N1" s="3"/>
      <c r="O1" s="3"/>
      <c r="P1" s="3"/>
      <c r="Q1" s="3"/>
      <c r="R1" s="3"/>
      <c r="S1" s="3"/>
      <c r="T1" s="3"/>
      <c r="U1" s="3"/>
      <c r="V1" s="3"/>
      <c r="W1" s="4"/>
    </row>
    <row r="2" ht="48.6" customHeight="1">
      <c r="A2" s="5"/>
      <c r="B2" s="6"/>
      <c r="C2" s="6"/>
      <c r="D2" s="6"/>
      <c r="E2" s="6"/>
      <c r="F2" s="7"/>
      <c r="G2" s="6"/>
      <c r="H2" s="6"/>
      <c r="I2" s="6"/>
      <c r="J2" t="s" s="8">
        <v>0</v>
      </c>
      <c r="K2" s="6"/>
      <c r="L2" s="6"/>
      <c r="M2" s="6"/>
      <c r="N2" s="6"/>
      <c r="O2" s="6"/>
      <c r="P2" s="6"/>
      <c r="Q2" s="6"/>
      <c r="R2" s="6"/>
      <c r="S2" s="6"/>
      <c r="T2" s="6"/>
      <c r="U2" s="6"/>
      <c r="V2" s="6"/>
      <c r="W2" s="9"/>
    </row>
    <row r="3" ht="55.2" customHeight="1">
      <c r="A3" s="5"/>
      <c r="B3" s="6"/>
      <c r="C3" s="6"/>
      <c r="D3" s="6"/>
      <c r="E3" s="6"/>
      <c r="F3" s="6"/>
      <c r="G3" t="s" s="10">
        <v>1</v>
      </c>
      <c r="H3" s="6"/>
      <c r="I3" s="6"/>
      <c r="J3" s="6"/>
      <c r="K3" s="6"/>
      <c r="L3" s="6"/>
      <c r="M3" s="6"/>
      <c r="N3" s="6"/>
      <c r="O3" s="6"/>
      <c r="P3" s="6"/>
      <c r="Q3" s="6"/>
      <c r="R3" s="6"/>
      <c r="S3" s="6"/>
      <c r="T3" s="6"/>
      <c r="U3" s="6"/>
      <c r="V3" s="6"/>
      <c r="W3" s="9"/>
    </row>
    <row r="4" ht="14.4" customHeight="1">
      <c r="A4" s="5"/>
      <c r="B4" s="6"/>
      <c r="C4" s="6"/>
      <c r="D4" s="6"/>
      <c r="E4" s="6"/>
      <c r="F4" s="6"/>
      <c r="G4" s="6"/>
      <c r="H4" s="6"/>
      <c r="I4" s="6"/>
      <c r="J4" s="6"/>
      <c r="K4" s="6"/>
      <c r="L4" s="6"/>
      <c r="M4" s="6"/>
      <c r="N4" s="6"/>
      <c r="O4" s="6"/>
      <c r="P4" s="6"/>
      <c r="Q4" s="6"/>
      <c r="R4" s="6"/>
      <c r="S4" s="6"/>
      <c r="T4" s="6"/>
      <c r="U4" s="6"/>
      <c r="V4" s="6"/>
      <c r="W4" s="9"/>
    </row>
    <row r="5" ht="14.4" customHeight="1">
      <c r="A5" s="5"/>
      <c r="B5" s="6"/>
      <c r="C5" s="6"/>
      <c r="D5" s="6"/>
      <c r="E5" s="6"/>
      <c r="F5" s="6"/>
      <c r="G5" s="6"/>
      <c r="H5" s="6"/>
      <c r="I5" s="6"/>
      <c r="J5" s="6"/>
      <c r="K5" s="6"/>
      <c r="L5" s="6"/>
      <c r="M5" s="6"/>
      <c r="N5" s="6"/>
      <c r="O5" s="6"/>
      <c r="P5" s="6"/>
      <c r="Q5" s="6"/>
      <c r="R5" s="6"/>
      <c r="S5" s="6"/>
      <c r="T5" s="6"/>
      <c r="U5" s="6"/>
      <c r="V5" s="6"/>
      <c r="W5" s="9"/>
    </row>
    <row r="6" ht="14.4" customHeight="1">
      <c r="A6" s="5"/>
      <c r="B6" s="6"/>
      <c r="C6" s="6"/>
      <c r="D6" s="6"/>
      <c r="E6" s="6"/>
      <c r="F6" s="6"/>
      <c r="G6" s="6"/>
      <c r="H6" s="6"/>
      <c r="I6" s="6"/>
      <c r="J6" s="6"/>
      <c r="K6" s="6"/>
      <c r="L6" s="6"/>
      <c r="M6" s="6"/>
      <c r="N6" s="6"/>
      <c r="O6" s="6"/>
      <c r="P6" s="6"/>
      <c r="Q6" s="6"/>
      <c r="R6" s="6"/>
      <c r="S6" s="6"/>
      <c r="T6" s="6"/>
      <c r="U6" s="6"/>
      <c r="V6" s="6"/>
      <c r="W6" s="9"/>
    </row>
    <row r="7" ht="14.4" customHeight="1">
      <c r="A7" s="5"/>
      <c r="B7" s="6"/>
      <c r="C7" s="6"/>
      <c r="D7" s="6"/>
      <c r="E7" s="6"/>
      <c r="F7" s="6"/>
      <c r="G7" s="6"/>
      <c r="H7" s="6"/>
      <c r="I7" s="6"/>
      <c r="J7" s="6"/>
      <c r="K7" s="6"/>
      <c r="L7" s="6"/>
      <c r="M7" s="6"/>
      <c r="N7" s="6"/>
      <c r="O7" s="6"/>
      <c r="P7" s="6"/>
      <c r="Q7" s="6"/>
      <c r="R7" s="6"/>
      <c r="S7" s="6"/>
      <c r="T7" s="6"/>
      <c r="U7" s="6"/>
      <c r="V7" s="6"/>
      <c r="W7" s="9"/>
    </row>
    <row r="8" ht="14.4" customHeight="1">
      <c r="A8" s="5"/>
      <c r="B8" s="6"/>
      <c r="C8" s="6"/>
      <c r="D8" s="6"/>
      <c r="E8" s="6"/>
      <c r="F8" s="6"/>
      <c r="G8" s="6"/>
      <c r="H8" s="6"/>
      <c r="I8" s="6"/>
      <c r="J8" s="6"/>
      <c r="K8" s="6"/>
      <c r="L8" s="6"/>
      <c r="M8" s="6"/>
      <c r="N8" s="6"/>
      <c r="O8" s="6"/>
      <c r="P8" s="6"/>
      <c r="Q8" s="6"/>
      <c r="R8" s="6"/>
      <c r="S8" s="6"/>
      <c r="T8" s="6"/>
      <c r="U8" s="6"/>
      <c r="V8" s="6"/>
      <c r="W8" s="9"/>
    </row>
    <row r="9" ht="14.4" customHeight="1">
      <c r="A9" s="5"/>
      <c r="B9" s="6"/>
      <c r="C9" s="6"/>
      <c r="D9" s="6"/>
      <c r="E9" s="6"/>
      <c r="F9" s="6"/>
      <c r="G9" s="6"/>
      <c r="H9" s="6"/>
      <c r="I9" s="6"/>
      <c r="J9" s="6"/>
      <c r="K9" s="6"/>
      <c r="L9" s="6"/>
      <c r="M9" s="6"/>
      <c r="N9" s="6"/>
      <c r="O9" s="6"/>
      <c r="P9" s="6"/>
      <c r="Q9" s="6"/>
      <c r="R9" s="6"/>
      <c r="S9" s="6"/>
      <c r="T9" s="6"/>
      <c r="U9" s="6"/>
      <c r="V9" s="6"/>
      <c r="W9" s="9"/>
    </row>
    <row r="10" ht="14.4" customHeight="1">
      <c r="A10" s="5"/>
      <c r="B10" s="6"/>
      <c r="C10" s="6"/>
      <c r="D10" s="6"/>
      <c r="E10" s="6"/>
      <c r="F10" s="6"/>
      <c r="G10" s="6"/>
      <c r="H10" s="6"/>
      <c r="I10" s="6"/>
      <c r="J10" s="6"/>
      <c r="K10" s="6"/>
      <c r="L10" s="6"/>
      <c r="M10" s="6"/>
      <c r="N10" s="6"/>
      <c r="O10" s="6"/>
      <c r="P10" s="6"/>
      <c r="Q10" s="6"/>
      <c r="R10" s="6"/>
      <c r="S10" s="6"/>
      <c r="T10" s="6"/>
      <c r="U10" s="6"/>
      <c r="V10" s="6"/>
      <c r="W10" s="9"/>
    </row>
    <row r="11" ht="14.4" customHeight="1">
      <c r="A11" s="5"/>
      <c r="B11" s="6"/>
      <c r="C11" s="6"/>
      <c r="D11" s="6"/>
      <c r="E11" s="6"/>
      <c r="F11" s="6"/>
      <c r="G11" s="6"/>
      <c r="H11" s="6"/>
      <c r="I11" s="6"/>
      <c r="J11" s="6"/>
      <c r="K11" s="6"/>
      <c r="L11" s="6"/>
      <c r="M11" s="6"/>
      <c r="N11" s="6"/>
      <c r="O11" s="6"/>
      <c r="P11" s="6"/>
      <c r="Q11" s="6"/>
      <c r="R11" s="6"/>
      <c r="S11" s="6"/>
      <c r="T11" s="6"/>
      <c r="U11" s="6"/>
      <c r="V11" s="6"/>
      <c r="W11" s="9"/>
    </row>
    <row r="12" ht="14.4" customHeight="1">
      <c r="A12" s="5"/>
      <c r="B12" s="6"/>
      <c r="C12" s="6"/>
      <c r="D12" s="6"/>
      <c r="E12" s="6"/>
      <c r="F12" s="6"/>
      <c r="G12" s="6"/>
      <c r="H12" s="6"/>
      <c r="I12" s="6"/>
      <c r="J12" s="6"/>
      <c r="K12" s="6"/>
      <c r="L12" s="6"/>
      <c r="M12" s="6"/>
      <c r="N12" s="6"/>
      <c r="O12" s="6"/>
      <c r="P12" s="6"/>
      <c r="Q12" s="6"/>
      <c r="R12" s="6"/>
      <c r="S12" s="6"/>
      <c r="T12" s="6"/>
      <c r="U12" s="6"/>
      <c r="V12" s="6"/>
      <c r="W12" s="9"/>
    </row>
    <row r="13" ht="14.4" customHeight="1">
      <c r="A13" s="5"/>
      <c r="B13" s="6"/>
      <c r="C13" s="6"/>
      <c r="D13" s="6"/>
      <c r="E13" s="6"/>
      <c r="F13" s="6"/>
      <c r="G13" s="6"/>
      <c r="H13" s="6"/>
      <c r="I13" s="6"/>
      <c r="J13" s="6"/>
      <c r="K13" s="6"/>
      <c r="L13" s="6"/>
      <c r="M13" s="6"/>
      <c r="N13" s="6"/>
      <c r="O13" s="6"/>
      <c r="P13" s="6"/>
      <c r="Q13" s="6"/>
      <c r="R13" s="6"/>
      <c r="S13" s="6"/>
      <c r="T13" s="6"/>
      <c r="U13" s="6"/>
      <c r="V13" s="6"/>
      <c r="W13" s="9"/>
    </row>
    <row r="14" ht="14.4" customHeight="1">
      <c r="A14" s="5"/>
      <c r="B14" s="6"/>
      <c r="C14" s="6"/>
      <c r="D14" s="6"/>
      <c r="E14" s="6"/>
      <c r="F14" s="6"/>
      <c r="G14" s="6"/>
      <c r="H14" s="6"/>
      <c r="I14" s="6"/>
      <c r="J14" s="6"/>
      <c r="K14" s="6"/>
      <c r="L14" s="6"/>
      <c r="M14" s="6"/>
      <c r="N14" s="6"/>
      <c r="O14" s="6"/>
      <c r="P14" s="6"/>
      <c r="Q14" s="6"/>
      <c r="R14" s="6"/>
      <c r="S14" s="6"/>
      <c r="T14" s="6"/>
      <c r="U14" s="6"/>
      <c r="V14" s="6"/>
      <c r="W14" s="9"/>
    </row>
    <row r="15" ht="14.4" customHeight="1">
      <c r="A15" s="5"/>
      <c r="B15" s="6"/>
      <c r="C15" s="6"/>
      <c r="D15" s="6"/>
      <c r="E15" s="6"/>
      <c r="F15" s="6"/>
      <c r="G15" s="6"/>
      <c r="H15" s="6"/>
      <c r="I15" s="6"/>
      <c r="J15" s="6"/>
      <c r="K15" s="6"/>
      <c r="L15" s="6"/>
      <c r="M15" s="6"/>
      <c r="N15" s="6"/>
      <c r="O15" s="6"/>
      <c r="P15" s="6"/>
      <c r="Q15" s="6"/>
      <c r="R15" s="6"/>
      <c r="S15" s="6"/>
      <c r="T15" s="6"/>
      <c r="U15" s="6"/>
      <c r="V15" s="6"/>
      <c r="W15" s="9"/>
    </row>
    <row r="16" ht="14.4" customHeight="1">
      <c r="A16" s="5"/>
      <c r="B16" s="6"/>
      <c r="C16" s="6"/>
      <c r="D16" s="6"/>
      <c r="E16" s="6"/>
      <c r="F16" s="6"/>
      <c r="G16" s="6"/>
      <c r="H16" s="6"/>
      <c r="I16" s="6"/>
      <c r="J16" s="6"/>
      <c r="K16" s="6"/>
      <c r="L16" s="6"/>
      <c r="M16" s="6"/>
      <c r="N16" s="6"/>
      <c r="O16" s="6"/>
      <c r="P16" s="6"/>
      <c r="Q16" s="6"/>
      <c r="R16" s="6"/>
      <c r="S16" s="6"/>
      <c r="T16" s="6"/>
      <c r="U16" s="6"/>
      <c r="V16" s="6"/>
      <c r="W16" s="9"/>
    </row>
    <row r="17" ht="14.4" customHeight="1">
      <c r="A17" s="5"/>
      <c r="B17" s="6"/>
      <c r="C17" s="6"/>
      <c r="D17" s="6"/>
      <c r="E17" s="6"/>
      <c r="F17" s="6"/>
      <c r="G17" s="6"/>
      <c r="H17" s="6"/>
      <c r="I17" s="6"/>
      <c r="J17" s="6"/>
      <c r="K17" s="6"/>
      <c r="L17" s="6"/>
      <c r="M17" s="6"/>
      <c r="N17" s="6"/>
      <c r="O17" s="6"/>
      <c r="P17" s="6"/>
      <c r="Q17" s="6"/>
      <c r="R17" s="6"/>
      <c r="S17" s="6"/>
      <c r="T17" s="6"/>
      <c r="U17" s="6"/>
      <c r="V17" s="6"/>
      <c r="W17" s="9"/>
    </row>
    <row r="18" ht="14.4" customHeight="1">
      <c r="A18" s="5"/>
      <c r="B18" s="6"/>
      <c r="C18" s="6"/>
      <c r="D18" s="6"/>
      <c r="E18" s="6"/>
      <c r="F18" s="6"/>
      <c r="G18" s="6"/>
      <c r="H18" s="6"/>
      <c r="I18" s="6"/>
      <c r="J18" s="6"/>
      <c r="K18" s="6"/>
      <c r="L18" s="6"/>
      <c r="M18" s="6"/>
      <c r="N18" s="6"/>
      <c r="O18" s="6"/>
      <c r="P18" s="6"/>
      <c r="Q18" s="6"/>
      <c r="R18" s="6"/>
      <c r="S18" s="6"/>
      <c r="T18" s="6"/>
      <c r="U18" s="6"/>
      <c r="V18" s="6"/>
      <c r="W18" s="9"/>
    </row>
    <row r="19" ht="14.4" customHeight="1">
      <c r="A19" s="5"/>
      <c r="B19" s="6"/>
      <c r="C19" s="6"/>
      <c r="D19" s="6"/>
      <c r="E19" s="6"/>
      <c r="F19" s="6"/>
      <c r="G19" s="6"/>
      <c r="H19" s="6"/>
      <c r="I19" s="6"/>
      <c r="J19" s="6"/>
      <c r="K19" s="6"/>
      <c r="L19" s="6"/>
      <c r="M19" s="6"/>
      <c r="N19" s="6"/>
      <c r="O19" s="6"/>
      <c r="P19" s="6"/>
      <c r="Q19" s="6"/>
      <c r="R19" s="6"/>
      <c r="S19" s="6"/>
      <c r="T19" s="6"/>
      <c r="U19" s="6"/>
      <c r="V19" s="6"/>
      <c r="W19" s="9"/>
    </row>
    <row r="20" ht="14.4" customHeight="1">
      <c r="A20" s="5"/>
      <c r="B20" s="6"/>
      <c r="C20" s="6"/>
      <c r="D20" s="6"/>
      <c r="E20" s="6"/>
      <c r="F20" s="6"/>
      <c r="G20" s="6"/>
      <c r="H20" s="6"/>
      <c r="I20" s="6"/>
      <c r="J20" s="6"/>
      <c r="K20" s="6"/>
      <c r="L20" s="6"/>
      <c r="M20" s="6"/>
      <c r="N20" s="6"/>
      <c r="O20" s="6"/>
      <c r="P20" s="6"/>
      <c r="Q20" s="6"/>
      <c r="R20" s="6"/>
      <c r="S20" s="6"/>
      <c r="T20" s="6"/>
      <c r="U20" s="6"/>
      <c r="V20" s="6"/>
      <c r="W20" s="9"/>
    </row>
    <row r="21" ht="14.4" customHeight="1">
      <c r="A21" s="5"/>
      <c r="B21" s="6"/>
      <c r="C21" s="6"/>
      <c r="D21" s="6"/>
      <c r="E21" s="6"/>
      <c r="F21" s="6"/>
      <c r="G21" s="6"/>
      <c r="H21" s="6"/>
      <c r="I21" s="6"/>
      <c r="J21" s="6"/>
      <c r="K21" s="6"/>
      <c r="L21" s="6"/>
      <c r="M21" s="6"/>
      <c r="N21" s="6"/>
      <c r="O21" s="6"/>
      <c r="P21" s="6"/>
      <c r="Q21" s="6"/>
      <c r="R21" s="6"/>
      <c r="S21" s="6"/>
      <c r="T21" s="6"/>
      <c r="U21" s="6"/>
      <c r="V21" s="6"/>
      <c r="W21" s="9"/>
    </row>
    <row r="22" ht="14.4" customHeight="1">
      <c r="A22" s="5"/>
      <c r="B22" s="6"/>
      <c r="C22" s="6"/>
      <c r="D22" s="6"/>
      <c r="E22" s="6"/>
      <c r="F22" s="6"/>
      <c r="G22" s="6"/>
      <c r="H22" s="6"/>
      <c r="I22" s="6"/>
      <c r="J22" s="6"/>
      <c r="K22" s="6"/>
      <c r="L22" s="6"/>
      <c r="M22" s="6"/>
      <c r="N22" s="6"/>
      <c r="O22" s="6"/>
      <c r="P22" s="6"/>
      <c r="Q22" s="6"/>
      <c r="R22" s="6"/>
      <c r="S22" s="6"/>
      <c r="T22" s="6"/>
      <c r="U22" s="6"/>
      <c r="V22" s="6"/>
      <c r="W22" s="9"/>
    </row>
    <row r="23" ht="14.4" customHeight="1">
      <c r="A23" s="5"/>
      <c r="B23" s="6"/>
      <c r="C23" s="6"/>
      <c r="D23" s="6"/>
      <c r="E23" s="6"/>
      <c r="F23" s="6"/>
      <c r="G23" s="6"/>
      <c r="H23" s="6"/>
      <c r="I23" s="6"/>
      <c r="J23" s="6"/>
      <c r="K23" s="6"/>
      <c r="L23" s="6"/>
      <c r="M23" s="6"/>
      <c r="N23" s="6"/>
      <c r="O23" s="6"/>
      <c r="P23" s="6"/>
      <c r="Q23" s="6"/>
      <c r="R23" s="6"/>
      <c r="S23" s="6"/>
      <c r="T23" s="6"/>
      <c r="U23" s="6"/>
      <c r="V23" s="6"/>
      <c r="W23" s="9"/>
    </row>
    <row r="24" ht="14.4" customHeight="1">
      <c r="A24" s="5"/>
      <c r="B24" s="6"/>
      <c r="C24" s="6"/>
      <c r="D24" s="6"/>
      <c r="E24" s="6"/>
      <c r="F24" s="6"/>
      <c r="G24" s="6"/>
      <c r="H24" s="6"/>
      <c r="I24" s="6"/>
      <c r="J24" s="6"/>
      <c r="K24" s="6"/>
      <c r="L24" s="6"/>
      <c r="M24" s="6"/>
      <c r="N24" s="6"/>
      <c r="O24" s="6"/>
      <c r="P24" s="6"/>
      <c r="Q24" s="6"/>
      <c r="R24" s="6"/>
      <c r="S24" s="6"/>
      <c r="T24" s="6"/>
      <c r="U24" s="6"/>
      <c r="V24" s="6"/>
      <c r="W24" s="9"/>
    </row>
    <row r="25" ht="14.4" customHeight="1">
      <c r="A25" s="5"/>
      <c r="B25" s="6"/>
      <c r="C25" s="6"/>
      <c r="D25" s="6"/>
      <c r="E25" s="6"/>
      <c r="F25" s="6"/>
      <c r="G25" s="6"/>
      <c r="H25" s="6"/>
      <c r="I25" s="6"/>
      <c r="J25" s="6"/>
      <c r="K25" s="6"/>
      <c r="L25" s="6"/>
      <c r="M25" s="6"/>
      <c r="N25" s="6"/>
      <c r="O25" s="6"/>
      <c r="P25" s="6"/>
      <c r="Q25" s="6"/>
      <c r="R25" s="6"/>
      <c r="S25" s="6"/>
      <c r="T25" s="6"/>
      <c r="U25" s="6"/>
      <c r="V25" s="6"/>
      <c r="W25" s="9"/>
    </row>
    <row r="26" ht="14.4" customHeight="1">
      <c r="A26" s="5"/>
      <c r="B26" s="6"/>
      <c r="C26" s="6"/>
      <c r="D26" s="6"/>
      <c r="E26" s="6"/>
      <c r="F26" s="6"/>
      <c r="G26" s="6"/>
      <c r="H26" s="6"/>
      <c r="I26" s="6"/>
      <c r="J26" s="6"/>
      <c r="K26" s="6"/>
      <c r="L26" s="6"/>
      <c r="M26" s="6"/>
      <c r="N26" s="6"/>
      <c r="O26" s="6"/>
      <c r="P26" s="6"/>
      <c r="Q26" s="6"/>
      <c r="R26" s="6"/>
      <c r="S26" s="6"/>
      <c r="T26" s="6"/>
      <c r="U26" s="6"/>
      <c r="V26" s="6"/>
      <c r="W26" s="9"/>
    </row>
    <row r="27" ht="14.4" customHeight="1">
      <c r="A27" s="5"/>
      <c r="B27" s="6"/>
      <c r="C27" s="6"/>
      <c r="D27" s="6"/>
      <c r="E27" s="6"/>
      <c r="F27" s="6"/>
      <c r="G27" s="6"/>
      <c r="H27" s="6"/>
      <c r="I27" s="6"/>
      <c r="J27" s="6"/>
      <c r="K27" s="6"/>
      <c r="L27" s="6"/>
      <c r="M27" s="6"/>
      <c r="N27" s="6"/>
      <c r="O27" s="6"/>
      <c r="P27" s="6"/>
      <c r="Q27" s="6"/>
      <c r="R27" s="6"/>
      <c r="S27" s="6"/>
      <c r="T27" s="6"/>
      <c r="U27" s="6"/>
      <c r="V27" s="6"/>
      <c r="W27" s="9"/>
    </row>
    <row r="28" ht="14.4" customHeight="1">
      <c r="A28" s="5"/>
      <c r="B28" s="6"/>
      <c r="C28" s="6"/>
      <c r="D28" s="6"/>
      <c r="E28" s="6"/>
      <c r="F28" s="6"/>
      <c r="G28" s="6"/>
      <c r="H28" s="6"/>
      <c r="I28" s="6"/>
      <c r="J28" s="6"/>
      <c r="K28" s="6"/>
      <c r="L28" s="6"/>
      <c r="M28" s="6"/>
      <c r="N28" s="6"/>
      <c r="O28" s="6"/>
      <c r="P28" s="6"/>
      <c r="Q28" s="6"/>
      <c r="R28" s="6"/>
      <c r="S28" s="6"/>
      <c r="T28" s="6"/>
      <c r="U28" s="6"/>
      <c r="V28" s="6"/>
      <c r="W28" s="9"/>
    </row>
    <row r="29" ht="14.4" customHeight="1">
      <c r="A29" s="5"/>
      <c r="B29" s="6"/>
      <c r="C29" s="6"/>
      <c r="D29" s="6"/>
      <c r="E29" s="6"/>
      <c r="F29" s="6"/>
      <c r="G29" s="6"/>
      <c r="H29" s="6"/>
      <c r="I29" s="6"/>
      <c r="J29" s="6"/>
      <c r="K29" s="6"/>
      <c r="L29" s="6"/>
      <c r="M29" s="6"/>
      <c r="N29" s="6"/>
      <c r="O29" s="6"/>
      <c r="P29" s="6"/>
      <c r="Q29" s="6"/>
      <c r="R29" s="6"/>
      <c r="S29" s="6"/>
      <c r="T29" s="6"/>
      <c r="U29" s="6"/>
      <c r="V29" s="6"/>
      <c r="W29" s="9"/>
    </row>
    <row r="30" ht="14.4" customHeight="1">
      <c r="A30" s="5"/>
      <c r="B30" s="6"/>
      <c r="C30" s="6"/>
      <c r="D30" s="6"/>
      <c r="E30" s="6"/>
      <c r="F30" s="6"/>
      <c r="G30" s="6"/>
      <c r="H30" s="6"/>
      <c r="I30" s="6"/>
      <c r="J30" s="6"/>
      <c r="K30" s="6"/>
      <c r="L30" s="6"/>
      <c r="M30" s="6"/>
      <c r="N30" s="6"/>
      <c r="O30" s="6"/>
      <c r="P30" s="6"/>
      <c r="Q30" s="6"/>
      <c r="R30" s="6"/>
      <c r="S30" s="6"/>
      <c r="T30" s="6"/>
      <c r="U30" s="6"/>
      <c r="V30" s="6"/>
      <c r="W30" s="9"/>
    </row>
    <row r="31" ht="14.4" customHeight="1">
      <c r="A31" s="5"/>
      <c r="B31" s="6"/>
      <c r="C31" s="6"/>
      <c r="D31" s="6"/>
      <c r="E31" s="6"/>
      <c r="F31" s="6"/>
      <c r="G31" s="6"/>
      <c r="H31" s="6"/>
      <c r="I31" s="6"/>
      <c r="J31" s="6"/>
      <c r="K31" s="6"/>
      <c r="L31" s="6"/>
      <c r="M31" s="6"/>
      <c r="N31" s="6"/>
      <c r="O31" s="6"/>
      <c r="P31" s="6"/>
      <c r="Q31" s="6"/>
      <c r="R31" s="6"/>
      <c r="S31" s="6"/>
      <c r="T31" s="6"/>
      <c r="U31" s="6"/>
      <c r="V31" s="6"/>
      <c r="W31" s="9"/>
    </row>
    <row r="32" ht="14.4" customHeight="1">
      <c r="A32" s="5"/>
      <c r="B32" s="6"/>
      <c r="C32" s="6"/>
      <c r="D32" s="6"/>
      <c r="E32" s="6"/>
      <c r="F32" s="6"/>
      <c r="G32" s="6"/>
      <c r="H32" s="6"/>
      <c r="I32" s="6"/>
      <c r="J32" s="6"/>
      <c r="K32" s="6"/>
      <c r="L32" s="6"/>
      <c r="M32" s="6"/>
      <c r="N32" s="6"/>
      <c r="O32" s="6"/>
      <c r="P32" s="6"/>
      <c r="Q32" s="6"/>
      <c r="R32" s="6"/>
      <c r="S32" s="6"/>
      <c r="T32" s="6"/>
      <c r="U32" s="6"/>
      <c r="V32" s="6"/>
      <c r="W32" s="9"/>
    </row>
    <row r="33" ht="14.4" customHeight="1">
      <c r="A33" s="5"/>
      <c r="B33" s="6"/>
      <c r="C33" s="6"/>
      <c r="D33" s="6"/>
      <c r="E33" s="6"/>
      <c r="F33" s="6"/>
      <c r="G33" s="6"/>
      <c r="H33" s="6"/>
      <c r="I33" s="6"/>
      <c r="J33" s="6"/>
      <c r="K33" s="6"/>
      <c r="L33" s="6"/>
      <c r="M33" s="6"/>
      <c r="N33" s="6"/>
      <c r="O33" s="6"/>
      <c r="P33" s="6"/>
      <c r="Q33" s="6"/>
      <c r="R33" s="6"/>
      <c r="S33" s="6"/>
      <c r="T33" s="6"/>
      <c r="U33" s="6"/>
      <c r="V33" s="6"/>
      <c r="W33" s="9"/>
    </row>
    <row r="34" ht="14.4" customHeight="1">
      <c r="A34" s="5"/>
      <c r="B34" s="6"/>
      <c r="C34" s="6"/>
      <c r="D34" s="6"/>
      <c r="E34" s="6"/>
      <c r="F34" s="6"/>
      <c r="G34" s="6"/>
      <c r="H34" s="6"/>
      <c r="I34" s="6"/>
      <c r="J34" s="6"/>
      <c r="K34" s="6"/>
      <c r="L34" s="6"/>
      <c r="M34" s="6"/>
      <c r="N34" s="6"/>
      <c r="O34" s="6"/>
      <c r="P34" s="6"/>
      <c r="Q34" s="6"/>
      <c r="R34" s="6"/>
      <c r="S34" s="6"/>
      <c r="T34" s="6"/>
      <c r="U34" s="6"/>
      <c r="V34" s="6"/>
      <c r="W34" s="9"/>
    </row>
    <row r="35" ht="14.4" customHeight="1">
      <c r="A35" s="5"/>
      <c r="B35" s="6"/>
      <c r="C35" s="6"/>
      <c r="D35" s="6"/>
      <c r="E35" s="6"/>
      <c r="F35" s="6"/>
      <c r="G35" s="6"/>
      <c r="H35" s="6"/>
      <c r="I35" s="6"/>
      <c r="J35" s="6"/>
      <c r="K35" s="6"/>
      <c r="L35" s="6"/>
      <c r="M35" s="6"/>
      <c r="N35" s="6"/>
      <c r="O35" s="6"/>
      <c r="P35" s="6"/>
      <c r="Q35" s="6"/>
      <c r="R35" s="6"/>
      <c r="S35" s="6"/>
      <c r="T35" s="6"/>
      <c r="U35" s="6"/>
      <c r="V35" s="6"/>
      <c r="W35" s="9"/>
    </row>
    <row r="36" ht="14.4" customHeight="1">
      <c r="A36" s="5"/>
      <c r="B36" s="6"/>
      <c r="C36" s="6"/>
      <c r="D36" s="6"/>
      <c r="E36" s="6"/>
      <c r="F36" s="6"/>
      <c r="G36" s="6"/>
      <c r="H36" s="6"/>
      <c r="I36" s="6"/>
      <c r="J36" s="6"/>
      <c r="K36" s="6"/>
      <c r="L36" s="6"/>
      <c r="M36" s="6"/>
      <c r="N36" s="6"/>
      <c r="O36" s="6"/>
      <c r="P36" s="6"/>
      <c r="Q36" s="6"/>
      <c r="R36" s="6"/>
      <c r="S36" s="6"/>
      <c r="T36" s="6"/>
      <c r="U36" s="6"/>
      <c r="V36" s="6"/>
      <c r="W36" s="9"/>
    </row>
    <row r="37" ht="14.4" customHeight="1">
      <c r="A37" s="5"/>
      <c r="B37" s="6"/>
      <c r="C37" s="6"/>
      <c r="D37" s="6"/>
      <c r="E37" s="6"/>
      <c r="F37" s="6"/>
      <c r="G37" s="6"/>
      <c r="H37" s="6"/>
      <c r="I37" s="6"/>
      <c r="J37" s="6"/>
      <c r="K37" s="6"/>
      <c r="L37" s="6"/>
      <c r="M37" s="6"/>
      <c r="N37" s="6"/>
      <c r="O37" s="6"/>
      <c r="P37" s="6"/>
      <c r="Q37" s="6"/>
      <c r="R37" s="6"/>
      <c r="S37" s="6"/>
      <c r="T37" s="6"/>
      <c r="U37" s="6"/>
      <c r="V37" s="6"/>
      <c r="W37" s="9"/>
    </row>
    <row r="38" ht="14.4" customHeight="1">
      <c r="A38" s="5"/>
      <c r="B38" s="6"/>
      <c r="C38" s="6"/>
      <c r="D38" s="6"/>
      <c r="E38" s="6"/>
      <c r="F38" s="6"/>
      <c r="G38" s="6"/>
      <c r="H38" s="6"/>
      <c r="I38" s="6"/>
      <c r="J38" s="6"/>
      <c r="K38" s="6"/>
      <c r="L38" s="6"/>
      <c r="M38" s="6"/>
      <c r="N38" s="6"/>
      <c r="O38" s="6"/>
      <c r="P38" s="6"/>
      <c r="Q38" s="6"/>
      <c r="R38" s="6"/>
      <c r="S38" s="6"/>
      <c r="T38" s="6"/>
      <c r="U38" s="6"/>
      <c r="V38" s="6"/>
      <c r="W38" s="9"/>
    </row>
    <row r="39" ht="14.4" customHeight="1">
      <c r="A39" s="5"/>
      <c r="B39" s="6"/>
      <c r="C39" s="6"/>
      <c r="D39" s="6"/>
      <c r="E39" s="6"/>
      <c r="F39" s="6"/>
      <c r="G39" s="6"/>
      <c r="H39" s="6"/>
      <c r="I39" s="6"/>
      <c r="J39" s="6"/>
      <c r="K39" s="6"/>
      <c r="L39" s="6"/>
      <c r="M39" s="6"/>
      <c r="N39" s="6"/>
      <c r="O39" s="6"/>
      <c r="P39" s="6"/>
      <c r="Q39" s="6"/>
      <c r="R39" s="6"/>
      <c r="S39" s="6"/>
      <c r="T39" s="6"/>
      <c r="U39" s="6"/>
      <c r="V39" s="6"/>
      <c r="W39" s="9"/>
    </row>
    <row r="40" ht="14.4" customHeight="1">
      <c r="A40" s="5"/>
      <c r="B40" s="6"/>
      <c r="C40" s="6"/>
      <c r="D40" s="6"/>
      <c r="E40" s="6"/>
      <c r="F40" s="6"/>
      <c r="G40" s="6"/>
      <c r="H40" s="6"/>
      <c r="I40" s="6"/>
      <c r="J40" s="6"/>
      <c r="K40" s="6"/>
      <c r="L40" s="6"/>
      <c r="M40" s="6"/>
      <c r="N40" s="6"/>
      <c r="O40" s="6"/>
      <c r="P40" s="6"/>
      <c r="Q40" s="6"/>
      <c r="R40" s="6"/>
      <c r="S40" s="6"/>
      <c r="T40" s="6"/>
      <c r="U40" s="6"/>
      <c r="V40" s="6"/>
      <c r="W40" s="9"/>
    </row>
    <row r="41" ht="14.4" customHeight="1">
      <c r="A41" s="5"/>
      <c r="B41" s="6"/>
      <c r="C41" s="6"/>
      <c r="D41" s="6"/>
      <c r="E41" s="6"/>
      <c r="F41" s="6"/>
      <c r="G41" s="6"/>
      <c r="H41" s="6"/>
      <c r="I41" s="6"/>
      <c r="J41" s="6"/>
      <c r="K41" s="6"/>
      <c r="L41" s="6"/>
      <c r="M41" s="6"/>
      <c r="N41" s="6"/>
      <c r="O41" s="6"/>
      <c r="P41" s="6"/>
      <c r="Q41" s="6"/>
      <c r="R41" s="6"/>
      <c r="S41" s="6"/>
      <c r="T41" s="6"/>
      <c r="U41" s="6"/>
      <c r="V41" s="6"/>
      <c r="W41" s="9"/>
    </row>
    <row r="42" ht="14.4" customHeight="1">
      <c r="A42" s="5"/>
      <c r="B42" s="6"/>
      <c r="C42" s="6"/>
      <c r="D42" s="6"/>
      <c r="E42" s="6"/>
      <c r="F42" s="6"/>
      <c r="G42" s="6"/>
      <c r="H42" s="6"/>
      <c r="I42" s="6"/>
      <c r="J42" s="6"/>
      <c r="K42" s="6"/>
      <c r="L42" s="6"/>
      <c r="M42" s="6"/>
      <c r="N42" s="6"/>
      <c r="O42" s="6"/>
      <c r="P42" s="6"/>
      <c r="Q42" s="6"/>
      <c r="R42" s="6"/>
      <c r="S42" s="6"/>
      <c r="T42" s="6"/>
      <c r="U42" s="6"/>
      <c r="V42" s="6"/>
      <c r="W42" s="9"/>
    </row>
    <row r="43" ht="14.4" customHeight="1">
      <c r="A43" s="5"/>
      <c r="B43" s="6"/>
      <c r="C43" s="6"/>
      <c r="D43" s="6"/>
      <c r="E43" s="6"/>
      <c r="F43" s="6"/>
      <c r="G43" s="6"/>
      <c r="H43" s="6"/>
      <c r="I43" s="6"/>
      <c r="J43" s="6"/>
      <c r="K43" s="6"/>
      <c r="L43" s="6"/>
      <c r="M43" s="6"/>
      <c r="N43" s="6"/>
      <c r="O43" s="6"/>
      <c r="P43" s="6"/>
      <c r="Q43" s="6"/>
      <c r="R43" s="6"/>
      <c r="S43" s="6"/>
      <c r="T43" s="6"/>
      <c r="U43" s="6"/>
      <c r="V43" s="6"/>
      <c r="W43" s="9"/>
    </row>
    <row r="44" ht="14.4" customHeight="1">
      <c r="A44" s="5"/>
      <c r="B44" s="6"/>
      <c r="C44" s="6"/>
      <c r="D44" s="6"/>
      <c r="E44" s="6"/>
      <c r="F44" s="6"/>
      <c r="G44" s="6"/>
      <c r="H44" s="6"/>
      <c r="I44" s="6"/>
      <c r="J44" s="6"/>
      <c r="K44" s="6"/>
      <c r="L44" s="6"/>
      <c r="M44" s="6"/>
      <c r="N44" s="6"/>
      <c r="O44" s="6"/>
      <c r="P44" s="6"/>
      <c r="Q44" s="6"/>
      <c r="R44" s="6"/>
      <c r="S44" s="6"/>
      <c r="T44" s="6"/>
      <c r="U44" s="6"/>
      <c r="V44" s="6"/>
      <c r="W44" s="9"/>
    </row>
    <row r="45" ht="14.4" customHeight="1">
      <c r="A45" s="5"/>
      <c r="B45" s="6"/>
      <c r="C45" s="6"/>
      <c r="D45" s="6"/>
      <c r="E45" s="6"/>
      <c r="F45" s="6"/>
      <c r="G45" s="6"/>
      <c r="H45" s="6"/>
      <c r="I45" s="6"/>
      <c r="J45" s="6"/>
      <c r="K45" s="6"/>
      <c r="L45" s="6"/>
      <c r="M45" s="6"/>
      <c r="N45" s="6"/>
      <c r="O45" s="6"/>
      <c r="P45" s="6"/>
      <c r="Q45" s="6"/>
      <c r="R45" s="6"/>
      <c r="S45" s="6"/>
      <c r="T45" s="6"/>
      <c r="U45" s="6"/>
      <c r="V45" s="6"/>
      <c r="W45" s="9"/>
    </row>
    <row r="46" ht="14.4" customHeight="1">
      <c r="A46" s="5"/>
      <c r="B46" s="6"/>
      <c r="C46" s="6"/>
      <c r="D46" s="6"/>
      <c r="E46" s="6"/>
      <c r="F46" s="6"/>
      <c r="G46" s="6"/>
      <c r="H46" s="6"/>
      <c r="I46" s="6"/>
      <c r="J46" s="6"/>
      <c r="K46" s="6"/>
      <c r="L46" s="6"/>
      <c r="M46" s="6"/>
      <c r="N46" s="6"/>
      <c r="O46" s="6"/>
      <c r="P46" s="6"/>
      <c r="Q46" s="6"/>
      <c r="R46" s="6"/>
      <c r="S46" s="6"/>
      <c r="T46" s="6"/>
      <c r="U46" s="6"/>
      <c r="V46" s="6"/>
      <c r="W46" s="9"/>
    </row>
    <row r="47" ht="14.4" customHeight="1">
      <c r="A47" s="5"/>
      <c r="B47" s="6"/>
      <c r="C47" s="6"/>
      <c r="D47" s="6"/>
      <c r="E47" s="6"/>
      <c r="F47" s="6"/>
      <c r="G47" s="6"/>
      <c r="H47" s="6"/>
      <c r="I47" s="6"/>
      <c r="J47" s="6"/>
      <c r="K47" s="6"/>
      <c r="L47" s="6"/>
      <c r="M47" s="6"/>
      <c r="N47" s="6"/>
      <c r="O47" s="6"/>
      <c r="P47" s="6"/>
      <c r="Q47" s="6"/>
      <c r="R47" s="6"/>
      <c r="S47" s="6"/>
      <c r="T47" s="6"/>
      <c r="U47" s="6"/>
      <c r="V47" s="6"/>
      <c r="W47" s="9"/>
    </row>
    <row r="48" ht="14.4" customHeight="1">
      <c r="A48" s="5"/>
      <c r="B48" s="6"/>
      <c r="C48" s="6"/>
      <c r="D48" s="6"/>
      <c r="E48" s="6"/>
      <c r="F48" s="6"/>
      <c r="G48" s="6"/>
      <c r="H48" s="6"/>
      <c r="I48" s="6"/>
      <c r="J48" s="6"/>
      <c r="K48" s="6"/>
      <c r="L48" s="6"/>
      <c r="M48" s="6"/>
      <c r="N48" s="6"/>
      <c r="O48" s="6"/>
      <c r="P48" s="6"/>
      <c r="Q48" s="6"/>
      <c r="R48" s="6"/>
      <c r="S48" s="6"/>
      <c r="T48" s="6"/>
      <c r="U48" s="6"/>
      <c r="V48" s="6"/>
      <c r="W48" s="9"/>
    </row>
    <row r="49" ht="14.4" customHeight="1">
      <c r="A49" s="5"/>
      <c r="B49" s="6"/>
      <c r="C49" s="6"/>
      <c r="D49" s="6"/>
      <c r="E49" s="6"/>
      <c r="F49" s="6"/>
      <c r="G49" s="6"/>
      <c r="H49" s="6"/>
      <c r="I49" s="6"/>
      <c r="J49" s="6"/>
      <c r="K49" s="6"/>
      <c r="L49" s="6"/>
      <c r="M49" s="6"/>
      <c r="N49" s="6"/>
      <c r="O49" s="6"/>
      <c r="P49" s="6"/>
      <c r="Q49" s="6"/>
      <c r="R49" s="6"/>
      <c r="S49" s="6"/>
      <c r="T49" s="6"/>
      <c r="U49" s="6"/>
      <c r="V49" s="6"/>
      <c r="W49" s="9"/>
    </row>
    <row r="50" ht="14.4" customHeight="1">
      <c r="A50" s="5"/>
      <c r="B50" s="6"/>
      <c r="C50" s="6"/>
      <c r="D50" s="6"/>
      <c r="E50" s="6"/>
      <c r="F50" s="6"/>
      <c r="G50" s="6"/>
      <c r="H50" s="6"/>
      <c r="I50" s="6"/>
      <c r="J50" s="6"/>
      <c r="K50" s="6"/>
      <c r="L50" s="6"/>
      <c r="M50" s="6"/>
      <c r="N50" s="6"/>
      <c r="O50" s="6"/>
      <c r="P50" s="6"/>
      <c r="Q50" s="6"/>
      <c r="R50" s="6"/>
      <c r="S50" s="6"/>
      <c r="T50" s="6"/>
      <c r="U50" s="6"/>
      <c r="V50" s="6"/>
      <c r="W50" s="9"/>
    </row>
    <row r="51" ht="14.4" customHeight="1">
      <c r="A51" s="5"/>
      <c r="B51" s="6"/>
      <c r="C51" s="6"/>
      <c r="D51" s="6"/>
      <c r="E51" s="6"/>
      <c r="F51" s="6"/>
      <c r="G51" s="6"/>
      <c r="H51" s="6"/>
      <c r="I51" s="6"/>
      <c r="J51" s="6"/>
      <c r="K51" s="6"/>
      <c r="L51" s="6"/>
      <c r="M51" s="6"/>
      <c r="N51" s="6"/>
      <c r="O51" s="6"/>
      <c r="P51" s="6"/>
      <c r="Q51" s="6"/>
      <c r="R51" s="6"/>
      <c r="S51" s="6"/>
      <c r="T51" s="6"/>
      <c r="U51" s="6"/>
      <c r="V51" s="6"/>
      <c r="W51" s="9"/>
    </row>
    <row r="52" ht="14.4" customHeight="1">
      <c r="A52" s="5"/>
      <c r="B52" s="6"/>
      <c r="C52" s="6"/>
      <c r="D52" s="6"/>
      <c r="E52" s="6"/>
      <c r="F52" s="6"/>
      <c r="G52" s="6"/>
      <c r="H52" s="6"/>
      <c r="I52" s="6"/>
      <c r="J52" s="6"/>
      <c r="K52" s="6"/>
      <c r="L52" s="6"/>
      <c r="M52" s="6"/>
      <c r="N52" s="6"/>
      <c r="O52" s="6"/>
      <c r="P52" s="6"/>
      <c r="Q52" s="6"/>
      <c r="R52" s="6"/>
      <c r="S52" s="6"/>
      <c r="T52" s="6"/>
      <c r="U52" s="6"/>
      <c r="V52" s="6"/>
      <c r="W52" s="9"/>
    </row>
    <row r="53" ht="14.4" customHeight="1">
      <c r="A53" s="5"/>
      <c r="B53" s="6"/>
      <c r="C53" s="6"/>
      <c r="D53" s="6"/>
      <c r="E53" s="6"/>
      <c r="F53" s="6"/>
      <c r="G53" s="6"/>
      <c r="H53" s="6"/>
      <c r="I53" s="6"/>
      <c r="J53" s="6"/>
      <c r="K53" s="6"/>
      <c r="L53" s="6"/>
      <c r="M53" s="6"/>
      <c r="N53" s="6"/>
      <c r="O53" s="6"/>
      <c r="P53" s="6"/>
      <c r="Q53" s="6"/>
      <c r="R53" s="6"/>
      <c r="S53" s="6"/>
      <c r="T53" s="6"/>
      <c r="U53" s="6"/>
      <c r="V53" s="6"/>
      <c r="W53" s="9"/>
    </row>
    <row r="54" ht="14.4" customHeight="1">
      <c r="A54" s="5"/>
      <c r="B54" s="6"/>
      <c r="C54" s="6"/>
      <c r="D54" s="6"/>
      <c r="E54" s="6"/>
      <c r="F54" s="6"/>
      <c r="G54" s="6"/>
      <c r="H54" s="6"/>
      <c r="I54" s="6"/>
      <c r="J54" s="6"/>
      <c r="K54" s="6"/>
      <c r="L54" s="6"/>
      <c r="M54" s="6"/>
      <c r="N54" s="6"/>
      <c r="O54" s="6"/>
      <c r="P54" s="6"/>
      <c r="Q54" s="6"/>
      <c r="R54" s="6"/>
      <c r="S54" s="6"/>
      <c r="T54" s="6"/>
      <c r="U54" s="6"/>
      <c r="V54" s="6"/>
      <c r="W54" s="9"/>
    </row>
    <row r="55" ht="14.4" customHeight="1">
      <c r="A55" s="5"/>
      <c r="B55" s="6"/>
      <c r="C55" s="6"/>
      <c r="D55" s="6"/>
      <c r="E55" s="6"/>
      <c r="F55" s="6"/>
      <c r="G55" s="6"/>
      <c r="H55" s="6"/>
      <c r="I55" s="6"/>
      <c r="J55" s="6"/>
      <c r="K55" s="6"/>
      <c r="L55" s="6"/>
      <c r="M55" s="6"/>
      <c r="N55" s="6"/>
      <c r="O55" s="6"/>
      <c r="P55" s="6"/>
      <c r="Q55" s="6"/>
      <c r="R55" s="6"/>
      <c r="S55" s="6"/>
      <c r="T55" s="6"/>
      <c r="U55" s="6"/>
      <c r="V55" s="6"/>
      <c r="W55" s="9"/>
    </row>
    <row r="56" ht="14.4" customHeight="1">
      <c r="A56" s="5"/>
      <c r="B56" s="6"/>
      <c r="C56" s="6"/>
      <c r="D56" s="6"/>
      <c r="E56" s="6"/>
      <c r="F56" s="6"/>
      <c r="G56" s="6"/>
      <c r="H56" s="6"/>
      <c r="I56" s="6"/>
      <c r="J56" s="6"/>
      <c r="K56" s="6"/>
      <c r="L56" s="6"/>
      <c r="M56" s="6"/>
      <c r="N56" s="6"/>
      <c r="O56" s="6"/>
      <c r="P56" s="6"/>
      <c r="Q56" s="6"/>
      <c r="R56" s="6"/>
      <c r="S56" s="6"/>
      <c r="T56" s="6"/>
      <c r="U56" s="6"/>
      <c r="V56" s="6"/>
      <c r="W56" s="9"/>
    </row>
    <row r="57" ht="14.4" customHeight="1">
      <c r="A57" s="5"/>
      <c r="B57" s="6"/>
      <c r="C57" s="6"/>
      <c r="D57" s="6"/>
      <c r="E57" s="6"/>
      <c r="F57" s="6"/>
      <c r="G57" s="6"/>
      <c r="H57" s="6"/>
      <c r="I57" s="6"/>
      <c r="J57" s="6"/>
      <c r="K57" s="6"/>
      <c r="L57" s="6"/>
      <c r="M57" s="6"/>
      <c r="N57" s="6"/>
      <c r="O57" s="6"/>
      <c r="P57" s="6"/>
      <c r="Q57" s="6"/>
      <c r="R57" s="6"/>
      <c r="S57" s="6"/>
      <c r="T57" s="6"/>
      <c r="U57" s="6"/>
      <c r="V57" s="6"/>
      <c r="W57" s="9"/>
    </row>
    <row r="58" ht="14.4" customHeight="1">
      <c r="A58" s="5"/>
      <c r="B58" s="6"/>
      <c r="C58" s="6"/>
      <c r="D58" s="6"/>
      <c r="E58" s="6"/>
      <c r="F58" s="6"/>
      <c r="G58" s="6"/>
      <c r="H58" s="6"/>
      <c r="I58" s="6"/>
      <c r="J58" s="6"/>
      <c r="K58" s="6"/>
      <c r="L58" s="6"/>
      <c r="M58" s="6"/>
      <c r="N58" s="6"/>
      <c r="O58" s="6"/>
      <c r="P58" s="6"/>
      <c r="Q58" s="6"/>
      <c r="R58" s="6"/>
      <c r="S58" s="6"/>
      <c r="T58" s="6"/>
      <c r="U58" s="6"/>
      <c r="V58" s="6"/>
      <c r="W58" s="9"/>
    </row>
    <row r="59" ht="14.4" customHeight="1">
      <c r="A59" s="5"/>
      <c r="B59" s="6"/>
      <c r="C59" s="6"/>
      <c r="D59" s="6"/>
      <c r="E59" s="6"/>
      <c r="F59" s="6"/>
      <c r="G59" s="6"/>
      <c r="H59" s="6"/>
      <c r="I59" s="6"/>
      <c r="J59" s="6"/>
      <c r="K59" s="6"/>
      <c r="L59" s="6"/>
      <c r="M59" s="6"/>
      <c r="N59" s="6"/>
      <c r="O59" s="6"/>
      <c r="P59" s="6"/>
      <c r="Q59" s="6"/>
      <c r="R59" s="6"/>
      <c r="S59" s="6"/>
      <c r="T59" s="6"/>
      <c r="U59" s="6"/>
      <c r="V59" s="6"/>
      <c r="W59" s="9"/>
    </row>
    <row r="60" ht="14.4" customHeight="1">
      <c r="A60" s="5"/>
      <c r="B60" s="6"/>
      <c r="C60" s="6"/>
      <c r="D60" s="6"/>
      <c r="E60" s="6"/>
      <c r="F60" s="6"/>
      <c r="G60" s="6"/>
      <c r="H60" s="6"/>
      <c r="I60" s="6"/>
      <c r="J60" s="6"/>
      <c r="K60" s="6"/>
      <c r="L60" s="6"/>
      <c r="M60" s="6"/>
      <c r="N60" s="6"/>
      <c r="O60" s="6"/>
      <c r="P60" s="6"/>
      <c r="Q60" s="6"/>
      <c r="R60" s="6"/>
      <c r="S60" s="6"/>
      <c r="T60" s="6"/>
      <c r="U60" s="6"/>
      <c r="V60" s="6"/>
      <c r="W60" s="9"/>
    </row>
    <row r="61" ht="14.4" customHeight="1">
      <c r="A61" s="5"/>
      <c r="B61" s="6"/>
      <c r="C61" s="6"/>
      <c r="D61" s="6"/>
      <c r="E61" s="6"/>
      <c r="F61" s="6"/>
      <c r="G61" s="6"/>
      <c r="H61" s="6"/>
      <c r="I61" s="6"/>
      <c r="J61" s="6"/>
      <c r="K61" s="6"/>
      <c r="L61" s="6"/>
      <c r="M61" s="6"/>
      <c r="N61" s="6"/>
      <c r="O61" s="6"/>
      <c r="P61" s="6"/>
      <c r="Q61" s="6"/>
      <c r="R61" s="6"/>
      <c r="S61" s="6"/>
      <c r="T61" s="6"/>
      <c r="U61" s="6"/>
      <c r="V61" s="6"/>
      <c r="W61" s="9"/>
    </row>
    <row r="62" ht="14.4" customHeight="1">
      <c r="A62" s="5"/>
      <c r="B62" s="6"/>
      <c r="C62" s="6"/>
      <c r="D62" s="6"/>
      <c r="E62" s="6"/>
      <c r="F62" s="6"/>
      <c r="G62" s="6"/>
      <c r="H62" s="6"/>
      <c r="I62" s="6"/>
      <c r="J62" s="6"/>
      <c r="K62" s="6"/>
      <c r="L62" s="6"/>
      <c r="M62" s="6"/>
      <c r="N62" s="6"/>
      <c r="O62" s="6"/>
      <c r="P62" s="6"/>
      <c r="Q62" s="6"/>
      <c r="R62" s="6"/>
      <c r="S62" s="6"/>
      <c r="T62" s="6"/>
      <c r="U62" s="6"/>
      <c r="V62" s="6"/>
      <c r="W62" s="9"/>
    </row>
    <row r="63" ht="14.4" customHeight="1">
      <c r="A63" s="5"/>
      <c r="B63" s="6"/>
      <c r="C63" s="6"/>
      <c r="D63" s="6"/>
      <c r="E63" s="6"/>
      <c r="F63" s="6"/>
      <c r="G63" s="6"/>
      <c r="H63" s="6"/>
      <c r="I63" s="6"/>
      <c r="J63" s="6"/>
      <c r="K63" s="6"/>
      <c r="L63" s="6"/>
      <c r="M63" s="6"/>
      <c r="N63" s="6"/>
      <c r="O63" s="6"/>
      <c r="P63" s="6"/>
      <c r="Q63" s="6"/>
      <c r="R63" s="6"/>
      <c r="S63" s="6"/>
      <c r="T63" s="6"/>
      <c r="U63" s="6"/>
      <c r="V63" s="6"/>
      <c r="W63" s="9"/>
    </row>
    <row r="64" ht="14.4" customHeight="1">
      <c r="A64" s="5"/>
      <c r="B64" s="6"/>
      <c r="C64" s="6"/>
      <c r="D64" s="6"/>
      <c r="E64" s="6"/>
      <c r="F64" s="6"/>
      <c r="G64" s="6"/>
      <c r="H64" s="6"/>
      <c r="I64" s="6"/>
      <c r="J64" s="6"/>
      <c r="K64" s="6"/>
      <c r="L64" s="6"/>
      <c r="M64" s="6"/>
      <c r="N64" s="6"/>
      <c r="O64" s="6"/>
      <c r="P64" s="6"/>
      <c r="Q64" s="6"/>
      <c r="R64" s="6"/>
      <c r="S64" s="6"/>
      <c r="T64" s="6"/>
      <c r="U64" s="6"/>
      <c r="V64" s="6"/>
      <c r="W64" s="9"/>
    </row>
    <row r="65" ht="14.4" customHeight="1">
      <c r="A65" s="5"/>
      <c r="B65" s="6"/>
      <c r="C65" s="6"/>
      <c r="D65" s="6"/>
      <c r="E65" s="6"/>
      <c r="F65" s="6"/>
      <c r="G65" s="6"/>
      <c r="H65" s="6"/>
      <c r="I65" s="6"/>
      <c r="J65" s="6"/>
      <c r="K65" s="6"/>
      <c r="L65" s="6"/>
      <c r="M65" s="6"/>
      <c r="N65" s="6"/>
      <c r="O65" s="6"/>
      <c r="P65" s="6"/>
      <c r="Q65" s="6"/>
      <c r="R65" s="6"/>
      <c r="S65" s="6"/>
      <c r="T65" s="6"/>
      <c r="U65" s="6"/>
      <c r="V65" s="6"/>
      <c r="W65" s="9"/>
    </row>
    <row r="66" ht="14.4" customHeight="1">
      <c r="A66" s="5"/>
      <c r="B66" s="6"/>
      <c r="C66" s="6"/>
      <c r="D66" s="6"/>
      <c r="E66" s="6"/>
      <c r="F66" s="6"/>
      <c r="G66" s="6"/>
      <c r="H66" s="6"/>
      <c r="I66" s="6"/>
      <c r="J66" s="6"/>
      <c r="K66" s="6"/>
      <c r="L66" s="6"/>
      <c r="M66" s="6"/>
      <c r="N66" s="6"/>
      <c r="O66" s="6"/>
      <c r="P66" s="6"/>
      <c r="Q66" s="6"/>
      <c r="R66" s="6"/>
      <c r="S66" s="6"/>
      <c r="T66" s="6"/>
      <c r="U66" s="6"/>
      <c r="V66" s="6"/>
      <c r="W66" s="9"/>
    </row>
    <row r="67" ht="14.4" customHeight="1">
      <c r="A67" s="5"/>
      <c r="B67" s="6"/>
      <c r="C67" s="6"/>
      <c r="D67" s="6"/>
      <c r="E67" s="6"/>
      <c r="F67" s="6"/>
      <c r="G67" s="6"/>
      <c r="H67" s="6"/>
      <c r="I67" s="6"/>
      <c r="J67" s="6"/>
      <c r="K67" s="6"/>
      <c r="L67" s="6"/>
      <c r="M67" s="6"/>
      <c r="N67" s="6"/>
      <c r="O67" s="6"/>
      <c r="P67" s="6"/>
      <c r="Q67" s="6"/>
      <c r="R67" s="6"/>
      <c r="S67" s="6"/>
      <c r="T67" s="6"/>
      <c r="U67" s="6"/>
      <c r="V67" s="6"/>
      <c r="W67" s="9"/>
    </row>
    <row r="68" ht="14.4" customHeight="1">
      <c r="A68" s="5"/>
      <c r="B68" s="6"/>
      <c r="C68" s="6"/>
      <c r="D68" s="6"/>
      <c r="E68" s="6"/>
      <c r="F68" s="6"/>
      <c r="G68" s="6"/>
      <c r="H68" s="6"/>
      <c r="I68" s="6"/>
      <c r="J68" s="6"/>
      <c r="K68" s="6"/>
      <c r="L68" s="6"/>
      <c r="M68" s="6"/>
      <c r="N68" s="6"/>
      <c r="O68" s="6"/>
      <c r="P68" s="6"/>
      <c r="Q68" s="6"/>
      <c r="R68" s="6"/>
      <c r="S68" s="6"/>
      <c r="T68" s="6"/>
      <c r="U68" s="6"/>
      <c r="V68" s="6"/>
      <c r="W68" s="9"/>
    </row>
    <row r="69" ht="14.4" customHeight="1">
      <c r="A69" s="5"/>
      <c r="B69" s="6"/>
      <c r="C69" s="6"/>
      <c r="D69" s="6"/>
      <c r="E69" s="6"/>
      <c r="F69" s="6"/>
      <c r="G69" s="6"/>
      <c r="H69" s="6"/>
      <c r="I69" s="6"/>
      <c r="J69" s="6"/>
      <c r="K69" s="6"/>
      <c r="L69" s="6"/>
      <c r="M69" s="6"/>
      <c r="N69" s="6"/>
      <c r="O69" s="6"/>
      <c r="P69" s="6"/>
      <c r="Q69" s="6"/>
      <c r="R69" s="6"/>
      <c r="S69" s="6"/>
      <c r="T69" s="6"/>
      <c r="U69" s="6"/>
      <c r="V69" s="6"/>
      <c r="W69" s="9"/>
    </row>
    <row r="70" ht="14.4" customHeight="1">
      <c r="A70" s="5"/>
      <c r="B70" s="6"/>
      <c r="C70" s="6"/>
      <c r="D70" s="6"/>
      <c r="E70" s="6"/>
      <c r="F70" s="6"/>
      <c r="G70" s="6"/>
      <c r="H70" s="6"/>
      <c r="I70" s="6"/>
      <c r="J70" s="6"/>
      <c r="K70" s="6"/>
      <c r="L70" s="6"/>
      <c r="M70" s="6"/>
      <c r="N70" s="6"/>
      <c r="O70" s="6"/>
      <c r="P70" s="6"/>
      <c r="Q70" s="6"/>
      <c r="R70" s="6"/>
      <c r="S70" s="6"/>
      <c r="T70" s="6"/>
      <c r="U70" s="6"/>
      <c r="V70" s="6"/>
      <c r="W70" s="9"/>
    </row>
    <row r="71" ht="14.4" customHeight="1">
      <c r="A71" s="5"/>
      <c r="B71" s="6"/>
      <c r="C71" s="6"/>
      <c r="D71" s="6"/>
      <c r="E71" s="6"/>
      <c r="F71" s="6"/>
      <c r="G71" s="6"/>
      <c r="H71" s="6"/>
      <c r="I71" s="6"/>
      <c r="J71" s="6"/>
      <c r="K71" s="6"/>
      <c r="L71" s="6"/>
      <c r="M71" s="6"/>
      <c r="N71" s="6"/>
      <c r="O71" s="6"/>
      <c r="P71" s="6"/>
      <c r="Q71" s="6"/>
      <c r="R71" s="6"/>
      <c r="S71" s="6"/>
      <c r="T71" s="6"/>
      <c r="U71" s="6"/>
      <c r="V71" s="6"/>
      <c r="W71" s="9"/>
    </row>
    <row r="72" ht="14.4" customHeight="1">
      <c r="A72" s="5"/>
      <c r="B72" s="6"/>
      <c r="C72" s="6"/>
      <c r="D72" s="6"/>
      <c r="E72" s="6"/>
      <c r="F72" s="6"/>
      <c r="G72" s="6"/>
      <c r="H72" s="6"/>
      <c r="I72" s="6"/>
      <c r="J72" s="6"/>
      <c r="K72" s="6"/>
      <c r="L72" s="6"/>
      <c r="M72" s="6"/>
      <c r="N72" s="6"/>
      <c r="O72" s="6"/>
      <c r="P72" s="6"/>
      <c r="Q72" s="6"/>
      <c r="R72" s="6"/>
      <c r="S72" s="6"/>
      <c r="T72" s="6"/>
      <c r="U72" s="6"/>
      <c r="V72" s="6"/>
      <c r="W72" s="9"/>
    </row>
    <row r="73" ht="14.4" customHeight="1">
      <c r="A73" s="5"/>
      <c r="B73" s="6"/>
      <c r="C73" s="6"/>
      <c r="D73" s="6"/>
      <c r="E73" s="6"/>
      <c r="F73" s="6"/>
      <c r="G73" s="6"/>
      <c r="H73" s="6"/>
      <c r="I73" s="6"/>
      <c r="J73" s="6"/>
      <c r="K73" s="6"/>
      <c r="L73" s="6"/>
      <c r="M73" s="6"/>
      <c r="N73" s="6"/>
      <c r="O73" s="6"/>
      <c r="P73" s="6"/>
      <c r="Q73" s="6"/>
      <c r="R73" s="6"/>
      <c r="S73" s="6"/>
      <c r="T73" s="6"/>
      <c r="U73" s="6"/>
      <c r="V73" s="6"/>
      <c r="W73" s="9"/>
    </row>
    <row r="74" ht="14.4" customHeight="1">
      <c r="A74" s="5"/>
      <c r="B74" s="6"/>
      <c r="C74" s="6"/>
      <c r="D74" s="6"/>
      <c r="E74" s="6"/>
      <c r="F74" s="6"/>
      <c r="G74" s="6"/>
      <c r="H74" s="6"/>
      <c r="I74" s="6"/>
      <c r="J74" s="6"/>
      <c r="K74" s="6"/>
      <c r="L74" s="6"/>
      <c r="M74" s="6"/>
      <c r="N74" s="6"/>
      <c r="O74" s="6"/>
      <c r="P74" s="6"/>
      <c r="Q74" s="6"/>
      <c r="R74" s="6"/>
      <c r="S74" s="6"/>
      <c r="T74" s="6"/>
      <c r="U74" s="6"/>
      <c r="V74" s="6"/>
      <c r="W74" s="9"/>
    </row>
    <row r="75" ht="14.4" customHeight="1">
      <c r="A75" s="5"/>
      <c r="B75" s="6"/>
      <c r="C75" s="6"/>
      <c r="D75" s="6"/>
      <c r="E75" s="6"/>
      <c r="F75" s="6"/>
      <c r="G75" s="6"/>
      <c r="H75" s="6"/>
      <c r="I75" s="6"/>
      <c r="J75" s="6"/>
      <c r="K75" s="6"/>
      <c r="L75" s="6"/>
      <c r="M75" s="6"/>
      <c r="N75" s="6"/>
      <c r="O75" s="6"/>
      <c r="P75" s="6"/>
      <c r="Q75" s="6"/>
      <c r="R75" s="6"/>
      <c r="S75" s="6"/>
      <c r="T75" s="6"/>
      <c r="U75" s="6"/>
      <c r="V75" s="6"/>
      <c r="W75" s="9"/>
    </row>
    <row r="76" ht="22.2" customHeight="1">
      <c r="A76" s="11"/>
      <c r="B76" t="s" s="12">
        <v>2</v>
      </c>
      <c r="C76" s="13"/>
      <c r="D76" s="13"/>
      <c r="E76" s="13"/>
      <c r="F76" s="13"/>
      <c r="G76" s="13"/>
      <c r="H76" s="13"/>
      <c r="I76" s="13"/>
      <c r="J76" s="13"/>
      <c r="K76" s="13"/>
      <c r="L76" s="13"/>
      <c r="M76" s="13"/>
      <c r="N76" s="13"/>
      <c r="O76" s="13"/>
      <c r="P76" s="13"/>
      <c r="Q76" s="13"/>
      <c r="R76" s="13"/>
      <c r="S76" s="13"/>
      <c r="T76" s="13"/>
      <c r="U76" s="13"/>
      <c r="V76" s="13"/>
      <c r="W76" s="14"/>
    </row>
  </sheetData>
  <pageMargins left="0.7" right="0.7" top="0.75" bottom="0.75" header="0.3" footer="0.3"/>
  <pageSetup firstPageNumber="1" fitToHeight="1" fitToWidth="1" scale="100" useFirstPageNumber="0" orientation="portrait" pageOrder="downThenOver"/>
  <headerFooter>
    <oddFooter>&amp;C&amp;"Helvetica Neue,Regular"&amp;12&amp;K000000&amp;P</oddFooter>
  </headerFooter>
  <drawing r:id="rId1"/>
</worksheet>
</file>

<file path=xl/worksheets/sheet10.xml><?xml version="1.0" encoding="utf-8"?>
<worksheet xmlns:r="http://schemas.openxmlformats.org/officeDocument/2006/relationships" xmlns="http://schemas.openxmlformats.org/spreadsheetml/2006/main">
  <dimension ref="A1:P118"/>
  <sheetViews>
    <sheetView workbookViewId="0" showGridLines="0" defaultGridColor="1"/>
  </sheetViews>
  <sheetFormatPr defaultColWidth="10.8333" defaultRowHeight="14.4" customHeight="1" outlineLevelRow="0" outlineLevelCol="0"/>
  <cols>
    <col min="1" max="1" width="2.85156" style="827" customWidth="1"/>
    <col min="2" max="2" width="4" style="827" customWidth="1"/>
    <col min="3" max="5" hidden="1" width="10.8333" style="827" customWidth="1"/>
    <col min="6" max="6" width="10.8516" style="827" customWidth="1"/>
    <col min="7" max="7" width="36.1719" style="827" customWidth="1"/>
    <col min="8" max="8" width="28.5" style="827" customWidth="1"/>
    <col min="9" max="9" width="17.6719" style="827" customWidth="1"/>
    <col min="10" max="10" width="66.8516" style="827" customWidth="1"/>
    <col min="11" max="11" width="80.8516" style="827" customWidth="1"/>
    <col min="12" max="12" width="10.8516" style="827" customWidth="1"/>
    <col min="13" max="13" width="28" style="827" customWidth="1"/>
    <col min="14" max="14" width="16.5" style="827" customWidth="1"/>
    <col min="15" max="16" width="4" style="827" customWidth="1"/>
    <col min="17" max="16384" width="10.8516" style="827" customWidth="1"/>
  </cols>
  <sheetData>
    <row r="1" ht="45" customHeight="1">
      <c r="A1" s="497"/>
      <c r="B1" t="s" s="498">
        <v>1853</v>
      </c>
      <c r="C1" s="499"/>
      <c r="D1" s="499"/>
      <c r="E1" s="499"/>
      <c r="F1" s="499"/>
      <c r="G1" s="500"/>
      <c r="H1" s="501"/>
      <c r="I1" s="501"/>
      <c r="J1" t="s" s="502">
        <f>VLOOKUP($E$12,'BDD'!$A$2:$N$567,3,FALSE)</f>
        <v>225</v>
      </c>
      <c r="K1" s="501"/>
      <c r="L1" s="500"/>
      <c r="M1" s="500"/>
      <c r="N1" s="500"/>
      <c r="O1" s="500"/>
      <c r="P1" s="503"/>
    </row>
    <row r="2" ht="45" customHeight="1">
      <c r="A2" s="504"/>
      <c r="B2" s="505"/>
      <c r="C2" s="505"/>
      <c r="D2" s="505"/>
      <c r="E2" s="505"/>
      <c r="F2" s="505"/>
      <c r="G2" s="505"/>
      <c r="H2" s="505"/>
      <c r="I2" s="505"/>
      <c r="J2" t="s" s="506">
        <f>VLOOKUP($E$12,'BDD'!$A$2:$N$567,4,FALSE)</f>
        <v>388</v>
      </c>
      <c r="K2" s="505"/>
      <c r="L2" s="505"/>
      <c r="M2" s="505"/>
      <c r="N2" s="505"/>
      <c r="O2" s="505"/>
      <c r="P2" s="507"/>
    </row>
    <row r="3" ht="18" customHeight="1">
      <c r="A3" s="504"/>
      <c r="B3" s="61"/>
      <c r="C3" s="61"/>
      <c r="D3" s="61"/>
      <c r="E3" s="61"/>
      <c r="F3" s="61"/>
      <c r="G3" t="s" s="508">
        <f>IF('Suppl'!B64=2,"Le vecteur n'est pas utilisé","")</f>
      </c>
      <c r="H3" s="509"/>
      <c r="I3" s="509"/>
      <c r="J3" s="509"/>
      <c r="K3" s="509"/>
      <c r="L3" s="510"/>
      <c r="M3" s="61"/>
      <c r="N3" s="61"/>
      <c r="O3" s="61"/>
      <c r="P3" s="507"/>
    </row>
    <row r="4" ht="14.4" customHeight="1">
      <c r="A4" s="504"/>
      <c r="B4" s="61"/>
      <c r="C4" s="61"/>
      <c r="D4" s="61"/>
      <c r="E4" s="61"/>
      <c r="F4" s="61"/>
      <c r="G4" s="61"/>
      <c r="H4" s="61"/>
      <c r="I4" s="61"/>
      <c r="J4" s="61"/>
      <c r="K4" s="61"/>
      <c r="L4" s="61"/>
      <c r="M4" s="61"/>
      <c r="N4" s="61"/>
      <c r="O4" s="61"/>
      <c r="P4" s="507"/>
    </row>
    <row r="5" ht="25.8" customHeight="1">
      <c r="A5" s="511"/>
      <c r="B5" s="512"/>
      <c r="C5" t="s" s="513">
        <f>IF(LEFT(RIGHT($B$1,2),1)=" ",RIGHT($B$1,1),RIGHT($B$1,2))</f>
        <v>1854</v>
      </c>
      <c r="D5" s="514">
        <f>IF(LEFT(F5,14)="Bonne pratique",D4+1,D4)</f>
        <v>1</v>
      </c>
      <c r="E5" s="515"/>
      <c r="F5" t="s" s="516">
        <v>1762</v>
      </c>
      <c r="G5" s="517"/>
      <c r="H5" s="518"/>
      <c r="I5" s="519"/>
      <c r="J5" t="s" s="520">
        <f>VLOOKUP(E12,'BDD'!$A$2:$N$567,6,FALSE)</f>
        <v>389</v>
      </c>
      <c r="K5" s="521"/>
      <c r="L5" s="517"/>
      <c r="M5" s="517"/>
      <c r="N5" s="517"/>
      <c r="O5" s="512"/>
      <c r="P5" s="522"/>
    </row>
    <row r="6" ht="14.4" customHeight="1">
      <c r="A6" s="504"/>
      <c r="B6" s="61"/>
      <c r="C6" t="s" s="513">
        <f>IF(LEFT(RIGHT($B$1,2),1)=" ",RIGHT($B$1,1),RIGHT($B$1,2))</f>
        <v>1854</v>
      </c>
      <c r="D6" s="514">
        <f>IF(LEFT(F6,14)="Bonne pratique",D5+1,D5)</f>
        <v>1</v>
      </c>
      <c r="E6" s="61"/>
      <c r="F6" s="61"/>
      <c r="G6" s="61"/>
      <c r="H6" s="61"/>
      <c r="I6" s="61"/>
      <c r="J6" s="61"/>
      <c r="K6" s="61"/>
      <c r="L6" s="61"/>
      <c r="M6" s="61"/>
      <c r="N6" s="61"/>
      <c r="O6" s="61"/>
      <c r="P6" s="507"/>
    </row>
    <row r="7" ht="23.4" customHeight="1">
      <c r="A7" s="523"/>
      <c r="B7" s="524"/>
      <c r="C7" t="s" s="513">
        <f>IF(LEFT(RIGHT($B$1,2),1)=" ",RIGHT($B$1,1),RIGHT($B$1,2))</f>
        <v>1854</v>
      </c>
      <c r="D7" s="514">
        <f>IF(LEFT(F7,14)="Bonne pratique",D6+1,D6)</f>
        <v>1</v>
      </c>
      <c r="E7" s="524"/>
      <c r="F7" s="524"/>
      <c r="G7" s="524"/>
      <c r="H7" s="524"/>
      <c r="I7" s="525"/>
      <c r="J7" t="s" s="526">
        <v>390</v>
      </c>
      <c r="K7" s="525"/>
      <c r="L7" s="524"/>
      <c r="M7" s="524"/>
      <c r="N7" s="524"/>
      <c r="O7" s="524"/>
      <c r="P7" s="527"/>
    </row>
    <row r="8" ht="18" customHeight="1">
      <c r="A8" s="504"/>
      <c r="B8" s="61"/>
      <c r="C8" t="s" s="513">
        <f>IF(LEFT(RIGHT($B$1,2),1)=" ",RIGHT($B$1,1),RIGHT($B$1,2))</f>
        <v>1854</v>
      </c>
      <c r="D8" s="514">
        <f>IF(LEFT(F8,14)="Bonne pratique",D7+1,D7)</f>
        <v>1</v>
      </c>
      <c r="E8" s="61"/>
      <c r="F8" s="61"/>
      <c r="G8" s="61"/>
      <c r="H8" s="61"/>
      <c r="I8" s="61"/>
      <c r="J8" s="528"/>
      <c r="K8" s="61"/>
      <c r="L8" s="61"/>
      <c r="M8" s="529"/>
      <c r="N8" s="529"/>
      <c r="O8" s="61"/>
      <c r="P8" s="507"/>
    </row>
    <row r="9" ht="14.4" customHeight="1">
      <c r="A9" s="504"/>
      <c r="B9" s="61"/>
      <c r="C9" t="s" s="513">
        <f>IF(LEFT(RIGHT($B$1,2),1)=" ",RIGHT($B$1,1),RIGHT($B$1,2))</f>
        <v>1854</v>
      </c>
      <c r="D9" s="514">
        <f>IF(LEFT(F9,14)="Bonne pratique",D8+1,D8)</f>
        <v>1</v>
      </c>
      <c r="E9" s="61"/>
      <c r="F9" s="61"/>
      <c r="G9" s="530"/>
      <c r="H9" s="530"/>
      <c r="I9" s="530"/>
      <c r="J9" s="530"/>
      <c r="K9" s="530"/>
      <c r="L9" s="531"/>
      <c r="M9" t="s" s="532">
        <v>1763</v>
      </c>
      <c r="N9" s="533"/>
      <c r="O9" s="534"/>
      <c r="P9" s="507"/>
    </row>
    <row r="10" ht="33" customHeight="1">
      <c r="A10" s="504"/>
      <c r="B10" s="61"/>
      <c r="C10" t="s" s="513">
        <f>IF(LEFT(RIGHT($B$1,2),1)=" ",RIGHT($B$1,1),RIGHT($B$1,2))</f>
        <v>1854</v>
      </c>
      <c r="D10" s="514">
        <f>IF(LEFT(F10,14)="Bonne pratique",D9+1,D9)</f>
        <v>1</v>
      </c>
      <c r="E10" s="61"/>
      <c r="F10" s="535"/>
      <c r="G10" t="s" s="536">
        <v>244</v>
      </c>
      <c r="H10" t="s" s="536">
        <v>1764</v>
      </c>
      <c r="I10" t="s" s="537">
        <v>245</v>
      </c>
      <c r="J10" t="s" s="536">
        <v>1765</v>
      </c>
      <c r="K10" t="s" s="536">
        <v>246</v>
      </c>
      <c r="L10" s="538"/>
      <c r="M10" t="s" s="539">
        <v>1766</v>
      </c>
      <c r="N10" t="s" s="540">
        <v>1767</v>
      </c>
      <c r="O10" s="534"/>
      <c r="P10" s="507"/>
    </row>
    <row r="11" ht="14.4" customHeight="1">
      <c r="A11" s="504"/>
      <c r="B11" s="61"/>
      <c r="C11" t="s" s="513">
        <f>IF(LEFT(RIGHT($B$1,2),1)=" ",RIGHT($B$1,1),RIGHT($B$1,2))</f>
        <v>1854</v>
      </c>
      <c r="D11" s="514">
        <f>IF(LEFT(F11,14)="Bonne pratique",D10+1,D10)</f>
        <v>1</v>
      </c>
      <c r="E11" s="61"/>
      <c r="F11" s="529"/>
      <c r="G11" s="541"/>
      <c r="H11" s="541"/>
      <c r="I11" s="541"/>
      <c r="J11" s="541"/>
      <c r="K11" s="541"/>
      <c r="L11" s="61"/>
      <c r="M11" s="541"/>
      <c r="N11" s="541"/>
      <c r="O11" s="61"/>
      <c r="P11" s="507"/>
    </row>
    <row r="12" ht="130.05" customHeight="1">
      <c r="A12" s="504"/>
      <c r="B12" s="542"/>
      <c r="C12" t="s" s="543">
        <f>IF(LEFT(RIGHT($B$1,2),1)=" ",RIGHT($B$1,1),RIGHT($B$1,2))</f>
        <v>1854</v>
      </c>
      <c r="D12" s="544">
        <f>IF(LEFT(F12,14)="Bonne pratique",D11+1,D11)</f>
        <v>1</v>
      </c>
      <c r="E12" t="s" s="545">
        <f>C12&amp;D12&amp;RIGHT(F12,1)</f>
        <v>1855</v>
      </c>
      <c r="F12" t="s" s="546">
        <v>1769</v>
      </c>
      <c r="G12" t="s" s="547">
        <f>_xlfn.IFERROR(IF(VLOOKUP($E12,'BDD'!$A$1:$S$567,MATCH(G$10,'BDD'!$A$1:$P$1,0),FALSE)=0,"",VLOOKUP($E12,'BDD'!$A$1:$S$567,MATCH(G$10,'BDD'!$A$1:$P$1,0),FALSE)),"")</f>
        <v>391</v>
      </c>
      <c r="H12" t="s" s="548">
        <f>IF(VLOOKUP(E12,'BDD'!$A$1:$S$567,15,FALSE)=0,"Critère non évalué","")</f>
        <v>1770</v>
      </c>
      <c r="I12" t="s" s="546">
        <f>_xlfn.IFERROR(IF(VLOOKUP($E12,'BDD'!$A$1:$S$567,MATCH(I$10,'BDD'!$A$1:$P$1,0),FALSE)=0,"",VLOOKUP($E12,'BDD'!$A$1:$S$567,MATCH(I$10,'BDD'!$A$1:$P$1,0),FALSE)),"")</f>
        <v>263</v>
      </c>
      <c r="J12" s="549"/>
      <c r="K12" t="s" s="547">
        <f>_xlfn.IFERROR(IF(VLOOKUP($E12,'BDD'!$A$1:$S$567,MATCH(K$10,'BDD'!$A$1:$P$1,0),FALSE)=0,"",VLOOKUP($E12,'BDD'!$A$1:$S$567,MATCH(K$10,'BDD'!$A$1:$P$1,0),FALSE)),"")</f>
        <v>392</v>
      </c>
      <c r="L12" s="550"/>
      <c r="M12" s="551"/>
      <c r="N12" s="551"/>
      <c r="O12" s="534"/>
      <c r="P12" s="507"/>
    </row>
    <row r="13" ht="130.05" customHeight="1">
      <c r="A13" s="504"/>
      <c r="B13" s="542"/>
      <c r="C13" t="s" s="543">
        <f>IF(LEFT(RIGHT($B$1,2),1)=" ",RIGHT($B$1,1),RIGHT($B$1,2))</f>
        <v>1854</v>
      </c>
      <c r="D13" s="544">
        <f>IF(LEFT(F13,14)="Bonne pratique",D12+1,D12)</f>
        <v>1</v>
      </c>
      <c r="E13" t="s" s="545">
        <f>C13&amp;D13&amp;RIGHT(F13,1)</f>
        <v>1856</v>
      </c>
      <c r="F13" t="s" s="552">
        <v>1772</v>
      </c>
      <c r="G13" t="s" s="540">
        <f>_xlfn.IFERROR(IF(VLOOKUP($E13,'BDD'!$A$1:$S$567,MATCH(G$10,'BDD'!$A$1:$P$1,0),FALSE)=0,"",VLOOKUP($E13,'BDD'!$A$1:$S$567,MATCH(G$10,'BDD'!$A$1:$P$1,0),FALSE)),"")</f>
        <v>396</v>
      </c>
      <c r="H13" t="s" s="553">
        <f>IF(VLOOKUP(E13,'BDD'!$A$1:$S$567,15,FALSE)=0,"Critère non évalué","")</f>
        <v>1770</v>
      </c>
      <c r="I13" t="s" s="552">
        <f>_xlfn.IFERROR(IF(VLOOKUP($E13,'BDD'!$A$1:$S$567,MATCH(I$10,'BDD'!$A$1:$P$1,0),FALSE)=0,"",VLOOKUP($E13,'BDD'!$A$1:$S$567,MATCH(I$10,'BDD'!$A$1:$P$1,0),FALSE)),"")</f>
        <v>263</v>
      </c>
      <c r="J13" s="554"/>
      <c r="K13" t="s" s="540">
        <f>_xlfn.IFERROR(IF(VLOOKUP($E13,'BDD'!$A$1:$S$567,MATCH(K$10,'BDD'!$A$1:$P$1,0),FALSE)=0,"",VLOOKUP($E13,'BDD'!$A$1:$S$567,MATCH(K$10,'BDD'!$A$1:$P$1,0),FALSE)),"")</f>
        <v>397</v>
      </c>
      <c r="L13" s="550"/>
      <c r="M13" s="555"/>
      <c r="N13" s="555"/>
      <c r="O13" s="534"/>
      <c r="P13" s="507"/>
    </row>
    <row r="14" ht="130.05" customHeight="1" hidden="1">
      <c r="A14" s="504"/>
      <c r="B14" s="542"/>
      <c r="C14" t="s" s="543">
        <f>IF(LEFT(RIGHT($B$1,2),1)=" ",RIGHT($B$1,1),RIGHT($B$1,2))</f>
        <v>1854</v>
      </c>
      <c r="D14" s="544">
        <f>IF(LEFT(F14,14)="Bonne pratique",D13+1,D13)</f>
        <v>1</v>
      </c>
      <c r="E14" t="s" s="545">
        <f>C14&amp;D14&amp;RIGHT(F14,1)</f>
        <v>1857</v>
      </c>
      <c r="F14" t="s" s="546">
        <v>1774</v>
      </c>
      <c r="G14" t="s" s="547">
        <f>_xlfn.IFERROR(IF(VLOOKUP($E14,'BDD'!$A$1:$S$567,MATCH(G$10,'BDD'!$A$1:$P$1,0),FALSE)=0,"",VLOOKUP($E14,'BDD'!$A$1:$S$567,MATCH(G$10,'BDD'!$A$1:$P$1,0),FALSE)),"")</f>
      </c>
      <c r="H14" t="s" s="548">
        <f>IF(VLOOKUP(E14,'BDD'!$A$1:$S$567,15,FALSE)=0,"Critère non évalué","")</f>
        <v>1770</v>
      </c>
      <c r="I14" t="s" s="546">
        <f>_xlfn.IFERROR(IF(VLOOKUP($E14,'BDD'!$A$1:$S$567,MATCH(I$10,'BDD'!$A$1:$P$1,0),FALSE)=0,"",VLOOKUP($E14,'BDD'!$A$1:$S$567,MATCH(I$10,'BDD'!$A$1:$P$1,0),FALSE)),"")</f>
        <v>171</v>
      </c>
      <c r="J14" s="549"/>
      <c r="K14" t="s" s="547">
        <f>_xlfn.IFERROR(IF(VLOOKUP($E14,'BDD'!$A$1:$S$567,MATCH(K$10,'BDD'!$A$1:$P$1,0),FALSE)=0,"",VLOOKUP($E14,'BDD'!$A$1:$S$567,MATCH(K$10,'BDD'!$A$1:$P$1,0),FALSE)),"")</f>
      </c>
      <c r="L14" s="550"/>
      <c r="M14" s="551"/>
      <c r="N14" s="551"/>
      <c r="O14" s="534"/>
      <c r="P14" s="507"/>
    </row>
    <row r="15" ht="130.05" customHeight="1" hidden="1">
      <c r="A15" s="504"/>
      <c r="B15" s="542"/>
      <c r="C15" t="s" s="543">
        <f>IF(LEFT(RIGHT($B$1,2),1)=" ",RIGHT($B$1,1),RIGHT($B$1,2))</f>
        <v>1854</v>
      </c>
      <c r="D15" s="544">
        <f>IF(LEFT(F15,14)="Bonne pratique",D14+1,D14)</f>
        <v>1</v>
      </c>
      <c r="E15" t="s" s="545">
        <f>C15&amp;D15&amp;RIGHT(F15,1)</f>
        <v>1858</v>
      </c>
      <c r="F15" t="s" s="552">
        <v>1776</v>
      </c>
      <c r="G15" t="s" s="540">
        <f>_xlfn.IFERROR(IF(VLOOKUP($E15,'BDD'!$A$1:$S$567,MATCH(G$10,'BDD'!$A$1:$P$1,0),FALSE)=0,"",VLOOKUP($E15,'BDD'!$A$1:$S$567,MATCH(G$10,'BDD'!$A$1:$P$1,0),FALSE)),"")</f>
      </c>
      <c r="H15" t="s" s="553">
        <f>IF(VLOOKUP(E15,'BDD'!$A$1:$S$567,15,FALSE)=0,"Critère non évalué","")</f>
        <v>1770</v>
      </c>
      <c r="I15" t="s" s="552">
        <f>_xlfn.IFERROR(IF(VLOOKUP($E15,'BDD'!$A$1:$S$567,MATCH(I$10,'BDD'!$A$1:$P$1,0),FALSE)=0,"",VLOOKUP($E15,'BDD'!$A$1:$S$567,MATCH(I$10,'BDD'!$A$1:$P$1,0),FALSE)),"")</f>
        <v>171</v>
      </c>
      <c r="J15" s="556"/>
      <c r="K15" t="s" s="540">
        <f>_xlfn.IFERROR(IF(VLOOKUP($E15,'BDD'!$A$1:$S$567,MATCH(K$10,'BDD'!$A$1:$P$1,0),FALSE)=0,"",VLOOKUP($E15,'BDD'!$A$1:$S$567,MATCH(K$10,'BDD'!$A$1:$P$1,0),FALSE)),"")</f>
      </c>
      <c r="L15" s="550"/>
      <c r="M15" s="555"/>
      <c r="N15" s="555"/>
      <c r="O15" s="534"/>
      <c r="P15" s="507"/>
    </row>
    <row r="16" ht="130.05" customHeight="1" hidden="1">
      <c r="A16" s="504"/>
      <c r="B16" s="542"/>
      <c r="C16" t="s" s="543">
        <f>IF(LEFT(RIGHT($B$1,2),1)=" ",RIGHT($B$1,1),RIGHT($B$1,2))</f>
        <v>1854</v>
      </c>
      <c r="D16" s="544">
        <f>IF(LEFT(F16,14)="Bonne pratique",D15+1,D15)</f>
        <v>1</v>
      </c>
      <c r="E16" t="s" s="545">
        <f>C16&amp;D16&amp;RIGHT(F16,1)</f>
        <v>1859</v>
      </c>
      <c r="F16" t="s" s="546">
        <v>1778</v>
      </c>
      <c r="G16" t="s" s="547">
        <f>_xlfn.IFERROR(IF(VLOOKUP($E16,'BDD'!$A$1:$S$567,MATCH(G$10,'BDD'!$A$1:$P$1,0),FALSE)=0,"",VLOOKUP($E16,'BDD'!$A$1:$S$567,MATCH(G$10,'BDD'!$A$1:$P$1,0),FALSE)),"")</f>
      </c>
      <c r="H16" t="s" s="548">
        <f>IF(VLOOKUP(E16,'BDD'!$A$1:$S$567,15,FALSE)=0,"Critère non évalué","")</f>
        <v>1770</v>
      </c>
      <c r="I16" t="s" s="546">
        <f>_xlfn.IFERROR(IF(VLOOKUP($E16,'BDD'!$A$1:$S$567,MATCH(I$10,'BDD'!$A$1:$P$1,0),FALSE)=0,"",VLOOKUP($E16,'BDD'!$A$1:$S$567,MATCH(I$10,'BDD'!$A$1:$P$1,0),FALSE)),"")</f>
        <v>171</v>
      </c>
      <c r="J16" s="549"/>
      <c r="K16" t="s" s="547">
        <f>_xlfn.IFERROR(IF(VLOOKUP($E16,'BDD'!$A$1:$S$567,MATCH(K$10,'BDD'!$A$1:$P$1,0),FALSE)=0,"",VLOOKUP($E16,'BDD'!$A$1:$S$567,MATCH(K$10,'BDD'!$A$1:$P$1,0),FALSE)),"")</f>
      </c>
      <c r="L16" s="550"/>
      <c r="M16" s="557"/>
      <c r="N16" s="557"/>
      <c r="O16" s="534"/>
      <c r="P16" s="507"/>
    </row>
    <row r="17" ht="130.05" customHeight="1" hidden="1">
      <c r="A17" s="504"/>
      <c r="B17" s="542"/>
      <c r="C17" t="s" s="543">
        <f>IF(LEFT(RIGHT($B$1,2),1)=" ",RIGHT($B$1,1),RIGHT($B$1,2))</f>
        <v>1854</v>
      </c>
      <c r="D17" s="544">
        <f>IF(LEFT(F17,14)="Bonne pratique",D16+1,D16)</f>
        <v>1</v>
      </c>
      <c r="E17" t="s" s="545">
        <f>C17&amp;D17&amp;RIGHT(F17,1)</f>
        <v>1860</v>
      </c>
      <c r="F17" t="s" s="552">
        <v>1780</v>
      </c>
      <c r="G17" t="s" s="540">
        <f>_xlfn.IFERROR(IF(VLOOKUP($E17,'BDD'!$A$1:$S$567,MATCH(G$10,'BDD'!$A$1:$P$1,0),FALSE)=0,"",VLOOKUP($E17,'BDD'!$A$1:$S$567,MATCH(G$10,'BDD'!$A$1:$P$1,0),FALSE)),"")</f>
      </c>
      <c r="H17" t="s" s="553">
        <f>IF(VLOOKUP(E17,'BDD'!$A$1:$S$567,15,FALSE)=0,"Critère non évalué","")</f>
        <v>1770</v>
      </c>
      <c r="I17" t="s" s="552">
        <f>_xlfn.IFERROR(IF(VLOOKUP($E17,'BDD'!$A$1:$S$567,MATCH(I$10,'BDD'!$A$1:$P$1,0),FALSE)=0,"",VLOOKUP($E17,'BDD'!$A$1:$S$567,MATCH(I$10,'BDD'!$A$1:$P$1,0),FALSE)),"")</f>
        <v>171</v>
      </c>
      <c r="J17" s="554"/>
      <c r="K17" t="s" s="540">
        <f>_xlfn.IFERROR(IF(VLOOKUP($E17,'BDD'!$A$1:$S$567,MATCH(K$10,'BDD'!$A$1:$P$1,0),FALSE)=0,"",VLOOKUP($E17,'BDD'!$A$1:$S$567,MATCH(K$10,'BDD'!$A$1:$P$1,0),FALSE)),"")</f>
      </c>
      <c r="L17" s="550"/>
      <c r="M17" s="555"/>
      <c r="N17" s="555"/>
      <c r="O17" s="534"/>
      <c r="P17" s="507"/>
    </row>
    <row r="18" ht="130.05" customHeight="1" hidden="1">
      <c r="A18" s="504"/>
      <c r="B18" s="542"/>
      <c r="C18" t="s" s="543">
        <f>IF(LEFT(RIGHT($B$1,2),1)=" ",RIGHT($B$1,1),RIGHT($B$1,2))</f>
        <v>1854</v>
      </c>
      <c r="D18" s="544">
        <f>IF(LEFT(F18,14)="Bonne pratique",D17+1,D17)</f>
        <v>1</v>
      </c>
      <c r="E18" t="s" s="545">
        <f>C18&amp;D18&amp;RIGHT(F18,1)</f>
        <v>1861</v>
      </c>
      <c r="F18" t="s" s="546">
        <v>1782</v>
      </c>
      <c r="G18" t="s" s="547">
        <f>_xlfn.IFERROR(IF(VLOOKUP($E18,'BDD'!$A$1:$S$567,MATCH(G$10,'BDD'!$A$1:$P$1,0),FALSE)=0,"",VLOOKUP($E18,'BDD'!$A$1:$S$567,MATCH(G$10,'BDD'!$A$1:$P$1,0),FALSE)),"")</f>
      </c>
      <c r="H18" t="s" s="548">
        <f>IF(VLOOKUP(E18,'BDD'!$A$1:$S$567,15,FALSE)=0,"Critère non évalué","")</f>
        <v>1770</v>
      </c>
      <c r="I18" t="s" s="546">
        <f>_xlfn.IFERROR(IF(VLOOKUP($E18,'BDD'!$A$1:$S$567,MATCH(I$10,'BDD'!$A$1:$P$1,0),FALSE)=0,"",VLOOKUP($E18,'BDD'!$A$1:$S$567,MATCH(I$10,'BDD'!$A$1:$P$1,0),FALSE)),"")</f>
        <v>171</v>
      </c>
      <c r="J18" s="549"/>
      <c r="K18" t="s" s="547">
        <f>_xlfn.IFERROR(IF(VLOOKUP($E18,'BDD'!$A$1:$S$567,MATCH(K$10,'BDD'!$A$1:$P$1,0),FALSE)=0,"",VLOOKUP($E18,'BDD'!$A$1:$S$567,MATCH(K$10,'BDD'!$A$1:$P$1,0),FALSE)),"")</f>
      </c>
      <c r="L18" s="550"/>
      <c r="M18" s="557"/>
      <c r="N18" s="557"/>
      <c r="O18" s="534"/>
      <c r="P18" s="507"/>
    </row>
    <row r="19" ht="18" customHeight="1">
      <c r="A19" s="504"/>
      <c r="B19" s="61"/>
      <c r="C19" t="s" s="513">
        <f>IF(LEFT(RIGHT($B$1,2),1)=" ",RIGHT($B$1,1),RIGHT($B$1,2))</f>
        <v>1854</v>
      </c>
      <c r="D19" s="514">
        <f>IF(LEFT(F19,14)="Bonne pratique",D18+1,D18)</f>
        <v>1</v>
      </c>
      <c r="E19" t="s" s="558">
        <f>C19&amp;D19&amp;RIGHT(F19,1)</f>
        <v>1862</v>
      </c>
      <c r="F19" s="559"/>
      <c r="G19" t="s" s="560">
        <f>IF('Suppl'!B80=2,"Le vecteur n'est pas utilisé","")</f>
      </c>
      <c r="H19" s="561"/>
      <c r="I19" s="561"/>
      <c r="J19" s="561"/>
      <c r="K19" s="561"/>
      <c r="L19" s="510"/>
      <c r="M19" s="559"/>
      <c r="N19" s="559"/>
      <c r="O19" s="61"/>
      <c r="P19" s="507"/>
    </row>
    <row r="20" ht="15" customHeight="1">
      <c r="A20" s="504"/>
      <c r="B20" s="61"/>
      <c r="C20" t="s" s="513">
        <f>IF(LEFT(RIGHT($B$1,2),1)=" ",RIGHT($B$1,1),RIGHT($B$1,2))</f>
        <v>1854</v>
      </c>
      <c r="D20" s="514">
        <f>IF(LEFT(F20,14)="Bonne pratique",D19+1,D19)</f>
        <v>1</v>
      </c>
      <c r="E20" t="s" s="558">
        <f>C20&amp;D20&amp;RIGHT(F20,1)</f>
        <v>1862</v>
      </c>
      <c r="F20" s="61"/>
      <c r="G20" s="61"/>
      <c r="H20" s="61"/>
      <c r="I20" s="61"/>
      <c r="J20" s="61"/>
      <c r="K20" s="61"/>
      <c r="L20" s="61"/>
      <c r="M20" s="61"/>
      <c r="N20" s="61"/>
      <c r="O20" s="61"/>
      <c r="P20" s="507"/>
    </row>
    <row r="21" ht="25.8" customHeight="1">
      <c r="A21" s="511"/>
      <c r="B21" s="512"/>
      <c r="C21" t="s" s="513">
        <f>IF(LEFT(RIGHT($B$1,2),1)=" ",RIGHT($B$1,1),RIGHT($B$1,2))</f>
        <v>1854</v>
      </c>
      <c r="D21" s="514">
        <f>IF(LEFT(F21,14)="Bonne pratique",D20+1,D20)</f>
        <v>2</v>
      </c>
      <c r="E21" t="s" s="558">
        <f>C21&amp;D21&amp;RIGHT(F21,1)</f>
        <v>1863</v>
      </c>
      <c r="F21" t="s" s="516">
        <v>1785</v>
      </c>
      <c r="G21" s="517"/>
      <c r="H21" s="518"/>
      <c r="I21" s="519"/>
      <c r="J21" t="s" s="520">
        <f>VLOOKUP(E28,'BDD'!$A$2:$N$567,6,FALSE)</f>
        <v>409</v>
      </c>
      <c r="K21" s="521"/>
      <c r="L21" s="517"/>
      <c r="M21" s="517"/>
      <c r="N21" s="517"/>
      <c r="O21" s="512"/>
      <c r="P21" s="522"/>
    </row>
    <row r="22" ht="15" customHeight="1">
      <c r="A22" s="504"/>
      <c r="B22" s="61"/>
      <c r="C22" t="s" s="513">
        <f>IF(LEFT(RIGHT($B$1,2),1)=" ",RIGHT($B$1,1),RIGHT($B$1,2))</f>
        <v>1854</v>
      </c>
      <c r="D22" s="514">
        <f>IF(LEFT(F22,14)="Bonne pratique",D21+1,D21)</f>
        <v>2</v>
      </c>
      <c r="E22" t="s" s="558">
        <f>C22&amp;D22&amp;RIGHT(F22,1)</f>
        <v>1864</v>
      </c>
      <c r="F22" s="61"/>
      <c r="G22" s="61"/>
      <c r="H22" s="61"/>
      <c r="I22" s="61"/>
      <c r="J22" s="61"/>
      <c r="K22" s="61"/>
      <c r="L22" s="61"/>
      <c r="M22" s="61"/>
      <c r="N22" s="61"/>
      <c r="O22" s="61"/>
      <c r="P22" s="507"/>
    </row>
    <row r="23" ht="18" customHeight="1">
      <c r="A23" s="523"/>
      <c r="B23" s="524"/>
      <c r="C23" t="s" s="513">
        <f>IF(LEFT(RIGHT($B$1,2),1)=" ",RIGHT($B$1,1),RIGHT($B$1,2))</f>
        <v>1854</v>
      </c>
      <c r="D23" s="514">
        <f>IF(LEFT(F23,14)="Bonne pratique",D22+1,D22)</f>
        <v>2</v>
      </c>
      <c r="E23" t="s" s="558">
        <f>C23&amp;D23&amp;RIGHT(F23,1)</f>
        <v>1864</v>
      </c>
      <c r="F23" s="524"/>
      <c r="G23" s="524"/>
      <c r="H23" s="524"/>
      <c r="I23" s="525"/>
      <c r="J23" t="s" s="526">
        <v>410</v>
      </c>
      <c r="K23" s="525"/>
      <c r="L23" s="524"/>
      <c r="M23" s="524"/>
      <c r="N23" s="524"/>
      <c r="O23" s="524"/>
      <c r="P23" s="527"/>
    </row>
    <row r="24" ht="18" customHeight="1">
      <c r="A24" s="504"/>
      <c r="B24" s="61"/>
      <c r="C24" t="s" s="513">
        <f>IF(LEFT(RIGHT($B$1,2),1)=" ",RIGHT($B$1,1),RIGHT($B$1,2))</f>
        <v>1854</v>
      </c>
      <c r="D24" s="514">
        <f>IF(LEFT(F24,14)="Bonne pratique",D23+1,D23)</f>
        <v>2</v>
      </c>
      <c r="E24" t="s" s="558">
        <f>C24&amp;D24&amp;RIGHT(F24,1)</f>
        <v>1864</v>
      </c>
      <c r="F24" s="61"/>
      <c r="G24" s="61"/>
      <c r="H24" s="61"/>
      <c r="I24" s="61"/>
      <c r="J24" s="528"/>
      <c r="K24" s="61"/>
      <c r="L24" s="61"/>
      <c r="M24" s="529"/>
      <c r="N24" s="529"/>
      <c r="O24" s="61"/>
      <c r="P24" s="507"/>
    </row>
    <row r="25" ht="15" customHeight="1">
      <c r="A25" s="504"/>
      <c r="B25" s="61"/>
      <c r="C25" t="s" s="513">
        <f>IF(LEFT(RIGHT($B$1,2),1)=" ",RIGHT($B$1,1),RIGHT($B$1,2))</f>
        <v>1854</v>
      </c>
      <c r="D25" s="514">
        <f>IF(LEFT(F25,14)="Bonne pratique",D24+1,D24)</f>
        <v>2</v>
      </c>
      <c r="E25" t="s" s="558">
        <f>C25&amp;D25&amp;RIGHT(F25,1)</f>
        <v>1864</v>
      </c>
      <c r="F25" s="61"/>
      <c r="G25" s="529"/>
      <c r="H25" s="529"/>
      <c r="I25" s="529"/>
      <c r="J25" s="530"/>
      <c r="K25" s="529"/>
      <c r="L25" s="542"/>
      <c r="M25" t="s" s="562">
        <v>1763</v>
      </c>
      <c r="N25" s="563"/>
      <c r="O25" s="534"/>
      <c r="P25" s="507"/>
    </row>
    <row r="26" ht="33" customHeight="1">
      <c r="A26" s="504"/>
      <c r="B26" s="61"/>
      <c r="C26" t="s" s="513">
        <f>IF(LEFT(RIGHT($B$1,2),1)=" ",RIGHT($B$1,1),RIGHT($B$1,2))</f>
        <v>1854</v>
      </c>
      <c r="D26" s="514">
        <f>IF(LEFT(F26,14)="Bonne pratique",D25+1,D25)</f>
        <v>2</v>
      </c>
      <c r="E26" t="s" s="558">
        <f>C26&amp;D26&amp;RIGHT(F26,1)</f>
        <v>1864</v>
      </c>
      <c r="F26" s="564"/>
      <c r="G26" t="s" s="536">
        <v>244</v>
      </c>
      <c r="H26" t="s" s="536">
        <v>1764</v>
      </c>
      <c r="I26" t="s" s="536">
        <v>1787</v>
      </c>
      <c r="J26" t="s" s="536">
        <v>1765</v>
      </c>
      <c r="K26" t="s" s="536">
        <v>1788</v>
      </c>
      <c r="L26" s="538"/>
      <c r="M26" t="s" s="539">
        <v>1766</v>
      </c>
      <c r="N26" t="s" s="540">
        <v>1767</v>
      </c>
      <c r="O26" s="534"/>
      <c r="P26" s="507"/>
    </row>
    <row r="27" ht="15" customHeight="1">
      <c r="A27" s="504"/>
      <c r="B27" s="61"/>
      <c r="C27" t="s" s="513">
        <f>IF(LEFT(RIGHT($B$1,2),1)=" ",RIGHT($B$1,1),RIGHT($B$1,2))</f>
        <v>1854</v>
      </c>
      <c r="D27" s="514">
        <f>IF(LEFT(F27,14)="Bonne pratique",D26+1,D26)</f>
        <v>2</v>
      </c>
      <c r="E27" t="s" s="558">
        <f>C27&amp;D27&amp;RIGHT(F27,1)</f>
        <v>1864</v>
      </c>
      <c r="F27" s="529"/>
      <c r="G27" s="541"/>
      <c r="H27" s="541"/>
      <c r="I27" s="541"/>
      <c r="J27" s="541"/>
      <c r="K27" s="541"/>
      <c r="L27" s="61"/>
      <c r="M27" s="541"/>
      <c r="N27" s="541"/>
      <c r="O27" s="61"/>
      <c r="P27" s="507"/>
    </row>
    <row r="28" ht="130.05" customHeight="1">
      <c r="A28" s="504"/>
      <c r="B28" s="542"/>
      <c r="C28" t="s" s="543">
        <f>IF(LEFT(RIGHT($B$1,2),1)=" ",RIGHT($B$1,1),RIGHT($B$1,2))</f>
        <v>1854</v>
      </c>
      <c r="D28" s="544">
        <f>IF(LEFT(F28,14)="Bonne pratique",D27+1,D27)</f>
        <v>2</v>
      </c>
      <c r="E28" t="s" s="545">
        <f>C28&amp;D28&amp;RIGHT(F28,1)</f>
        <v>1865</v>
      </c>
      <c r="F28" t="s" s="546">
        <v>1769</v>
      </c>
      <c r="G28" t="s" s="547">
        <f>_xlfn.IFERROR(IF(VLOOKUP($E28,'BDD'!$A$1:$S$567,MATCH(G$10,'BDD'!$A$1:$P$1,0),FALSE)=0,"",VLOOKUP($E28,'BDD'!$A$1:$S$567,MATCH(G$10,'BDD'!$A$1:$P$1,0),FALSE)),"")</f>
        <v>412</v>
      </c>
      <c r="H28" t="s" s="548">
        <f>IF(VLOOKUP(E28,'BDD'!$A$1:$S$567,15,FALSE)=0,"Critère non évalué","")</f>
        <v>1770</v>
      </c>
      <c r="I28" t="s" s="546">
        <f>_xlfn.IFERROR(IF(VLOOKUP($E28,'BDD'!$A$1:$S$567,MATCH(I$10,'BDD'!$A$1:$P$1,0),FALSE)=0,"",VLOOKUP($E28,'BDD'!$A$1:$S$567,MATCH(I$10,'BDD'!$A$1:$P$1,0),FALSE)),"")</f>
        <v>283</v>
      </c>
      <c r="J28" s="549"/>
      <c r="K28" t="s" s="547">
        <f>_xlfn.IFERROR(IF(VLOOKUP($E28,'BDD'!$A$1:$S$567,MATCH(K$10,'BDD'!$A$1:$P$1,0),FALSE)=0,"",VLOOKUP($E28,'BDD'!$A$1:$S$567,MATCH(K$10,'BDD'!$A$1:$P$1,0),FALSE)),"")</f>
      </c>
      <c r="L28" s="550"/>
      <c r="M28" s="551"/>
      <c r="N28" s="551"/>
      <c r="O28" s="534"/>
      <c r="P28" s="507"/>
    </row>
    <row r="29" ht="130.05" customHeight="1">
      <c r="A29" s="504"/>
      <c r="B29" s="542"/>
      <c r="C29" t="s" s="543">
        <f>IF(LEFT(RIGHT($B$1,2),1)=" ",RIGHT($B$1,1),RIGHT($B$1,2))</f>
        <v>1854</v>
      </c>
      <c r="D29" s="544">
        <f>IF(LEFT(F29,14)="Bonne pratique",D28+1,D28)</f>
        <v>2</v>
      </c>
      <c r="E29" t="s" s="545">
        <f>C29&amp;D29&amp;RIGHT(F29,1)</f>
        <v>1863</v>
      </c>
      <c r="F29" t="s" s="552">
        <v>1772</v>
      </c>
      <c r="G29" t="s" s="540">
        <f>_xlfn.IFERROR(IF(VLOOKUP($E29,'BDD'!$A$1:$S$567,MATCH(G$10,'BDD'!$A$1:$P$1,0),FALSE)=0,"",VLOOKUP($E29,'BDD'!$A$1:$S$567,MATCH(G$10,'BDD'!$A$1:$P$1,0),FALSE)),"")</f>
        <v>414</v>
      </c>
      <c r="H29" t="s" s="553">
        <f>IF(VLOOKUP(E29,'BDD'!$A$1:$S$567,15,FALSE)=0,"Critère non évalué","")</f>
        <v>1770</v>
      </c>
      <c r="I29" t="s" s="552">
        <f>_xlfn.IFERROR(IF(VLOOKUP($E29,'BDD'!$A$1:$S$567,MATCH(I$10,'BDD'!$A$1:$P$1,0),FALSE)=0,"",VLOOKUP($E29,'BDD'!$A$1:$S$567,MATCH(I$10,'BDD'!$A$1:$P$1,0),FALSE)),"")</f>
        <v>263</v>
      </c>
      <c r="J29" s="554"/>
      <c r="K29" t="s" s="540">
        <f>_xlfn.IFERROR(IF(VLOOKUP($E29,'BDD'!$A$1:$S$567,MATCH(K$10,'BDD'!$A$1:$P$1,0),FALSE)=0,"",VLOOKUP($E29,'BDD'!$A$1:$S$567,MATCH(K$10,'BDD'!$A$1:$P$1,0),FALSE)),"")</f>
        <v>415</v>
      </c>
      <c r="L29" s="550"/>
      <c r="M29" s="555"/>
      <c r="N29" s="555"/>
      <c r="O29" s="534"/>
      <c r="P29" s="507"/>
    </row>
    <row r="30" ht="162.6" customHeight="1">
      <c r="A30" s="504"/>
      <c r="B30" s="542"/>
      <c r="C30" t="s" s="543">
        <f>IF(LEFT(RIGHT($B$1,2),1)=" ",RIGHT($B$1,1),RIGHT($B$1,2))</f>
        <v>1854</v>
      </c>
      <c r="D30" s="544">
        <f>IF(LEFT(F30,14)="Bonne pratique",D29+1,D29)</f>
        <v>2</v>
      </c>
      <c r="E30" t="s" s="545">
        <f>C30&amp;D30&amp;RIGHT(F30,1)</f>
        <v>1866</v>
      </c>
      <c r="F30" t="s" s="546">
        <v>1774</v>
      </c>
      <c r="G30" t="s" s="547">
        <f>_xlfn.IFERROR(IF(VLOOKUP($E30,'BDD'!$A$1:$S$567,MATCH(G$10,'BDD'!$A$1:$P$1,0),FALSE)=0,"",VLOOKUP($E30,'BDD'!$A$1:$S$567,MATCH(G$10,'BDD'!$A$1:$P$1,0),FALSE)),"")</f>
        <v>417</v>
      </c>
      <c r="H30" t="s" s="548">
        <f>IF(VLOOKUP(E30,'BDD'!$A$1:$S$567,15,FALSE)=0,"Critère non évalué","")</f>
        <v>1770</v>
      </c>
      <c r="I30" t="s" s="546">
        <f>_xlfn.IFERROR(IF(VLOOKUP($E30,'BDD'!$A$1:$S$567,MATCH(I$10,'BDD'!$A$1:$P$1,0),FALSE)=0,"",VLOOKUP($E30,'BDD'!$A$1:$S$567,MATCH(I$10,'BDD'!$A$1:$P$1,0),FALSE)),"")</f>
        <v>271</v>
      </c>
      <c r="J30" s="549"/>
      <c r="K30" t="s" s="547">
        <f>_xlfn.IFERROR(IF(VLOOKUP($E30,'BDD'!$A$1:$S$567,MATCH(K$10,'BDD'!$A$1:$P$1,0),FALSE)=0,"",VLOOKUP($E30,'BDD'!$A$1:$S$567,MATCH(K$10,'BDD'!$A$1:$P$1,0),FALSE)),"")</f>
        <v>418</v>
      </c>
      <c r="L30" s="550"/>
      <c r="M30" s="551"/>
      <c r="N30" s="551"/>
      <c r="O30" s="534"/>
      <c r="P30" s="507"/>
    </row>
    <row r="31" ht="129.6" customHeight="1">
      <c r="A31" s="504"/>
      <c r="B31" s="542"/>
      <c r="C31" t="s" s="543">
        <f>IF(LEFT(RIGHT($B$1,2),1)=" ",RIGHT($B$1,1),RIGHT($B$1,2))</f>
        <v>1854</v>
      </c>
      <c r="D31" s="544">
        <f>IF(LEFT(F31,14)="Bonne pratique",D30+1,D30)</f>
        <v>2</v>
      </c>
      <c r="E31" t="s" s="545">
        <f>C31&amp;D31&amp;RIGHT(F31,1)</f>
        <v>1867</v>
      </c>
      <c r="F31" t="s" s="552">
        <v>1776</v>
      </c>
      <c r="G31" t="s" s="540">
        <f>_xlfn.IFERROR(IF(VLOOKUP($E31,'BDD'!$A$1:$S$567,MATCH(G$10,'BDD'!$A$1:$P$1,0),FALSE)=0,"",VLOOKUP($E31,'BDD'!$A$1:$S$567,MATCH(G$10,'BDD'!$A$1:$P$1,0),FALSE)),"")</f>
        <v>420</v>
      </c>
      <c r="H31" t="s" s="553">
        <f>IF(VLOOKUP(E31,'BDD'!$A$1:$S$567,15,FALSE)=0,"Critère non évalué","")</f>
        <v>1770</v>
      </c>
      <c r="I31" t="s" s="552">
        <f>_xlfn.IFERROR(IF(VLOOKUP($E31,'BDD'!$A$1:$S$567,MATCH(I$10,'BDD'!$A$1:$P$1,0),FALSE)=0,"",VLOOKUP($E31,'BDD'!$A$1:$S$567,MATCH(I$10,'BDD'!$A$1:$P$1,0),FALSE)),"")</f>
        <v>271</v>
      </c>
      <c r="J31" s="556"/>
      <c r="K31" t="s" s="540">
        <f>_xlfn.IFERROR(IF(VLOOKUP($E31,'BDD'!$A$1:$S$567,MATCH(K$10,'BDD'!$A$1:$P$1,0),FALSE)=0,"",VLOOKUP($E31,'BDD'!$A$1:$S$567,MATCH(K$10,'BDD'!$A$1:$P$1,0),FALSE)),"")</f>
        <v>421</v>
      </c>
      <c r="L31" s="550"/>
      <c r="M31" s="555"/>
      <c r="N31" s="555"/>
      <c r="O31" s="534"/>
      <c r="P31" s="507"/>
    </row>
    <row r="32" ht="130.05" customHeight="1">
      <c r="A32" s="504"/>
      <c r="B32" s="542"/>
      <c r="C32" t="s" s="543">
        <f>IF(LEFT(RIGHT($B$1,2),1)=" ",RIGHT($B$1,1),RIGHT($B$1,2))</f>
        <v>1854</v>
      </c>
      <c r="D32" s="544">
        <f>IF(LEFT(F32,14)="Bonne pratique",D31+1,D31)</f>
        <v>2</v>
      </c>
      <c r="E32" t="s" s="545">
        <f>C32&amp;D32&amp;RIGHT(F32,1)</f>
        <v>1868</v>
      </c>
      <c r="F32" t="s" s="546">
        <v>1778</v>
      </c>
      <c r="G32" t="s" s="547">
        <f>_xlfn.IFERROR(IF(VLOOKUP($E32,'BDD'!$A$1:$S$567,MATCH(G$10,'BDD'!$A$1:$P$1,0),FALSE)=0,"",VLOOKUP($E32,'BDD'!$A$1:$S$567,MATCH(G$10,'BDD'!$A$1:$P$1,0),FALSE)),"")</f>
        <v>423</v>
      </c>
      <c r="H32" t="s" s="548">
        <f>IF(VLOOKUP(E32,'BDD'!$A$1:$S$567,15,FALSE)=0,"Critère non évalué","")</f>
        <v>1770</v>
      </c>
      <c r="I32" t="s" s="546">
        <f>_xlfn.IFERROR(IF(VLOOKUP($E32,'BDD'!$A$1:$S$567,MATCH(I$10,'BDD'!$A$1:$P$1,0),FALSE)=0,"",VLOOKUP($E32,'BDD'!$A$1:$S$567,MATCH(I$10,'BDD'!$A$1:$P$1,0),FALSE)),"")</f>
        <v>291</v>
      </c>
      <c r="J32" s="549"/>
      <c r="K32" t="s" s="547">
        <f>_xlfn.IFERROR(IF(VLOOKUP($E32,'BDD'!$A$1:$S$567,MATCH(K$10,'BDD'!$A$1:$P$1,0),FALSE)=0,"",VLOOKUP($E32,'BDD'!$A$1:$S$567,MATCH(K$10,'BDD'!$A$1:$P$1,0),FALSE)),"")</f>
        <v>424</v>
      </c>
      <c r="L32" s="550"/>
      <c r="M32" s="557"/>
      <c r="N32" s="557"/>
      <c r="O32" s="534"/>
      <c r="P32" s="507"/>
    </row>
    <row r="33" ht="130.05" customHeight="1">
      <c r="A33" s="504"/>
      <c r="B33" s="542"/>
      <c r="C33" t="s" s="543">
        <f>IF(LEFT(RIGHT($B$1,2),1)=" ",RIGHT($B$1,1),RIGHT($B$1,2))</f>
        <v>1854</v>
      </c>
      <c r="D33" s="544">
        <f>IF(LEFT(F33,14)="Bonne pratique",D32+1,D32)</f>
        <v>2</v>
      </c>
      <c r="E33" t="s" s="545">
        <f>C33&amp;D33&amp;RIGHT(F33,1)</f>
        <v>1869</v>
      </c>
      <c r="F33" t="s" s="552">
        <v>1780</v>
      </c>
      <c r="G33" t="s" s="540">
        <f>_xlfn.IFERROR(IF(VLOOKUP($E33,'BDD'!$A$1:$S$567,MATCH(G$10,'BDD'!$A$1:$P$1,0),FALSE)=0,"",VLOOKUP($E33,'BDD'!$A$1:$S$567,MATCH(G$10,'BDD'!$A$1:$P$1,0),FALSE)),"")</f>
        <v>426</v>
      </c>
      <c r="H33" t="s" s="553">
        <f>IF(VLOOKUP(E33,'BDD'!$A$1:$S$567,15,FALSE)=0,"Critère non évalué","")</f>
        <v>1770</v>
      </c>
      <c r="I33" t="s" s="552">
        <f>_xlfn.IFERROR(IF(VLOOKUP($E33,'BDD'!$A$1:$S$567,MATCH(I$10,'BDD'!$A$1:$P$1,0),FALSE)=0,"",VLOOKUP($E33,'BDD'!$A$1:$S$567,MATCH(I$10,'BDD'!$A$1:$P$1,0),FALSE)),"")</f>
        <v>291</v>
      </c>
      <c r="J33" s="554"/>
      <c r="K33" t="s" s="540">
        <f>_xlfn.IFERROR(IF(VLOOKUP($E33,'BDD'!$A$1:$S$567,MATCH(K$10,'BDD'!$A$1:$P$1,0),FALSE)=0,"",VLOOKUP($E33,'BDD'!$A$1:$S$567,MATCH(K$10,'BDD'!$A$1:$P$1,0),FALSE)),"")</f>
        <v>427</v>
      </c>
      <c r="L33" s="550"/>
      <c r="M33" s="555"/>
      <c r="N33" s="555"/>
      <c r="O33" s="534"/>
      <c r="P33" s="507"/>
    </row>
    <row r="34" ht="130.05" customHeight="1" hidden="1">
      <c r="A34" s="504"/>
      <c r="B34" s="542"/>
      <c r="C34" t="s" s="543">
        <f>IF(LEFT(RIGHT($B$1,2),1)=" ",RIGHT($B$1,1),RIGHT($B$1,2))</f>
        <v>1854</v>
      </c>
      <c r="D34" s="544">
        <f>IF(LEFT(F34,14)="Bonne pratique",D33+1,D33)</f>
        <v>2</v>
      </c>
      <c r="E34" t="s" s="545">
        <f>C34&amp;D34&amp;RIGHT(F34,1)</f>
        <v>1870</v>
      </c>
      <c r="F34" t="s" s="546">
        <v>1782</v>
      </c>
      <c r="G34" t="s" s="547">
        <f>_xlfn.IFERROR(IF(VLOOKUP($E34,'BDD'!$A$1:$S$567,MATCH(G$10,'BDD'!$A$1:$P$1,0),FALSE)=0,"",VLOOKUP($E34,'BDD'!$A$1:$S$567,MATCH(G$10,'BDD'!$A$1:$P$1,0),FALSE)),"")</f>
      </c>
      <c r="H34" t="s" s="548">
        <f>IF(VLOOKUP(E34,'BDD'!$A$1:$S$567,15,FALSE)=0,"Critère non évalué","")</f>
        <v>1770</v>
      </c>
      <c r="I34" t="s" s="546">
        <f>_xlfn.IFERROR(IF(VLOOKUP($E34,'BDD'!$A$1:$S$567,MATCH(I$10,'BDD'!$A$1:$P$1,0),FALSE)=0,"",VLOOKUP($E34,'BDD'!$A$1:$S$567,MATCH(I$10,'BDD'!$A$1:$P$1,0),FALSE)),"")</f>
        <v>171</v>
      </c>
      <c r="J34" s="549"/>
      <c r="K34" t="s" s="547">
        <f>_xlfn.IFERROR(IF(VLOOKUP($E34,'BDD'!$A$1:$S$567,MATCH(K$10,'BDD'!$A$1:$P$1,0),FALSE)=0,"",VLOOKUP($E34,'BDD'!$A$1:$S$567,MATCH(K$10,'BDD'!$A$1:$P$1,0),FALSE)),"")</f>
      </c>
      <c r="L34" s="550"/>
      <c r="M34" s="557"/>
      <c r="N34" s="557"/>
      <c r="O34" s="534"/>
      <c r="P34" s="507"/>
    </row>
    <row r="35" ht="18" customHeight="1">
      <c r="A35" s="504"/>
      <c r="B35" s="61"/>
      <c r="C35" t="s" s="513">
        <f>IF(LEFT(RIGHT($B$1,2),1)=" ",RIGHT($B$1,1),RIGHT($B$1,2))</f>
        <v>1854</v>
      </c>
      <c r="D35" s="514">
        <f>IF(LEFT(F35,14)="Bonne pratique",D34+1,D34)</f>
        <v>2</v>
      </c>
      <c r="E35" t="s" s="558">
        <f>C35&amp;D35&amp;RIGHT(F35,1)</f>
        <v>1864</v>
      </c>
      <c r="F35" s="559"/>
      <c r="G35" t="s" s="560">
        <f>IF('Suppl'!B96=2,"Le vecteur n'est pas utilisé","")</f>
      </c>
      <c r="H35" s="561"/>
      <c r="I35" s="559"/>
      <c r="J35" s="561"/>
      <c r="K35" s="561"/>
      <c r="L35" s="510"/>
      <c r="M35" s="559"/>
      <c r="N35" s="559"/>
      <c r="O35" s="61"/>
      <c r="P35" s="507"/>
    </row>
    <row r="36" ht="15" customHeight="1">
      <c r="A36" s="504"/>
      <c r="B36" s="61"/>
      <c r="C36" t="s" s="513">
        <f>IF(LEFT(RIGHT($B$1,2),1)=" ",RIGHT($B$1,1),RIGHT($B$1,2))</f>
        <v>1854</v>
      </c>
      <c r="D36" s="514">
        <f>IF(LEFT(F36,14)="Bonne pratique",D35+1,D35)</f>
        <v>2</v>
      </c>
      <c r="E36" t="s" s="558">
        <f>C36&amp;D36&amp;RIGHT(F36,1)</f>
        <v>1864</v>
      </c>
      <c r="F36" s="61"/>
      <c r="G36" s="61"/>
      <c r="H36" s="61"/>
      <c r="I36" s="61"/>
      <c r="J36" s="61"/>
      <c r="K36" s="61"/>
      <c r="L36" s="61"/>
      <c r="M36" s="61"/>
      <c r="N36" s="61"/>
      <c r="O36" s="61"/>
      <c r="P36" s="507"/>
    </row>
    <row r="37" ht="25.8" customHeight="1">
      <c r="A37" s="511"/>
      <c r="B37" s="512"/>
      <c r="C37" t="s" s="513">
        <f>IF(LEFT(RIGHT($B$1,2),1)=" ",RIGHT($B$1,1),RIGHT($B$1,2))</f>
        <v>1854</v>
      </c>
      <c r="D37" s="514">
        <f>IF(LEFT(F37,14)="Bonne pratique",D36+1,D36)</f>
        <v>3</v>
      </c>
      <c r="E37" t="s" s="558">
        <f>C37&amp;D37&amp;RIGHT(F37,1)</f>
        <v>1871</v>
      </c>
      <c r="F37" t="s" s="516">
        <v>1797</v>
      </c>
      <c r="G37" s="517"/>
      <c r="H37" s="518"/>
      <c r="I37" s="519"/>
      <c r="J37" t="s" s="520">
        <f>VLOOKUP(E44,'BDD'!$A$2:$N$567,6,FALSE)</f>
        <v>429</v>
      </c>
      <c r="K37" s="521"/>
      <c r="L37" s="517"/>
      <c r="M37" s="517"/>
      <c r="N37" s="517"/>
      <c r="O37" s="512"/>
      <c r="P37" s="522"/>
    </row>
    <row r="38" ht="15" customHeight="1">
      <c r="A38" s="504"/>
      <c r="B38" s="61"/>
      <c r="C38" t="s" s="513">
        <f>IF(LEFT(RIGHT($B$1,2),1)=" ",RIGHT($B$1,1),RIGHT($B$1,2))</f>
        <v>1854</v>
      </c>
      <c r="D38" s="514">
        <f>IF(LEFT(F38,14)="Bonne pratique",D37+1,D37)</f>
        <v>3</v>
      </c>
      <c r="E38" t="s" s="558">
        <f>C38&amp;D38&amp;RIGHT(F38,1)</f>
        <v>1872</v>
      </c>
      <c r="F38" s="61"/>
      <c r="G38" s="61"/>
      <c r="H38" s="61"/>
      <c r="I38" s="61"/>
      <c r="J38" s="61"/>
      <c r="K38" s="61"/>
      <c r="L38" s="61"/>
      <c r="M38" s="61"/>
      <c r="N38" s="61"/>
      <c r="O38" s="61"/>
      <c r="P38" s="507"/>
    </row>
    <row r="39" ht="18" customHeight="1">
      <c r="A39" s="523"/>
      <c r="B39" s="524"/>
      <c r="C39" t="s" s="513">
        <f>IF(LEFT(RIGHT($B$1,2),1)=" ",RIGHT($B$1,1),RIGHT($B$1,2))</f>
        <v>1854</v>
      </c>
      <c r="D39" s="514">
        <f>IF(LEFT(F39,14)="Bonne pratique",D38+1,D38)</f>
        <v>3</v>
      </c>
      <c r="E39" t="s" s="558">
        <f>C39&amp;D39&amp;RIGHT(F39,1)</f>
        <v>1872</v>
      </c>
      <c r="F39" s="524"/>
      <c r="G39" s="524"/>
      <c r="H39" s="524"/>
      <c r="I39" s="525"/>
      <c r="J39" t="s" s="526">
        <v>430</v>
      </c>
      <c r="K39" s="525"/>
      <c r="L39" s="524"/>
      <c r="M39" s="524"/>
      <c r="N39" s="524"/>
      <c r="O39" s="524"/>
      <c r="P39" s="527"/>
    </row>
    <row r="40" ht="18" customHeight="1">
      <c r="A40" s="504"/>
      <c r="B40" s="61"/>
      <c r="C40" t="s" s="513">
        <f>IF(LEFT(RIGHT($B$1,2),1)=" ",RIGHT($B$1,1),RIGHT($B$1,2))</f>
        <v>1854</v>
      </c>
      <c r="D40" s="514">
        <f>IF(LEFT(F40,14)="Bonne pratique",D39+1,D39)</f>
        <v>3</v>
      </c>
      <c r="E40" t="s" s="558">
        <f>C40&amp;D40&amp;RIGHT(F40,1)</f>
        <v>1872</v>
      </c>
      <c r="F40" s="61"/>
      <c r="G40" s="61"/>
      <c r="H40" s="61"/>
      <c r="I40" s="61"/>
      <c r="J40" s="528"/>
      <c r="K40" s="61"/>
      <c r="L40" s="61"/>
      <c r="M40" s="529"/>
      <c r="N40" s="529"/>
      <c r="O40" s="61"/>
      <c r="P40" s="507"/>
    </row>
    <row r="41" ht="15" customHeight="1">
      <c r="A41" s="504"/>
      <c r="B41" s="61"/>
      <c r="C41" t="s" s="513">
        <f>IF(LEFT(RIGHT($B$1,2),1)=" ",RIGHT($B$1,1),RIGHT($B$1,2))</f>
        <v>1854</v>
      </c>
      <c r="D41" s="514">
        <f>IF(LEFT(F41,14)="Bonne pratique",D40+1,D40)</f>
        <v>3</v>
      </c>
      <c r="E41" t="s" s="558">
        <f>C41&amp;D41&amp;RIGHT(F41,1)</f>
        <v>1872</v>
      </c>
      <c r="F41" s="61"/>
      <c r="G41" s="529"/>
      <c r="H41" s="529"/>
      <c r="I41" s="529"/>
      <c r="J41" s="530"/>
      <c r="K41" s="529"/>
      <c r="L41" s="542"/>
      <c r="M41" t="s" s="562">
        <v>1763</v>
      </c>
      <c r="N41" s="563"/>
      <c r="O41" s="534"/>
      <c r="P41" s="507"/>
    </row>
    <row r="42" ht="33" customHeight="1">
      <c r="A42" s="504"/>
      <c r="B42" s="61"/>
      <c r="C42" t="s" s="513">
        <f>IF(LEFT(RIGHT($B$1,2),1)=" ",RIGHT($B$1,1),RIGHT($B$1,2))</f>
        <v>1854</v>
      </c>
      <c r="D42" s="514">
        <f>IF(LEFT(F42,14)="Bonne pratique",D41+1,D41)</f>
        <v>3</v>
      </c>
      <c r="E42" t="s" s="558">
        <f>C42&amp;D42&amp;RIGHT(F42,1)</f>
        <v>1872</v>
      </c>
      <c r="F42" s="535"/>
      <c r="G42" t="s" s="536">
        <v>244</v>
      </c>
      <c r="H42" t="s" s="536">
        <v>1764</v>
      </c>
      <c r="I42" t="s" s="536">
        <v>1787</v>
      </c>
      <c r="J42" t="s" s="536">
        <v>1765</v>
      </c>
      <c r="K42" t="s" s="536">
        <v>1788</v>
      </c>
      <c r="L42" s="538"/>
      <c r="M42" t="s" s="539">
        <v>1766</v>
      </c>
      <c r="N42" t="s" s="540">
        <v>1767</v>
      </c>
      <c r="O42" s="534"/>
      <c r="P42" s="507"/>
    </row>
    <row r="43" ht="15" customHeight="1">
      <c r="A43" s="504"/>
      <c r="B43" s="61"/>
      <c r="C43" t="s" s="513">
        <f>IF(LEFT(RIGHT($B$1,2),1)=" ",RIGHT($B$1,1),RIGHT($B$1,2))</f>
        <v>1854</v>
      </c>
      <c r="D43" s="514">
        <f>IF(LEFT(F43,14)="Bonne pratique",D42+1,D42)</f>
        <v>3</v>
      </c>
      <c r="E43" t="s" s="558">
        <f>C43&amp;D43&amp;RIGHT(F43,1)</f>
        <v>1872</v>
      </c>
      <c r="F43" s="529"/>
      <c r="G43" s="541"/>
      <c r="H43" s="541"/>
      <c r="I43" s="541"/>
      <c r="J43" s="541"/>
      <c r="K43" s="541"/>
      <c r="L43" s="61"/>
      <c r="M43" s="541"/>
      <c r="N43" s="541"/>
      <c r="O43" s="61"/>
      <c r="P43" s="507"/>
    </row>
    <row r="44" ht="130.05" customHeight="1">
      <c r="A44" s="504"/>
      <c r="B44" s="542"/>
      <c r="C44" t="s" s="543">
        <f>IF(LEFT(RIGHT($B$1,2),1)=" ",RIGHT($B$1,1),RIGHT($B$1,2))</f>
        <v>1854</v>
      </c>
      <c r="D44" s="544">
        <f>IF(LEFT(F44,14)="Bonne pratique",D43+1,D43)</f>
        <v>3</v>
      </c>
      <c r="E44" t="s" s="545">
        <f>C44&amp;D44&amp;RIGHT(F44,1)</f>
        <v>1873</v>
      </c>
      <c r="F44" t="s" s="546">
        <v>1769</v>
      </c>
      <c r="G44" t="s" s="547">
        <f>_xlfn.IFERROR(IF(VLOOKUP($E44,'BDD'!$A$1:$S$567,MATCH(G$10,'BDD'!$A$1:$P$1,0),FALSE)=0,"",VLOOKUP($E44,'BDD'!$A$1:$S$567,MATCH(G$10,'BDD'!$A$1:$P$1,0),FALSE)),"")</f>
        <v>431</v>
      </c>
      <c r="H44" t="s" s="548">
        <f>IF(VLOOKUP(E44,'BDD'!$A$1:$S$567,15,FALSE)=0,"Critère non évalué","")</f>
        <v>1770</v>
      </c>
      <c r="I44" t="s" s="546">
        <f>_xlfn.IFERROR(IF(VLOOKUP($E44,'BDD'!$A$1:$S$567,MATCH(I$10,'BDD'!$A$1:$P$1,0),FALSE)=0,"",VLOOKUP($E44,'BDD'!$A$1:$S$567,MATCH(I$10,'BDD'!$A$1:$P$1,0),FALSE)),"")</f>
        <v>263</v>
      </c>
      <c r="J44" s="549"/>
      <c r="K44" t="s" s="547">
        <f>_xlfn.IFERROR(IF(VLOOKUP($E44,'BDD'!$A$1:$S$567,MATCH(K$10,'BDD'!$A$1:$P$1,0),FALSE)=0,"",VLOOKUP($E44,'BDD'!$A$1:$S$567,MATCH(K$10,'BDD'!$A$1:$P$1,0),FALSE)),"")</f>
        <v>432</v>
      </c>
      <c r="L44" s="550"/>
      <c r="M44" s="551"/>
      <c r="N44" s="551"/>
      <c r="O44" s="534"/>
      <c r="P44" s="507"/>
    </row>
    <row r="45" ht="150" customHeight="1">
      <c r="A45" s="504"/>
      <c r="B45" s="542"/>
      <c r="C45" t="s" s="543">
        <f>IF(LEFT(RIGHT($B$1,2),1)=" ",RIGHT($B$1,1),RIGHT($B$1,2))</f>
        <v>1854</v>
      </c>
      <c r="D45" s="544">
        <f>IF(LEFT(F45,14)="Bonne pratique",D44+1,D44)</f>
        <v>3</v>
      </c>
      <c r="E45" t="s" s="545">
        <f>C45&amp;D45&amp;RIGHT(F45,1)</f>
        <v>1874</v>
      </c>
      <c r="F45" t="s" s="552">
        <v>1772</v>
      </c>
      <c r="G45" t="s" s="540">
        <f>_xlfn.IFERROR(IF(VLOOKUP($E45,'BDD'!$A$1:$S$567,MATCH(G$10,'BDD'!$A$1:$P$1,0),FALSE)=0,"",VLOOKUP($E45,'BDD'!$A$1:$S$567,MATCH(G$10,'BDD'!$A$1:$P$1,0),FALSE)),"")</f>
        <v>434</v>
      </c>
      <c r="H45" t="s" s="553">
        <f>IF(VLOOKUP(E45,'BDD'!$A$1:$S$567,15,FALSE)=0,"Critère non évalué","")</f>
        <v>1770</v>
      </c>
      <c r="I45" t="s" s="552">
        <f>_xlfn.IFERROR(IF(VLOOKUP($E45,'BDD'!$A$1:$S$567,MATCH(I$10,'BDD'!$A$1:$P$1,0),FALSE)=0,"",VLOOKUP($E45,'BDD'!$A$1:$S$567,MATCH(I$10,'BDD'!$A$1:$P$1,0),FALSE)),"")</f>
        <v>263</v>
      </c>
      <c r="J45" s="554"/>
      <c r="K45" t="s" s="540">
        <f>_xlfn.IFERROR(IF(VLOOKUP($E45,'BDD'!$A$1:$S$567,MATCH(K$10,'BDD'!$A$1:$P$1,0),FALSE)=0,"",VLOOKUP($E45,'BDD'!$A$1:$S$567,MATCH(K$10,'BDD'!$A$1:$P$1,0),FALSE)),"")</f>
        <v>435</v>
      </c>
      <c r="L45" s="550"/>
      <c r="M45" s="555"/>
      <c r="N45" s="555"/>
      <c r="O45" s="534"/>
      <c r="P45" s="507"/>
    </row>
    <row r="46" ht="130.05" customHeight="1">
      <c r="A46" s="504"/>
      <c r="B46" s="542"/>
      <c r="C46" t="s" s="543">
        <f>IF(LEFT(RIGHT($B$1,2),1)=" ",RIGHT($B$1,1),RIGHT($B$1,2))</f>
        <v>1854</v>
      </c>
      <c r="D46" s="544">
        <f>IF(LEFT(F46,14)="Bonne pratique",D45+1,D45)</f>
        <v>3</v>
      </c>
      <c r="E46" t="s" s="545">
        <f>C46&amp;D46&amp;RIGHT(F46,1)</f>
        <v>1871</v>
      </c>
      <c r="F46" t="s" s="546">
        <v>1774</v>
      </c>
      <c r="G46" t="s" s="547">
        <f>_xlfn.IFERROR(IF(VLOOKUP($E46,'BDD'!$A$1:$S$567,MATCH(G$10,'BDD'!$A$1:$P$1,0),FALSE)=0,"",VLOOKUP($E46,'BDD'!$A$1:$S$567,MATCH(G$10,'BDD'!$A$1:$P$1,0),FALSE)),"")</f>
        <v>437</v>
      </c>
      <c r="H46" t="s" s="548">
        <f>IF(VLOOKUP(E46,'BDD'!$A$1:$S$567,15,FALSE)=0,"Critère non évalué","")</f>
        <v>1770</v>
      </c>
      <c r="I46" t="s" s="546">
        <v>283</v>
      </c>
      <c r="J46" s="549"/>
      <c r="K46" t="s" s="547">
        <f>_xlfn.IFERROR(IF(VLOOKUP($E46,'BDD'!$A$1:$S$567,MATCH(K$10,'BDD'!$A$1:$P$1,0),FALSE)=0,"",VLOOKUP($E46,'BDD'!$A$1:$S$567,MATCH(K$10,'BDD'!$A$1:$P$1,0),FALSE)),"")</f>
        <v>438</v>
      </c>
      <c r="L46" s="550"/>
      <c r="M46" s="551"/>
      <c r="N46" s="551"/>
      <c r="O46" s="534"/>
      <c r="P46" s="507"/>
    </row>
    <row r="47" ht="120" customHeight="1">
      <c r="A47" s="504"/>
      <c r="B47" s="542"/>
      <c r="C47" t="s" s="543">
        <f>IF(LEFT(RIGHT($B$1,2),1)=" ",RIGHT($B$1,1),RIGHT($B$1,2))</f>
        <v>1854</v>
      </c>
      <c r="D47" s="544">
        <f>IF(LEFT(F47,14)="Bonne pratique",D46+1,D46)</f>
        <v>3</v>
      </c>
      <c r="E47" t="s" s="545">
        <f>C47&amp;D47&amp;RIGHT(F47,1)</f>
        <v>1875</v>
      </c>
      <c r="F47" t="s" s="552">
        <v>1776</v>
      </c>
      <c r="G47" t="s" s="540">
        <f>_xlfn.IFERROR(IF(VLOOKUP($E47,'BDD'!$A$1:$S$567,MATCH(G$10,'BDD'!$A$1:$P$1,0),FALSE)=0,"",VLOOKUP($E47,'BDD'!$A$1:$S$567,MATCH(G$10,'BDD'!$A$1:$P$1,0),FALSE)),"")</f>
        <v>440</v>
      </c>
      <c r="H47" t="s" s="553">
        <f>IF(VLOOKUP(E47,'BDD'!$A$1:$S$567,15,FALSE)=0,"Critère non évalué","")</f>
        <v>1770</v>
      </c>
      <c r="I47" t="s" s="552">
        <v>256</v>
      </c>
      <c r="J47" s="556"/>
      <c r="K47" t="s" s="540">
        <f>_xlfn.IFERROR(IF(VLOOKUP($E47,'BDD'!$A$1:$S$567,MATCH(K$10,'BDD'!$A$1:$P$1,0),FALSE)=0,"",VLOOKUP($E47,'BDD'!$A$1:$S$567,MATCH(K$10,'BDD'!$A$1:$P$1,0),FALSE)),"")</f>
        <v>441</v>
      </c>
      <c r="L47" s="550"/>
      <c r="M47" s="555"/>
      <c r="N47" s="555"/>
      <c r="O47" s="534"/>
      <c r="P47" s="507"/>
    </row>
    <row r="48" ht="130.05" customHeight="1" hidden="1">
      <c r="A48" s="504"/>
      <c r="B48" s="542"/>
      <c r="C48" t="s" s="543">
        <f>IF(LEFT(RIGHT($B$1,2),1)=" ",RIGHT($B$1,1),RIGHT($B$1,2))</f>
        <v>1854</v>
      </c>
      <c r="D48" s="544">
        <f>IF(LEFT(F48,14)="Bonne pratique",D47+1,D47)</f>
        <v>3</v>
      </c>
      <c r="E48" t="s" s="545">
        <f>C48&amp;D48&amp;RIGHT(F48,1)</f>
        <v>1876</v>
      </c>
      <c r="F48" t="s" s="546">
        <v>1778</v>
      </c>
      <c r="G48" t="s" s="547">
        <f>_xlfn.IFERROR(IF(VLOOKUP($E48,'BDD'!$A$1:$S$567,MATCH(G$10,'BDD'!$A$1:$P$1,0),FALSE)=0,"",VLOOKUP($E48,'BDD'!$A$1:$S$567,MATCH(G$10,'BDD'!$A$1:$P$1,0),FALSE)),"")</f>
      </c>
      <c r="H48" t="s" s="548">
        <f>IF(VLOOKUP(E48,'BDD'!$A$1:$S$567,15,FALSE)=0,"Critère non évalué","")</f>
        <v>1770</v>
      </c>
      <c r="I48" t="s" s="546">
        <v>283</v>
      </c>
      <c r="J48" s="549"/>
      <c r="K48" t="s" s="547">
        <f>_xlfn.IFERROR(IF(VLOOKUP($E48,'BDD'!$A$1:$S$567,MATCH(K$10,'BDD'!$A$1:$P$1,0),FALSE)=0,"",VLOOKUP($E48,'BDD'!$A$1:$S$567,MATCH(K$10,'BDD'!$A$1:$P$1,0),FALSE)),"")</f>
      </c>
      <c r="L48" s="550"/>
      <c r="M48" s="551"/>
      <c r="N48" s="551"/>
      <c r="O48" s="534"/>
      <c r="P48" s="507"/>
    </row>
    <row r="49" ht="120" customHeight="1" hidden="1">
      <c r="A49" s="504"/>
      <c r="B49" s="542"/>
      <c r="C49" t="s" s="543">
        <f>IF(LEFT(RIGHT($B$1,2),1)=" ",RIGHT($B$1,1),RIGHT($B$1,2))</f>
        <v>1854</v>
      </c>
      <c r="D49" s="544">
        <f>IF(LEFT(F49,14)="Bonne pratique",D48+1,D48)</f>
        <v>3</v>
      </c>
      <c r="E49" t="s" s="545">
        <f>C49&amp;D49&amp;RIGHT(F49,1)</f>
        <v>1877</v>
      </c>
      <c r="F49" t="s" s="552">
        <v>1780</v>
      </c>
      <c r="G49" t="s" s="540">
        <f>_xlfn.IFERROR(IF(VLOOKUP($E49,'BDD'!$A$1:$S$567,MATCH(G$10,'BDD'!$A$1:$P$1,0),FALSE)=0,"",VLOOKUP($E49,'BDD'!$A$1:$S$567,MATCH(G$10,'BDD'!$A$1:$P$1,0),FALSE)),"")</f>
      </c>
      <c r="H49" t="s" s="553">
        <f>IF(VLOOKUP(E49,'BDD'!$A$1:$S$567,15,FALSE)=0,"Critère non évalué","")</f>
        <v>1770</v>
      </c>
      <c r="I49" t="s" s="552">
        <v>256</v>
      </c>
      <c r="J49" s="556"/>
      <c r="K49" t="s" s="540">
        <f>_xlfn.IFERROR(IF(VLOOKUP($E49,'BDD'!$A$1:$S$567,MATCH(K$10,'BDD'!$A$1:$P$1,0),FALSE)=0,"",VLOOKUP($E49,'BDD'!$A$1:$S$567,MATCH(K$10,'BDD'!$A$1:$P$1,0),FALSE)),"")</f>
      </c>
      <c r="L49" s="550"/>
      <c r="M49" s="555"/>
      <c r="N49" s="555"/>
      <c r="O49" s="534"/>
      <c r="P49" s="507"/>
    </row>
    <row r="50" ht="130.05" customHeight="1" hidden="1">
      <c r="A50" s="504"/>
      <c r="B50" s="542"/>
      <c r="C50" t="s" s="543">
        <f>IF(LEFT(RIGHT($B$1,2),1)=" ",RIGHT($B$1,1),RIGHT($B$1,2))</f>
        <v>1854</v>
      </c>
      <c r="D50" s="544">
        <f>IF(LEFT(F50,14)="Bonne pratique",D49+1,D49)</f>
        <v>3</v>
      </c>
      <c r="E50" t="s" s="545">
        <f>C50&amp;D50&amp;RIGHT(F50,1)</f>
        <v>1878</v>
      </c>
      <c r="F50" t="s" s="546">
        <v>1782</v>
      </c>
      <c r="G50" t="s" s="547">
        <f>_xlfn.IFERROR(IF(VLOOKUP($E50,'BDD'!$A$1:$S$567,MATCH(G$10,'BDD'!$A$1:$P$1,0),FALSE)=0,"",VLOOKUP($E50,'BDD'!$A$1:$S$567,MATCH(G$10,'BDD'!$A$1:$P$1,0),FALSE)),"")</f>
      </c>
      <c r="H50" t="s" s="548">
        <f>IF(VLOOKUP(E50,'BDD'!$A$1:$S$567,15,FALSE)=0,"Critère non évalué","")</f>
        <v>1770</v>
      </c>
      <c r="I50" t="s" s="546">
        <v>283</v>
      </c>
      <c r="J50" s="549"/>
      <c r="K50" t="s" s="547">
        <f>_xlfn.IFERROR(IF(VLOOKUP($E50,'BDD'!$A$1:$S$567,MATCH(K$10,'BDD'!$A$1:$P$1,0),FALSE)=0,"",VLOOKUP($E50,'BDD'!$A$1:$S$567,MATCH(K$10,'BDD'!$A$1:$P$1,0),FALSE)),"")</f>
      </c>
      <c r="L50" s="550"/>
      <c r="M50" s="551"/>
      <c r="N50" s="551"/>
      <c r="O50" s="534"/>
      <c r="P50" s="507"/>
    </row>
    <row r="51" ht="18" customHeight="1">
      <c r="A51" s="504"/>
      <c r="B51" s="61"/>
      <c r="C51" t="s" s="513">
        <f>IF(LEFT(RIGHT($B$1,2),1)=" ",RIGHT($B$1,1),RIGHT($B$1,2))</f>
        <v>1854</v>
      </c>
      <c r="D51" s="61"/>
      <c r="E51" s="565"/>
      <c r="F51" s="559"/>
      <c r="G51" s="561"/>
      <c r="H51" s="561"/>
      <c r="I51" s="561"/>
      <c r="J51" s="561"/>
      <c r="K51" s="561"/>
      <c r="L51" s="510"/>
      <c r="M51" s="559"/>
      <c r="N51" s="559"/>
      <c r="O51" s="61"/>
      <c r="P51" s="507"/>
    </row>
    <row r="52" ht="15" customHeight="1">
      <c r="A52" s="504"/>
      <c r="B52" s="61"/>
      <c r="C52" t="s" s="513">
        <f>IF(LEFT(RIGHT($B$1,2),1)=" ",RIGHT($B$1,1),RIGHT($B$1,2))</f>
        <v>1854</v>
      </c>
      <c r="D52" s="514">
        <f>IF(LEFT(F52,14)="Bonne pratique",D48+1,D48)</f>
        <v>3</v>
      </c>
      <c r="E52" t="s" s="558">
        <f>C52&amp;D52&amp;RIGHT(F52,1)</f>
        <v>1872</v>
      </c>
      <c r="F52" s="61"/>
      <c r="G52" s="61"/>
      <c r="H52" s="61"/>
      <c r="I52" s="61"/>
      <c r="J52" s="61"/>
      <c r="K52" s="61"/>
      <c r="L52" s="61"/>
      <c r="M52" s="61"/>
      <c r="N52" s="61"/>
      <c r="O52" s="61"/>
      <c r="P52" s="507"/>
    </row>
    <row r="53" ht="25.8" customHeight="1">
      <c r="A53" s="511"/>
      <c r="B53" s="512"/>
      <c r="C53" t="s" s="513">
        <f>IF(LEFT(RIGHT($B$1,2),1)=" ",RIGHT($B$1,1),RIGHT($B$1,2))</f>
        <v>1854</v>
      </c>
      <c r="D53" s="514">
        <f>IF(LEFT(F53,14)="Bonne pratique",D52+1,D52)</f>
        <v>4</v>
      </c>
      <c r="E53" t="s" s="558">
        <f>C53&amp;D53&amp;RIGHT(F53,1)</f>
        <v>1879</v>
      </c>
      <c r="F53" t="s" s="516">
        <v>1806</v>
      </c>
      <c r="G53" s="517"/>
      <c r="H53" s="518"/>
      <c r="I53" s="519"/>
      <c r="J53" t="s" s="520">
        <f>VLOOKUP(E60,'BDD'!$A$2:$N$567,6,FALSE)</f>
        <v>445</v>
      </c>
      <c r="K53" s="521"/>
      <c r="L53" s="517"/>
      <c r="M53" s="517"/>
      <c r="N53" s="517"/>
      <c r="O53" s="512"/>
      <c r="P53" s="522"/>
    </row>
    <row r="54" ht="15" customHeight="1">
      <c r="A54" s="504"/>
      <c r="B54" s="61"/>
      <c r="C54" t="s" s="513">
        <f>IF(LEFT(RIGHT($B$1,2),1)=" ",RIGHT($B$1,1),RIGHT($B$1,2))</f>
        <v>1854</v>
      </c>
      <c r="D54" s="514">
        <f>IF(LEFT(F54,14)="Bonne pratique",D53+1,D53)</f>
        <v>4</v>
      </c>
      <c r="E54" t="s" s="558">
        <f>C54&amp;D54&amp;RIGHT(F54,1)</f>
        <v>1880</v>
      </c>
      <c r="F54" s="61"/>
      <c r="G54" s="61"/>
      <c r="H54" s="61"/>
      <c r="I54" s="61"/>
      <c r="J54" s="61"/>
      <c r="K54" s="61"/>
      <c r="L54" s="61"/>
      <c r="M54" s="61"/>
      <c r="N54" s="61"/>
      <c r="O54" s="61"/>
      <c r="P54" s="507"/>
    </row>
    <row r="55" ht="18" customHeight="1">
      <c r="A55" s="523"/>
      <c r="B55" s="524"/>
      <c r="C55" t="s" s="513">
        <f>IF(LEFT(RIGHT($B$1,2),1)=" ",RIGHT($B$1,1),RIGHT($B$1,2))</f>
        <v>1854</v>
      </c>
      <c r="D55" s="514">
        <f>IF(LEFT(F55,14)="Bonne pratique",D54+1,D54)</f>
        <v>4</v>
      </c>
      <c r="E55" t="s" s="558">
        <f>C55&amp;D55&amp;RIGHT(F55,1)</f>
        <v>1880</v>
      </c>
      <c r="F55" s="524"/>
      <c r="G55" s="524"/>
      <c r="H55" s="524"/>
      <c r="I55" s="525"/>
      <c r="J55" t="s" s="526">
        <v>446</v>
      </c>
      <c r="K55" s="525"/>
      <c r="L55" s="524"/>
      <c r="M55" s="524"/>
      <c r="N55" s="524"/>
      <c r="O55" s="524"/>
      <c r="P55" s="527"/>
    </row>
    <row r="56" ht="18" customHeight="1">
      <c r="A56" s="504"/>
      <c r="B56" s="61"/>
      <c r="C56" t="s" s="513">
        <f>IF(LEFT(RIGHT($B$1,2),1)=" ",RIGHT($B$1,1),RIGHT($B$1,2))</f>
        <v>1854</v>
      </c>
      <c r="D56" s="514">
        <f>IF(LEFT(F56,14)="Bonne pratique",D55+1,D55)</f>
        <v>4</v>
      </c>
      <c r="E56" t="s" s="558">
        <f>C56&amp;D56&amp;RIGHT(F56,1)</f>
        <v>1880</v>
      </c>
      <c r="F56" s="61"/>
      <c r="G56" s="61"/>
      <c r="H56" s="61"/>
      <c r="I56" s="61"/>
      <c r="J56" s="528"/>
      <c r="K56" s="61"/>
      <c r="L56" s="61"/>
      <c r="M56" s="529"/>
      <c r="N56" s="529"/>
      <c r="O56" s="61"/>
      <c r="P56" s="507"/>
    </row>
    <row r="57" ht="15" customHeight="1">
      <c r="A57" s="504"/>
      <c r="B57" s="61"/>
      <c r="C57" t="s" s="513">
        <f>IF(LEFT(RIGHT($B$1,2),1)=" ",RIGHT($B$1,1),RIGHT($B$1,2))</f>
        <v>1854</v>
      </c>
      <c r="D57" s="514">
        <f>IF(LEFT(F57,14)="Bonne pratique",D56+1,D56)</f>
        <v>4</v>
      </c>
      <c r="E57" t="s" s="558">
        <f>C57&amp;D57&amp;RIGHT(F57,1)</f>
        <v>1880</v>
      </c>
      <c r="F57" s="61"/>
      <c r="G57" s="529"/>
      <c r="H57" s="529"/>
      <c r="I57" s="529"/>
      <c r="J57" s="530"/>
      <c r="K57" s="529"/>
      <c r="L57" s="542"/>
      <c r="M57" t="s" s="562">
        <v>1763</v>
      </c>
      <c r="N57" s="563"/>
      <c r="O57" s="534"/>
      <c r="P57" s="507"/>
    </row>
    <row r="58" ht="33" customHeight="1">
      <c r="A58" s="504"/>
      <c r="B58" s="61"/>
      <c r="C58" t="s" s="513">
        <f>IF(LEFT(RIGHT($B$1,2),1)=" ",RIGHT($B$1,1),RIGHT($B$1,2))</f>
        <v>1854</v>
      </c>
      <c r="D58" s="514">
        <f>IF(LEFT(F58,14)="Bonne pratique",D57+1,D57)</f>
        <v>4</v>
      </c>
      <c r="E58" t="s" s="558">
        <f>C58&amp;D58&amp;RIGHT(F58,1)</f>
        <v>1880</v>
      </c>
      <c r="F58" s="535"/>
      <c r="G58" t="s" s="536">
        <v>244</v>
      </c>
      <c r="H58" t="s" s="536">
        <v>1764</v>
      </c>
      <c r="I58" t="s" s="536">
        <v>1787</v>
      </c>
      <c r="J58" t="s" s="536">
        <v>1765</v>
      </c>
      <c r="K58" t="s" s="536">
        <v>1788</v>
      </c>
      <c r="L58" s="538"/>
      <c r="M58" t="s" s="539">
        <v>1766</v>
      </c>
      <c r="N58" t="s" s="540">
        <v>1767</v>
      </c>
      <c r="O58" s="534"/>
      <c r="P58" s="507"/>
    </row>
    <row r="59" ht="15" customHeight="1">
      <c r="A59" s="504"/>
      <c r="B59" s="61"/>
      <c r="C59" t="s" s="513">
        <f>IF(LEFT(RIGHT($B$1,2),1)=" ",RIGHT($B$1,1),RIGHT($B$1,2))</f>
        <v>1854</v>
      </c>
      <c r="D59" s="514">
        <f>IF(LEFT(F59,14)="Bonne pratique",D58+1,D58)</f>
        <v>4</v>
      </c>
      <c r="E59" t="s" s="558">
        <f>C59&amp;D59&amp;RIGHT(F59,1)</f>
        <v>1880</v>
      </c>
      <c r="F59" s="529"/>
      <c r="G59" s="541"/>
      <c r="H59" s="541"/>
      <c r="I59" s="541"/>
      <c r="J59" s="541"/>
      <c r="K59" s="541"/>
      <c r="L59" s="61"/>
      <c r="M59" s="541"/>
      <c r="N59" s="541"/>
      <c r="O59" s="61"/>
      <c r="P59" s="507"/>
    </row>
    <row r="60" ht="130.05" customHeight="1">
      <c r="A60" s="504"/>
      <c r="B60" s="542"/>
      <c r="C60" t="s" s="543">
        <f>IF(LEFT(RIGHT($B$1,2),1)=" ",RIGHT($B$1,1),RIGHT($B$1,2))</f>
        <v>1854</v>
      </c>
      <c r="D60" s="544">
        <f>IF(LEFT(F60,14)="Bonne pratique",D59+1,D59)</f>
        <v>4</v>
      </c>
      <c r="E60" t="s" s="545">
        <f>C60&amp;D60&amp;RIGHT(F60,1)</f>
        <v>1881</v>
      </c>
      <c r="F60" t="s" s="546">
        <v>1769</v>
      </c>
      <c r="G60" t="s" s="547">
        <f>_xlfn.IFERROR(IF(VLOOKUP($E60,'BDD'!$A$1:$S$567,MATCH(G$10,'BDD'!$A$1:$P$1,0),FALSE)=0,"",VLOOKUP($E60,'BDD'!$A$1:$S$567,MATCH(G$10,'BDD'!$A$1:$P$1,0),FALSE)),"")</f>
        <v>448</v>
      </c>
      <c r="H60" t="s" s="548">
        <f>IF(VLOOKUP(E60,'BDD'!$A$1:$S$567,15,FALSE)=0,"Critère non évalué","")</f>
        <v>1770</v>
      </c>
      <c r="I60" t="s" s="546">
        <f>_xlfn.IFERROR(IF(VLOOKUP($E60,'BDD'!$A$1:$S$567,MATCH(I$10,'BDD'!$A$1:$P$1,0),FALSE)=0,"",VLOOKUP($E60,'BDD'!$A$1:$S$567,MATCH(I$10,'BDD'!$A$1:$P$1,0),FALSE)),"")</f>
        <v>263</v>
      </c>
      <c r="J60" s="549"/>
      <c r="K60" t="s" s="547">
        <f>_xlfn.IFERROR(IF(VLOOKUP($E60,'BDD'!$A$1:$S$567,MATCH(K$10,'BDD'!$A$1:$P$1,0),FALSE)=0,"",VLOOKUP($E60,'BDD'!$A$1:$S$567,MATCH(K$10,'BDD'!$A$1:$P$1,0),FALSE)),"")</f>
        <v>449</v>
      </c>
      <c r="L60" s="550"/>
      <c r="M60" s="551"/>
      <c r="N60" s="551"/>
      <c r="O60" s="534"/>
      <c r="P60" s="507"/>
    </row>
    <row r="61" ht="130.05" customHeight="1">
      <c r="A61" s="504"/>
      <c r="B61" s="542"/>
      <c r="C61" t="s" s="543">
        <f>IF(LEFT(RIGHT($B$1,2),1)=" ",RIGHT($B$1,1),RIGHT($B$1,2))</f>
        <v>1854</v>
      </c>
      <c r="D61" s="544">
        <f>IF(LEFT(F61,14)="Bonne pratique",D60+1,D60)</f>
        <v>4</v>
      </c>
      <c r="E61" t="s" s="545">
        <f>C61&amp;D61&amp;RIGHT(F61,1)</f>
        <v>1882</v>
      </c>
      <c r="F61" t="s" s="552">
        <v>1772</v>
      </c>
      <c r="G61" t="s" s="540">
        <f>_xlfn.IFERROR(IF(VLOOKUP($E61,'BDD'!$A$1:$S$567,MATCH(G$10,'BDD'!$A$1:$P$1,0),FALSE)=0,"",VLOOKUP($E61,'BDD'!$A$1:$S$567,MATCH(G$10,'BDD'!$A$1:$P$1,0),FALSE)),"")</f>
        <v>451</v>
      </c>
      <c r="H61" t="s" s="553">
        <f>IF(VLOOKUP(E61,'BDD'!$A$1:$S$567,15,FALSE)=0,"Critère non évalué","")</f>
        <v>1770</v>
      </c>
      <c r="I61" t="s" s="552">
        <f>_xlfn.IFERROR(IF(VLOOKUP($E61,'BDD'!$A$1:$S$567,MATCH(I$10,'BDD'!$A$1:$P$1,0),FALSE)=0,"",VLOOKUP($E61,'BDD'!$A$1:$S$567,MATCH(I$10,'BDD'!$A$1:$P$1,0),FALSE)),"")</f>
        <v>271</v>
      </c>
      <c r="J61" s="554"/>
      <c r="K61" t="s" s="540">
        <f>_xlfn.IFERROR(IF(VLOOKUP($E61,'BDD'!$A$1:$S$567,MATCH(K$10,'BDD'!$A$1:$P$1,0),FALSE)=0,"",VLOOKUP($E61,'BDD'!$A$1:$S$567,MATCH(K$10,'BDD'!$A$1:$P$1,0),FALSE)),"")</f>
        <v>452</v>
      </c>
      <c r="L61" s="550"/>
      <c r="M61" s="555"/>
      <c r="N61" s="555"/>
      <c r="O61" s="534"/>
      <c r="P61" s="507"/>
    </row>
    <row r="62" ht="130.05" customHeight="1">
      <c r="A62" s="504"/>
      <c r="B62" s="542"/>
      <c r="C62" t="s" s="543">
        <f>IF(LEFT(RIGHT($B$1,2),1)=" ",RIGHT($B$1,1),RIGHT($B$1,2))</f>
        <v>1854</v>
      </c>
      <c r="D62" s="544">
        <f>IF(LEFT(F62,14)="Bonne pratique",D61+1,D61)</f>
        <v>4</v>
      </c>
      <c r="E62" t="s" s="545">
        <f>C62&amp;D62&amp;RIGHT(F62,1)</f>
        <v>1883</v>
      </c>
      <c r="F62" t="s" s="546">
        <v>1774</v>
      </c>
      <c r="G62" t="s" s="547">
        <f>_xlfn.IFERROR(IF(VLOOKUP($E62,'BDD'!$A$1:$S$567,MATCH(G$10,'BDD'!$A$1:$P$1,0),FALSE)=0,"",VLOOKUP($E62,'BDD'!$A$1:$S$567,MATCH(G$10,'BDD'!$A$1:$P$1,0),FALSE)),"")</f>
        <v>454</v>
      </c>
      <c r="H62" t="s" s="548">
        <f>IF(VLOOKUP(E62,'BDD'!$A$1:$S$567,15,FALSE)=0,"Critère non évalué","")</f>
        <v>1770</v>
      </c>
      <c r="I62" t="s" s="546">
        <f>_xlfn.IFERROR(IF(VLOOKUP($E62,'BDD'!$A$1:$S$567,MATCH(I$10,'BDD'!$A$1:$P$1,0),FALSE)=0,"",VLOOKUP($E62,'BDD'!$A$1:$S$567,MATCH(I$10,'BDD'!$A$1:$P$1,0),FALSE)),"")</f>
        <v>291</v>
      </c>
      <c r="J62" s="549"/>
      <c r="K62" t="s" s="547">
        <f>_xlfn.IFERROR(IF(VLOOKUP($E62,'BDD'!$A$1:$S$567,MATCH(K$10,'BDD'!$A$1:$P$1,0),FALSE)=0,"",VLOOKUP($E62,'BDD'!$A$1:$S$567,MATCH(K$10,'BDD'!$A$1:$P$1,0),FALSE)),"")</f>
      </c>
      <c r="L62" s="550"/>
      <c r="M62" s="551"/>
      <c r="N62" s="551"/>
      <c r="O62" s="534"/>
      <c r="P62" s="507"/>
    </row>
    <row r="63" ht="130.05" customHeight="1">
      <c r="A63" s="504"/>
      <c r="B63" s="542"/>
      <c r="C63" t="s" s="543">
        <f>IF(LEFT(RIGHT($B$1,2),1)=" ",RIGHT($B$1,1),RIGHT($B$1,2))</f>
        <v>1854</v>
      </c>
      <c r="D63" s="544">
        <f>IF(LEFT(F63,14)="Bonne pratique",D62+1,D62)</f>
        <v>4</v>
      </c>
      <c r="E63" t="s" s="545">
        <f>C63&amp;D63&amp;RIGHT(F63,1)</f>
        <v>1879</v>
      </c>
      <c r="F63" t="s" s="552">
        <v>1776</v>
      </c>
      <c r="G63" t="s" s="540">
        <f>_xlfn.IFERROR(IF(VLOOKUP($E63,'BDD'!$A$1:$S$567,MATCH(G$10,'BDD'!$A$1:$P$1,0),FALSE)=0,"",VLOOKUP($E63,'BDD'!$A$1:$S$567,MATCH(G$10,'BDD'!$A$1:$P$1,0),FALSE)),"")</f>
        <v>456</v>
      </c>
      <c r="H63" t="s" s="553">
        <f>IF(VLOOKUP(E63,'BDD'!$A$1:$S$567,15,FALSE)=0,"Critère non évalué","")</f>
        <v>1770</v>
      </c>
      <c r="I63" t="s" s="552">
        <f>_xlfn.IFERROR(IF(VLOOKUP($E63,'BDD'!$A$1:$S$567,MATCH(I$10,'BDD'!$A$1:$P$1,0),FALSE)=0,"",VLOOKUP($E63,'BDD'!$A$1:$S$567,MATCH(I$10,'BDD'!$A$1:$P$1,0),FALSE)),"")</f>
        <v>271</v>
      </c>
      <c r="J63" s="556"/>
      <c r="K63" t="s" s="540">
        <f>_xlfn.IFERROR(IF(VLOOKUP($E63,'BDD'!$A$1:$S$567,MATCH(K$10,'BDD'!$A$1:$P$1,0),FALSE)=0,"",VLOOKUP($E63,'BDD'!$A$1:$S$567,MATCH(K$10,'BDD'!$A$1:$P$1,0),FALSE)),"")</f>
      </c>
      <c r="L63" s="550"/>
      <c r="M63" s="555"/>
      <c r="N63" s="555"/>
      <c r="O63" s="534"/>
      <c r="P63" s="507"/>
    </row>
    <row r="64" ht="130.05" customHeight="1">
      <c r="A64" s="504"/>
      <c r="B64" s="542"/>
      <c r="C64" t="s" s="543">
        <f>IF(LEFT(RIGHT($B$1,2),1)=" ",RIGHT($B$1,1),RIGHT($B$1,2))</f>
        <v>1854</v>
      </c>
      <c r="D64" s="544">
        <f>IF(LEFT(F64,14)="Bonne pratique",D63+1,D63)</f>
        <v>4</v>
      </c>
      <c r="E64" t="s" s="545">
        <f>C64&amp;D64&amp;RIGHT(F64,1)</f>
        <v>1884</v>
      </c>
      <c r="F64" t="s" s="546">
        <v>1778</v>
      </c>
      <c r="G64" t="s" s="547">
        <f>_xlfn.IFERROR(IF(VLOOKUP($E64,'BDD'!$A$1:$S$567,MATCH(G$10,'BDD'!$A$1:$P$1,0),FALSE)=0,"",VLOOKUP($E64,'BDD'!$A$1:$S$567,MATCH(G$10,'BDD'!$A$1:$P$1,0),FALSE)),"")</f>
        <v>458</v>
      </c>
      <c r="H64" t="s" s="548">
        <f>IF(VLOOKUP(E64,'BDD'!$A$1:$S$567,15,FALSE)=0,"Critère non évalué","")</f>
        <v>1770</v>
      </c>
      <c r="I64" t="s" s="546">
        <f>_xlfn.IFERROR(IF(VLOOKUP($E64,'BDD'!$A$1:$S$567,MATCH(I$10,'BDD'!$A$1:$P$1,0),FALSE)=0,"",VLOOKUP($E64,'BDD'!$A$1:$S$567,MATCH(I$10,'BDD'!$A$1:$P$1,0),FALSE)),"")</f>
        <v>291</v>
      </c>
      <c r="J64" s="549"/>
      <c r="K64" t="s" s="547">
        <f>_xlfn.IFERROR(IF(VLOOKUP($E64,'BDD'!$A$1:$S$567,MATCH(K$10,'BDD'!$A$1:$P$1,0),FALSE)=0,"",VLOOKUP($E64,'BDD'!$A$1:$S$567,MATCH(K$10,'BDD'!$A$1:$P$1,0),FALSE)),"")</f>
        <v>459</v>
      </c>
      <c r="L64" s="550"/>
      <c r="M64" s="557"/>
      <c r="N64" s="557"/>
      <c r="O64" s="534"/>
      <c r="P64" s="507"/>
    </row>
    <row r="65" ht="130.05" customHeight="1" hidden="1">
      <c r="A65" s="504"/>
      <c r="B65" s="542"/>
      <c r="C65" t="s" s="543">
        <f>IF(LEFT(RIGHT($B$1,2),1)=" ",RIGHT($B$1,1),RIGHT($B$1,2))</f>
        <v>1854</v>
      </c>
      <c r="D65" s="544">
        <f>IF(LEFT(F65,14)="Bonne pratique",D64+1,D64)</f>
        <v>4</v>
      </c>
      <c r="E65" t="s" s="545">
        <f>C65&amp;D65&amp;RIGHT(F65,1)</f>
        <v>1885</v>
      </c>
      <c r="F65" t="s" s="552">
        <v>1780</v>
      </c>
      <c r="G65" t="s" s="540">
        <f>_xlfn.IFERROR(IF(VLOOKUP($E65,'BDD'!$A$1:$S$567,MATCH(G$10,'BDD'!$A$1:$P$1,0),FALSE)=0,"",VLOOKUP($E65,'BDD'!$A$1:$S$567,MATCH(G$10,'BDD'!$A$1:$P$1,0),FALSE)),"")</f>
      </c>
      <c r="H65" t="s" s="553">
        <f>IF(VLOOKUP(E65,'BDD'!$A$1:$S$567,15,FALSE)=0,"Critère non évalué","")</f>
        <v>1770</v>
      </c>
      <c r="I65" t="s" s="552">
        <f>_xlfn.IFERROR(IF(VLOOKUP($E65,'BDD'!$A$1:$S$567,MATCH(I$10,'BDD'!$A$1:$P$1,0),FALSE)=0,"",VLOOKUP($E65,'BDD'!$A$1:$S$567,MATCH(I$10,'BDD'!$A$1:$P$1,0),FALSE)),"")</f>
        <v>171</v>
      </c>
      <c r="J65" s="554"/>
      <c r="K65" t="s" s="540">
        <f>_xlfn.IFERROR(IF(VLOOKUP($E65,'BDD'!$A$1:$S$567,MATCH(K$10,'BDD'!$A$1:$P$1,0),FALSE)=0,"",VLOOKUP($E65,'BDD'!$A$1:$S$567,MATCH(K$10,'BDD'!$A$1:$P$1,0),FALSE)),"")</f>
      </c>
      <c r="L65" s="550"/>
      <c r="M65" s="555"/>
      <c r="N65" s="555"/>
      <c r="O65" s="534"/>
      <c r="P65" s="507"/>
    </row>
    <row r="66" ht="130.05" customHeight="1" hidden="1">
      <c r="A66" s="504"/>
      <c r="B66" s="542"/>
      <c r="C66" t="s" s="543">
        <f>IF(LEFT(RIGHT($B$1,2),1)=" ",RIGHT($B$1,1),RIGHT($B$1,2))</f>
        <v>1854</v>
      </c>
      <c r="D66" s="544">
        <f>IF(LEFT(F66,14)="Bonne pratique",D65+1,D65)</f>
        <v>4</v>
      </c>
      <c r="E66" t="s" s="545">
        <f>C66&amp;D66&amp;RIGHT(F66,1)</f>
        <v>1886</v>
      </c>
      <c r="F66" t="s" s="546">
        <v>1782</v>
      </c>
      <c r="G66" s="567">
        <f>_xlfn.IFERROR(IF(VLOOKUP($E66,'BDD'!$A$1:$S$567,MATCH(G$10,'BDD'!$A$1:$P$1,0),FALSE)=0,"",VLOOKUP($E66,'BDD'!$A$1:$S$567,MATCH(G$10,'BDD'!$A$1:$P$1,0),FALSE)),"")</f>
      </c>
      <c r="H66" s="568">
        <f>IF(VLOOKUP(E66,'BDD'!$A$1:$S$567,15,FALSE)=0,"Critère non évalué","")</f>
      </c>
      <c r="I66" s="569">
        <f>_xlfn.IFERROR(IF(VLOOKUP($E66,'BDD'!$A$1:$S$567,MATCH(I$10,'BDD'!$A$1:$P$1,0),FALSE)=0,"",VLOOKUP($E66,'BDD'!$A$1:$S$567,MATCH(I$10,'BDD'!$A$1:$P$1,0),FALSE)),"")</f>
      </c>
      <c r="J66" s="549"/>
      <c r="K66" s="567">
        <f>_xlfn.IFERROR(IF(VLOOKUP($E66,'BDD'!$A$1:$S$567,MATCH(K$10,'BDD'!$A$1:$P$1,0),FALSE)=0,"",VLOOKUP($E66,'BDD'!$A$1:$S$567,MATCH(K$10,'BDD'!$A$1:$P$1,0),FALSE)),"")</f>
      </c>
      <c r="L66" s="550"/>
      <c r="M66" s="557"/>
      <c r="N66" s="557"/>
      <c r="O66" s="534"/>
      <c r="P66" s="507"/>
    </row>
    <row r="67" ht="15" customHeight="1">
      <c r="A67" s="504"/>
      <c r="B67" s="61"/>
      <c r="C67" t="s" s="513">
        <f>IF(LEFT(RIGHT($B$1,2),1)=" ",RIGHT($B$1,1),RIGHT($B$1,2))</f>
        <v>1854</v>
      </c>
      <c r="D67" s="514">
        <f>IF(LEFT(F67,14)="Bonne pratique",D66+1,D66)</f>
        <v>4</v>
      </c>
      <c r="E67" s="565">
        <f>C67&amp;D67&amp;RIGHT(F67,1)</f>
      </c>
      <c r="F67" s="559"/>
      <c r="G67" s="559"/>
      <c r="H67" s="559"/>
      <c r="I67" s="559"/>
      <c r="J67" s="559"/>
      <c r="K67" s="559"/>
      <c r="L67" s="61"/>
      <c r="M67" s="559"/>
      <c r="N67" s="559"/>
      <c r="O67" s="61"/>
      <c r="P67" s="507"/>
    </row>
    <row r="68" ht="14.4" customHeight="1">
      <c r="A68" s="504"/>
      <c r="B68" s="61"/>
      <c r="C68" t="s" s="513">
        <f>IF(LEFT(RIGHT($B$1,2),1)=" ",RIGHT($B$1,1),RIGHT($B$1,2))</f>
        <v>1854</v>
      </c>
      <c r="D68" s="61"/>
      <c r="E68" s="565"/>
      <c r="F68" s="61"/>
      <c r="G68" s="61"/>
      <c r="H68" s="61"/>
      <c r="I68" s="61"/>
      <c r="J68" s="61"/>
      <c r="K68" s="61"/>
      <c r="L68" s="61"/>
      <c r="M68" s="61"/>
      <c r="N68" s="61"/>
      <c r="O68" s="61"/>
      <c r="P68" s="507"/>
    </row>
    <row r="69" ht="14.4" customHeight="1">
      <c r="A69" s="504"/>
      <c r="B69" s="61"/>
      <c r="C69" t="s" s="513">
        <f>IF(LEFT(RIGHT($B$1,2),1)=" ",RIGHT($B$1,1),RIGHT($B$1,2))</f>
        <v>1854</v>
      </c>
      <c r="D69" s="61"/>
      <c r="E69" s="565"/>
      <c r="F69" s="61"/>
      <c r="G69" s="61"/>
      <c r="H69" s="61"/>
      <c r="I69" s="61"/>
      <c r="J69" s="61"/>
      <c r="K69" s="61"/>
      <c r="L69" s="61"/>
      <c r="M69" s="61"/>
      <c r="N69" s="61"/>
      <c r="O69" s="61"/>
      <c r="P69" s="507"/>
    </row>
    <row r="70" ht="14.4" customHeight="1">
      <c r="A70" s="504"/>
      <c r="B70" s="61"/>
      <c r="C70" t="s" s="513">
        <f>IF(LEFT(RIGHT($B$1,2),1)=" ",RIGHT($B$1,1),RIGHT($B$1,2))</f>
        <v>1854</v>
      </c>
      <c r="D70" s="61"/>
      <c r="E70" s="565"/>
      <c r="F70" s="61"/>
      <c r="G70" s="61"/>
      <c r="H70" s="61"/>
      <c r="I70" s="61"/>
      <c r="J70" s="61"/>
      <c r="K70" s="61"/>
      <c r="L70" s="61"/>
      <c r="M70" s="61"/>
      <c r="N70" s="61"/>
      <c r="O70" s="61"/>
      <c r="P70" s="507"/>
    </row>
    <row r="71" ht="25.8" customHeight="1">
      <c r="A71" s="511"/>
      <c r="B71" s="512"/>
      <c r="C71" t="s" s="513">
        <f>IF(LEFT(RIGHT($B$1,2),1)=" ",RIGHT($B$1,1),RIGHT($B$1,2))</f>
        <v>1854</v>
      </c>
      <c r="D71" s="61">
        <f>IF(LEFT(F71,14)="Bonne pratique",D67+1,D67)</f>
      </c>
      <c r="E71" s="565">
        <f>C71&amp;D71&amp;RIGHT(F71,1)</f>
      </c>
      <c r="F71" t="s" s="516">
        <v>1814</v>
      </c>
      <c r="G71" s="517"/>
      <c r="H71" s="518"/>
      <c r="I71" s="519"/>
      <c r="J71" s="519">
        <f>VLOOKUP(E78,'BDD'!$A$2:$N$567,6,FALSE)</f>
      </c>
      <c r="K71" s="521"/>
      <c r="L71" s="517"/>
      <c r="M71" s="517"/>
      <c r="N71" s="517"/>
      <c r="O71" s="512"/>
      <c r="P71" s="522"/>
    </row>
    <row r="72" ht="15" customHeight="1">
      <c r="A72" s="504"/>
      <c r="B72" s="61"/>
      <c r="C72" t="s" s="513">
        <f>IF(LEFT(RIGHT($B$1,2),1)=" ",RIGHT($B$1,1),RIGHT($B$1,2))</f>
        <v>1854</v>
      </c>
      <c r="D72" s="61">
        <f>IF(LEFT(F72,14)="Bonne pratique",D71+1,D71)</f>
      </c>
      <c r="E72" s="565">
        <f>C72&amp;D72&amp;RIGHT(F72,1)</f>
      </c>
      <c r="F72" s="61"/>
      <c r="G72" s="61"/>
      <c r="H72" s="61"/>
      <c r="I72" s="61"/>
      <c r="J72" s="61"/>
      <c r="K72" s="61"/>
      <c r="L72" s="61"/>
      <c r="M72" s="61"/>
      <c r="N72" s="61"/>
      <c r="O72" s="61"/>
      <c r="P72" s="507"/>
    </row>
    <row r="73" ht="18" customHeight="1">
      <c r="A73" s="523"/>
      <c r="B73" s="524"/>
      <c r="C73" t="s" s="513">
        <f>IF(LEFT(RIGHT($B$1,2),1)=" ",RIGHT($B$1,1),RIGHT($B$1,2))</f>
        <v>1854</v>
      </c>
      <c r="D73" s="61">
        <f>IF(LEFT(F73,14)="Bonne pratique",D72+1,D72)</f>
      </c>
      <c r="E73" s="565">
        <f>C73&amp;D73&amp;RIGHT(F73,1)</f>
      </c>
      <c r="F73" s="524"/>
      <c r="G73" s="524"/>
      <c r="H73" s="524"/>
      <c r="I73" s="525"/>
      <c r="J73" t="s" s="526">
        <v>463</v>
      </c>
      <c r="K73" s="525"/>
      <c r="L73" s="524"/>
      <c r="M73" s="524"/>
      <c r="N73" s="524"/>
      <c r="O73" s="524"/>
      <c r="P73" s="527"/>
    </row>
    <row r="74" ht="18" customHeight="1">
      <c r="A74" s="504"/>
      <c r="B74" s="61"/>
      <c r="C74" t="s" s="513">
        <f>IF(LEFT(RIGHT($B$1,2),1)=" ",RIGHT($B$1,1),RIGHT($B$1,2))</f>
        <v>1854</v>
      </c>
      <c r="D74" s="61">
        <f>IF(LEFT(F74,14)="Bonne pratique",D73+1,D73)</f>
      </c>
      <c r="E74" s="565">
        <f>C74&amp;D74&amp;RIGHT(F74,1)</f>
      </c>
      <c r="F74" s="61"/>
      <c r="G74" s="61"/>
      <c r="H74" s="61"/>
      <c r="I74" s="61"/>
      <c r="J74" s="528"/>
      <c r="K74" s="61"/>
      <c r="L74" s="61"/>
      <c r="M74" s="529"/>
      <c r="N74" s="529"/>
      <c r="O74" s="61"/>
      <c r="P74" s="507"/>
    </row>
    <row r="75" ht="15" customHeight="1">
      <c r="A75" s="504"/>
      <c r="B75" s="61"/>
      <c r="C75" t="s" s="513">
        <f>IF(LEFT(RIGHT($B$1,2),1)=" ",RIGHT($B$1,1),RIGHT($B$1,2))</f>
        <v>1854</v>
      </c>
      <c r="D75" s="61">
        <f>IF(LEFT(F75,14)="Bonne pratique",D74+1,D74)</f>
      </c>
      <c r="E75" s="565">
        <f>C75&amp;D75&amp;RIGHT(F75,1)</f>
      </c>
      <c r="F75" s="61"/>
      <c r="G75" s="529"/>
      <c r="H75" s="529"/>
      <c r="I75" s="529"/>
      <c r="J75" s="530"/>
      <c r="K75" s="529"/>
      <c r="L75" s="542"/>
      <c r="M75" t="s" s="562">
        <v>1763</v>
      </c>
      <c r="N75" s="563"/>
      <c r="O75" s="534"/>
      <c r="P75" s="507"/>
    </row>
    <row r="76" ht="33" customHeight="1">
      <c r="A76" s="504"/>
      <c r="B76" s="61"/>
      <c r="C76" t="s" s="513">
        <f>IF(LEFT(RIGHT($B$1,2),1)=" ",RIGHT($B$1,1),RIGHT($B$1,2))</f>
        <v>1854</v>
      </c>
      <c r="D76" s="61">
        <f>IF(LEFT(F76,14)="Bonne pratique",D75+1,D75)</f>
      </c>
      <c r="E76" s="565">
        <f>C76&amp;D76&amp;RIGHT(F76,1)</f>
      </c>
      <c r="F76" s="564"/>
      <c r="G76" t="s" s="536">
        <v>244</v>
      </c>
      <c r="H76" t="s" s="536">
        <v>1764</v>
      </c>
      <c r="I76" t="s" s="536">
        <v>1787</v>
      </c>
      <c r="J76" t="s" s="536">
        <v>1765</v>
      </c>
      <c r="K76" t="s" s="536">
        <v>1788</v>
      </c>
      <c r="L76" s="538"/>
      <c r="M76" t="s" s="539">
        <v>1766</v>
      </c>
      <c r="N76" t="s" s="540">
        <v>1767</v>
      </c>
      <c r="O76" s="534"/>
      <c r="P76" s="507"/>
    </row>
    <row r="77" ht="15" customHeight="1">
      <c r="A77" s="504"/>
      <c r="B77" s="61"/>
      <c r="C77" t="s" s="513">
        <f>IF(LEFT(RIGHT($B$1,2),1)=" ",RIGHT($B$1,1),RIGHT($B$1,2))</f>
        <v>1854</v>
      </c>
      <c r="D77" s="61">
        <f>IF(LEFT(F77,14)="Bonne pratique",D76+1,D76)</f>
      </c>
      <c r="E77" s="565">
        <f>C77&amp;D77&amp;RIGHT(F77,1)</f>
      </c>
      <c r="F77" s="529"/>
      <c r="G77" s="541"/>
      <c r="H77" s="541"/>
      <c r="I77" s="541"/>
      <c r="J77" s="541"/>
      <c r="K77" s="541"/>
      <c r="L77" s="61"/>
      <c r="M77" s="541"/>
      <c r="N77" s="541"/>
      <c r="O77" s="61"/>
      <c r="P77" s="507"/>
    </row>
    <row r="78" ht="130.05" customHeight="1">
      <c r="A78" s="504"/>
      <c r="B78" s="542"/>
      <c r="C78" t="s" s="543">
        <f>IF(LEFT(RIGHT($B$1,2),1)=" ",RIGHT($B$1,1),RIGHT($B$1,2))</f>
        <v>1854</v>
      </c>
      <c r="D78" s="550">
        <f>IF(LEFT(F78,14)="Bonne pratique",D77+1,D77)</f>
      </c>
      <c r="E78" s="566">
        <f>C78&amp;D78&amp;RIGHT(F78,1)</f>
      </c>
      <c r="F78" t="s" s="546">
        <v>1769</v>
      </c>
      <c r="G78" s="567">
        <f>_xlfn.IFERROR(IF(VLOOKUP($E78,'BDD'!$A$1:$S$567,MATCH(G$10,'BDD'!$A$1:$P$1,0),FALSE)=0,"",VLOOKUP($E78,'BDD'!$A$1:$S$567,MATCH(G$10,'BDD'!$A$1:$P$1,0),FALSE)),"")</f>
      </c>
      <c r="H78" s="568">
        <f>IF(VLOOKUP(E78,'BDD'!$A$1:$S$567,15,FALSE)=0,"Critère non évalué","")</f>
      </c>
      <c r="I78" s="569">
        <f>_xlfn.IFERROR(IF(VLOOKUP($E78,'BDD'!$A$1:$S$567,MATCH(I$10,'BDD'!$A$1:$P$1,0),FALSE)=0,"",VLOOKUP($E78,'BDD'!$A$1:$S$567,MATCH(I$10,'BDD'!$A$1:$P$1,0),FALSE)),"")</f>
      </c>
      <c r="J78" s="549"/>
      <c r="K78" s="567">
        <f>_xlfn.IFERROR(IF(VLOOKUP($E78,'BDD'!$A$1:$S$567,MATCH(K$10,'BDD'!$A$1:$P$1,0),FALSE)=0,"",VLOOKUP($E78,'BDD'!$A$1:$S$567,MATCH(K$10,'BDD'!$A$1:$P$1,0),FALSE)),"")</f>
      </c>
      <c r="L78" s="550"/>
      <c r="M78" s="551"/>
      <c r="N78" s="551"/>
      <c r="O78" s="534"/>
      <c r="P78" s="507"/>
    </row>
    <row r="79" ht="130.05" customHeight="1">
      <c r="A79" s="504"/>
      <c r="B79" s="542"/>
      <c r="C79" t="s" s="543">
        <f>IF(LEFT(RIGHT($B$1,2),1)=" ",RIGHT($B$1,1),RIGHT($B$1,2))</f>
        <v>1854</v>
      </c>
      <c r="D79" s="550">
        <f>IF(LEFT(F79,14)="Bonne pratique",D78+1,D78)</f>
      </c>
      <c r="E79" s="566">
        <f>C79&amp;D79&amp;RIGHT(F79,1)</f>
      </c>
      <c r="F79" t="s" s="552">
        <v>1772</v>
      </c>
      <c r="G79" s="557">
        <f>_xlfn.IFERROR(IF(VLOOKUP($E79,'BDD'!$A$1:$S$567,MATCH(G$10,'BDD'!$A$1:$P$1,0),FALSE)=0,"",VLOOKUP($E79,'BDD'!$A$1:$S$567,MATCH(G$10,'BDD'!$A$1:$P$1,0),FALSE)),"")</f>
      </c>
      <c r="H79" s="570">
        <f>IF(VLOOKUP(E79,'BDD'!$A$1:$S$567,15,FALSE)=0,"Critère non évalué","")</f>
      </c>
      <c r="I79" s="571">
        <f>_xlfn.IFERROR(IF(VLOOKUP($E79,'BDD'!$A$1:$S$567,MATCH(I$10,'BDD'!$A$1:$P$1,0),FALSE)=0,"",VLOOKUP($E79,'BDD'!$A$1:$S$567,MATCH(I$10,'BDD'!$A$1:$P$1,0),FALSE)),"")</f>
      </c>
      <c r="J79" s="554"/>
      <c r="K79" s="557">
        <f>_xlfn.IFERROR(IF(VLOOKUP($E79,'BDD'!$A$1:$S$567,MATCH(K$10,'BDD'!$A$1:$P$1,0),FALSE)=0,"",VLOOKUP($E79,'BDD'!$A$1:$S$567,MATCH(K$10,'BDD'!$A$1:$P$1,0),FALSE)),"")</f>
      </c>
      <c r="L79" s="550"/>
      <c r="M79" s="555"/>
      <c r="N79" s="555"/>
      <c r="O79" s="534"/>
      <c r="P79" s="507"/>
    </row>
    <row r="80" ht="130.05" customHeight="1">
      <c r="A80" s="504"/>
      <c r="B80" s="542"/>
      <c r="C80" t="s" s="543">
        <f>IF(LEFT(RIGHT($B$1,2),1)=" ",RIGHT($B$1,1),RIGHT($B$1,2))</f>
        <v>1854</v>
      </c>
      <c r="D80" s="550">
        <f>IF(LEFT(F80,14)="Bonne pratique",D79+1,D79)</f>
      </c>
      <c r="E80" s="566">
        <f>C80&amp;D80&amp;RIGHT(F80,1)</f>
      </c>
      <c r="F80" t="s" s="546">
        <v>1774</v>
      </c>
      <c r="G80" s="567">
        <f>_xlfn.IFERROR(IF(VLOOKUP($E80,'BDD'!$A$1:$S$567,MATCH(G$10,'BDD'!$A$1:$P$1,0),FALSE)=0,"",VLOOKUP($E80,'BDD'!$A$1:$S$567,MATCH(G$10,'BDD'!$A$1:$P$1,0),FALSE)),"")</f>
      </c>
      <c r="H80" s="568">
        <f>IF(VLOOKUP(E80,'BDD'!$A$1:$S$567,15,FALSE)=0,"Critère non évalué","")</f>
      </c>
      <c r="I80" s="569">
        <f>_xlfn.IFERROR(IF(VLOOKUP($E80,'BDD'!$A$1:$S$567,MATCH(I$10,'BDD'!$A$1:$P$1,0),FALSE)=0,"",VLOOKUP($E80,'BDD'!$A$1:$S$567,MATCH(I$10,'BDD'!$A$1:$P$1,0),FALSE)),"")</f>
      </c>
      <c r="J80" s="549"/>
      <c r="K80" s="567">
        <f>_xlfn.IFERROR(IF(VLOOKUP($E80,'BDD'!$A$1:$S$567,MATCH(K$10,'BDD'!$A$1:$P$1,0),FALSE)=0,"",VLOOKUP($E80,'BDD'!$A$1:$S$567,MATCH(K$10,'BDD'!$A$1:$P$1,0),FALSE)),"")</f>
      </c>
      <c r="L80" s="550"/>
      <c r="M80" s="551"/>
      <c r="N80" s="551"/>
      <c r="O80" s="534"/>
      <c r="P80" s="507"/>
    </row>
    <row r="81" ht="130.05" customHeight="1">
      <c r="A81" s="504"/>
      <c r="B81" s="542"/>
      <c r="C81" t="s" s="543">
        <f>IF(LEFT(RIGHT($B$1,2),1)=" ",RIGHT($B$1,1),RIGHT($B$1,2))</f>
        <v>1854</v>
      </c>
      <c r="D81" s="550">
        <f>IF(LEFT(F81,14)="Bonne pratique",D80+1,D80)</f>
      </c>
      <c r="E81" s="566">
        <f>C81&amp;D81&amp;RIGHT(F81,1)</f>
      </c>
      <c r="F81" t="s" s="552">
        <v>1776</v>
      </c>
      <c r="G81" s="557">
        <f>_xlfn.IFERROR(IF(VLOOKUP($E81,'BDD'!$A$1:$S$567,MATCH(G$10,'BDD'!$A$1:$P$1,0),FALSE)=0,"",VLOOKUP($E81,'BDD'!$A$1:$S$567,MATCH(G$10,'BDD'!$A$1:$P$1,0),FALSE)),"")</f>
      </c>
      <c r="H81" s="570">
        <f>IF(VLOOKUP(E81,'BDD'!$A$1:$S$567,15,FALSE)=0,"Critère non évalué","")</f>
      </c>
      <c r="I81" s="571">
        <f>_xlfn.IFERROR(IF(VLOOKUP($E81,'BDD'!$A$1:$S$567,MATCH(I$10,'BDD'!$A$1:$P$1,0),FALSE)=0,"",VLOOKUP($E81,'BDD'!$A$1:$S$567,MATCH(I$10,'BDD'!$A$1:$P$1,0),FALSE)),"")</f>
      </c>
      <c r="J81" s="556"/>
      <c r="K81" s="557">
        <f>_xlfn.IFERROR(IF(VLOOKUP($E81,'BDD'!$A$1:$S$567,MATCH(K$10,'BDD'!$A$1:$P$1,0),FALSE)=0,"",VLOOKUP($E81,'BDD'!$A$1:$S$567,MATCH(K$10,'BDD'!$A$1:$P$1,0),FALSE)),"")</f>
      </c>
      <c r="L81" s="550"/>
      <c r="M81" s="555"/>
      <c r="N81" s="555"/>
      <c r="O81" s="534"/>
      <c r="P81" s="507"/>
    </row>
    <row r="82" ht="130.05" customHeight="1" hidden="1">
      <c r="A82" s="504"/>
      <c r="B82" s="542"/>
      <c r="C82" t="s" s="543">
        <f>IF(LEFT(RIGHT($B$1,2),1)=" ",RIGHT($B$1,1),RIGHT($B$1,2))</f>
        <v>1854</v>
      </c>
      <c r="D82" s="550">
        <f>IF(LEFT(F82,14)="Bonne pratique",D81+1,D81)</f>
      </c>
      <c r="E82" s="566">
        <f>C82&amp;D82&amp;RIGHT(F82,1)</f>
      </c>
      <c r="F82" t="s" s="546">
        <v>1778</v>
      </c>
      <c r="G82" s="567">
        <f>_xlfn.IFERROR(IF(VLOOKUP($E82,'BDD'!$A$1:$S$567,MATCH(G$10,'BDD'!$A$1:$P$1,0),FALSE)=0,"",VLOOKUP($E82,'BDD'!$A$1:$S$567,MATCH(G$10,'BDD'!$A$1:$P$1,0),FALSE)),"")</f>
      </c>
      <c r="H82" s="568">
        <f>IF(VLOOKUP(E82,'BDD'!$A$1:$S$567,15,FALSE)=0,"Critère non évalué","")</f>
      </c>
      <c r="I82" s="569">
        <f>_xlfn.IFERROR(IF(VLOOKUP($E82,'BDD'!$A$1:$S$567,MATCH(I$10,'BDD'!$A$1:$P$1,0),FALSE)=0,"",VLOOKUP($E82,'BDD'!$A$1:$S$567,MATCH(I$10,'BDD'!$A$1:$P$1,0),FALSE)),"")</f>
      </c>
      <c r="J82" s="549"/>
      <c r="K82" s="567">
        <f>_xlfn.IFERROR(IF(VLOOKUP($E82,'BDD'!$A$1:$S$567,MATCH(K$10,'BDD'!$A$1:$P$1,0),FALSE)=0,"",VLOOKUP($E82,'BDD'!$A$1:$S$567,MATCH(K$10,'BDD'!$A$1:$P$1,0),FALSE)),"")</f>
      </c>
      <c r="L82" s="550"/>
      <c r="M82" s="557"/>
      <c r="N82" s="557"/>
      <c r="O82" s="534"/>
      <c r="P82" s="507"/>
    </row>
    <row r="83" ht="130.05" customHeight="1" hidden="1">
      <c r="A83" s="504"/>
      <c r="B83" s="542"/>
      <c r="C83" t="s" s="543">
        <f>IF(LEFT(RIGHT($B$1,2),1)=" ",RIGHT($B$1,1),RIGHT($B$1,2))</f>
        <v>1854</v>
      </c>
      <c r="D83" s="550">
        <f>IF(LEFT(F83,14)="Bonne pratique",D82+1,D82)</f>
      </c>
      <c r="E83" s="566">
        <f>C83&amp;D83&amp;RIGHT(F83,1)</f>
      </c>
      <c r="F83" t="s" s="552">
        <v>1780</v>
      </c>
      <c r="G83" s="557">
        <f>_xlfn.IFERROR(IF(VLOOKUP($E83,'BDD'!$A$1:$S$567,MATCH(G$10,'BDD'!$A$1:$P$1,0),FALSE)=0,"",VLOOKUP($E83,'BDD'!$A$1:$S$567,MATCH(G$10,'BDD'!$A$1:$P$1,0),FALSE)),"")</f>
      </c>
      <c r="H83" s="570">
        <f>IF(VLOOKUP(E83,'BDD'!$A$1:$S$567,15,FALSE)=0,"Critère non évalué","")</f>
      </c>
      <c r="I83" s="571">
        <f>_xlfn.IFERROR(IF(VLOOKUP($E83,'BDD'!$A$1:$S$567,MATCH(I$10,'BDD'!$A$1:$P$1,0),FALSE)=0,"",VLOOKUP($E83,'BDD'!$A$1:$S$567,MATCH(I$10,'BDD'!$A$1:$P$1,0),FALSE)),"")</f>
      </c>
      <c r="J83" s="556"/>
      <c r="K83" s="557">
        <f>_xlfn.IFERROR(IF(VLOOKUP($E83,'BDD'!$A$1:$S$567,MATCH(K$10,'BDD'!$A$1:$P$1,0),FALSE)=0,"",VLOOKUP($E83,'BDD'!$A$1:$S$567,MATCH(K$10,'BDD'!$A$1:$P$1,0),FALSE)),"")</f>
      </c>
      <c r="L83" s="550"/>
      <c r="M83" s="555"/>
      <c r="N83" s="555"/>
      <c r="O83" s="534"/>
      <c r="P83" s="507"/>
    </row>
    <row r="84" ht="130.05" customHeight="1" hidden="1">
      <c r="A84" s="504"/>
      <c r="B84" s="542"/>
      <c r="C84" t="s" s="543">
        <f>IF(LEFT(RIGHT($B$1,2),1)=" ",RIGHT($B$1,1),RIGHT($B$1,2))</f>
        <v>1854</v>
      </c>
      <c r="D84" s="550">
        <f>IF(LEFT(F84,14)="Bonne pratique",D83+1,D83)</f>
      </c>
      <c r="E84" s="566">
        <f>C84&amp;D84&amp;RIGHT(F84,1)</f>
      </c>
      <c r="F84" t="s" s="546">
        <v>1782</v>
      </c>
      <c r="G84" s="567">
        <f>_xlfn.IFERROR(IF(VLOOKUP($E84,'BDD'!$A$1:$S$567,MATCH(G$10,'BDD'!$A$1:$P$1,0),FALSE)=0,"",VLOOKUP($E84,'BDD'!$A$1:$S$567,MATCH(G$10,'BDD'!$A$1:$P$1,0),FALSE)),"")</f>
      </c>
      <c r="H84" s="568">
        <f>IF(VLOOKUP(E84,'BDD'!$A$1:$S$567,15,FALSE)=0,"Critère non évalué","")</f>
      </c>
      <c r="I84" s="569">
        <f>_xlfn.IFERROR(IF(VLOOKUP($E84,'BDD'!$A$1:$S$567,MATCH(I$10,'BDD'!$A$1:$P$1,0),FALSE)=0,"",VLOOKUP($E84,'BDD'!$A$1:$S$567,MATCH(I$10,'BDD'!$A$1:$P$1,0),FALSE)),"")</f>
      </c>
      <c r="J84" s="549"/>
      <c r="K84" s="567">
        <f>_xlfn.IFERROR(IF(VLOOKUP($E84,'BDD'!$A$1:$S$567,MATCH(K$10,'BDD'!$A$1:$P$1,0),FALSE)=0,"",VLOOKUP($E84,'BDD'!$A$1:$S$567,MATCH(K$10,'BDD'!$A$1:$P$1,0),FALSE)),"")</f>
      </c>
      <c r="L84" s="550"/>
      <c r="M84" s="557"/>
      <c r="N84" s="557"/>
      <c r="O84" s="534"/>
      <c r="P84" s="507"/>
    </row>
    <row r="85" ht="14.4" customHeight="1">
      <c r="A85" s="504"/>
      <c r="B85" s="61"/>
      <c r="C85" t="s" s="513">
        <f>IF(LEFT(RIGHT($B$1,2),1)=" ",RIGHT($B$1,1),RIGHT($B$1,2))</f>
        <v>1854</v>
      </c>
      <c r="D85" s="61"/>
      <c r="E85" s="61"/>
      <c r="F85" s="559"/>
      <c r="G85" s="559"/>
      <c r="H85" s="559"/>
      <c r="I85" s="559"/>
      <c r="J85" s="559"/>
      <c r="K85" s="559"/>
      <c r="L85" s="61"/>
      <c r="M85" s="559"/>
      <c r="N85" s="559"/>
      <c r="O85" s="61"/>
      <c r="P85" s="507"/>
    </row>
    <row r="86" ht="14.4" customHeight="1">
      <c r="A86" s="504"/>
      <c r="B86" s="61"/>
      <c r="C86" t="s" s="513">
        <f>IF(LEFT(RIGHT($B$1,2),1)=" ",RIGHT($B$1,1),RIGHT($B$1,2))</f>
        <v>1854</v>
      </c>
      <c r="D86" s="61"/>
      <c r="E86" s="61"/>
      <c r="F86" s="61"/>
      <c r="G86" s="61"/>
      <c r="H86" s="61"/>
      <c r="I86" s="61"/>
      <c r="J86" s="61"/>
      <c r="K86" s="61"/>
      <c r="L86" s="61"/>
      <c r="M86" s="61"/>
      <c r="N86" s="61"/>
      <c r="O86" s="61"/>
      <c r="P86" s="507"/>
    </row>
    <row r="87" ht="25.8" customHeight="1">
      <c r="A87" s="511"/>
      <c r="B87" s="512"/>
      <c r="C87" t="s" s="513">
        <f>IF(LEFT(RIGHT($B$1,2),1)=" ",RIGHT($B$1,1),RIGHT($B$1,2))</f>
        <v>1854</v>
      </c>
      <c r="D87" s="61">
        <f>IF(LEFT(F87,14)="Bonne pratique",D83+1,D83)</f>
      </c>
      <c r="E87" s="565">
        <f>C87&amp;D87&amp;RIGHT(F87,1)</f>
      </c>
      <c r="F87" t="s" s="516">
        <v>1887</v>
      </c>
      <c r="G87" s="517"/>
      <c r="H87" s="518"/>
      <c r="I87" s="519"/>
      <c r="J87" s="519">
        <f>VLOOKUP(E94,'BDD'!$A$2:$N$567,6,FALSE)</f>
      </c>
      <c r="K87" s="521"/>
      <c r="L87" s="517"/>
      <c r="M87" s="517"/>
      <c r="N87" s="517"/>
      <c r="O87" s="512"/>
      <c r="P87" s="522"/>
    </row>
    <row r="88" ht="15" customHeight="1">
      <c r="A88" s="504"/>
      <c r="B88" s="61"/>
      <c r="C88" t="s" s="513">
        <f>IF(LEFT(RIGHT($B$1,2),1)=" ",RIGHT($B$1,1),RIGHT($B$1,2))</f>
        <v>1854</v>
      </c>
      <c r="D88" s="61">
        <f>IF(LEFT(F88,14)="Bonne pratique",D87+1,D87)</f>
      </c>
      <c r="E88" s="565">
        <f>C88&amp;D88&amp;RIGHT(F88,1)</f>
      </c>
      <c r="F88" s="61"/>
      <c r="G88" s="61"/>
      <c r="H88" s="61"/>
      <c r="I88" s="61"/>
      <c r="J88" s="61"/>
      <c r="K88" s="61"/>
      <c r="L88" s="61"/>
      <c r="M88" s="61"/>
      <c r="N88" s="61"/>
      <c r="O88" s="61"/>
      <c r="P88" s="507"/>
    </row>
    <row r="89" ht="18" customHeight="1">
      <c r="A89" s="523"/>
      <c r="B89" s="524"/>
      <c r="C89" t="s" s="513">
        <f>IF(LEFT(RIGHT($B$1,2),1)=" ",RIGHT($B$1,1),RIGHT($B$1,2))</f>
        <v>1854</v>
      </c>
      <c r="D89" s="61">
        <f>IF(LEFT(F89,14)="Bonne pratique",D88+1,D88)</f>
      </c>
      <c r="E89" s="565">
        <f>C89&amp;D89&amp;RIGHT(F89,1)</f>
      </c>
      <c r="F89" s="524"/>
      <c r="G89" s="524"/>
      <c r="H89" s="524"/>
      <c r="I89" s="525"/>
      <c r="J89" t="s" s="526">
        <v>476</v>
      </c>
      <c r="K89" s="525"/>
      <c r="L89" s="524"/>
      <c r="M89" s="524"/>
      <c r="N89" s="524"/>
      <c r="O89" s="524"/>
      <c r="P89" s="527"/>
    </row>
    <row r="90" ht="18" customHeight="1">
      <c r="A90" s="504"/>
      <c r="B90" s="61"/>
      <c r="C90" t="s" s="513">
        <f>IF(LEFT(RIGHT($B$1,2),1)=" ",RIGHT($B$1,1),RIGHT($B$1,2))</f>
        <v>1854</v>
      </c>
      <c r="D90" s="61">
        <f>IF(LEFT(F90,14)="Bonne pratique",D89+1,D89)</f>
      </c>
      <c r="E90" s="565">
        <f>C90&amp;D90&amp;RIGHT(F90,1)</f>
      </c>
      <c r="F90" s="61"/>
      <c r="G90" s="61"/>
      <c r="H90" s="61"/>
      <c r="I90" s="61"/>
      <c r="J90" s="528"/>
      <c r="K90" s="61"/>
      <c r="L90" s="61"/>
      <c r="M90" s="529"/>
      <c r="N90" s="529"/>
      <c r="O90" s="61"/>
      <c r="P90" s="507"/>
    </row>
    <row r="91" ht="15" customHeight="1">
      <c r="A91" s="504"/>
      <c r="B91" s="61"/>
      <c r="C91" t="s" s="513">
        <f>IF(LEFT(RIGHT($B$1,2),1)=" ",RIGHT($B$1,1),RIGHT($B$1,2))</f>
        <v>1854</v>
      </c>
      <c r="D91" s="61">
        <f>IF(LEFT(F91,14)="Bonne pratique",D90+1,D90)</f>
      </c>
      <c r="E91" s="565">
        <f>C91&amp;D91&amp;RIGHT(F91,1)</f>
      </c>
      <c r="F91" s="61"/>
      <c r="G91" s="529"/>
      <c r="H91" s="529"/>
      <c r="I91" s="529"/>
      <c r="J91" s="530"/>
      <c r="K91" s="529"/>
      <c r="L91" s="542"/>
      <c r="M91" t="s" s="562">
        <v>1763</v>
      </c>
      <c r="N91" s="563"/>
      <c r="O91" s="534"/>
      <c r="P91" s="507"/>
    </row>
    <row r="92" ht="33" customHeight="1">
      <c r="A92" s="504"/>
      <c r="B92" s="61"/>
      <c r="C92" t="s" s="513">
        <f>IF(LEFT(RIGHT($B$1,2),1)=" ",RIGHT($B$1,1),RIGHT($B$1,2))</f>
        <v>1854</v>
      </c>
      <c r="D92" s="61">
        <f>IF(LEFT(F92,14)="Bonne pratique",D91+1,D91)</f>
      </c>
      <c r="E92" s="565">
        <f>C92&amp;D92&amp;RIGHT(F92,1)</f>
      </c>
      <c r="F92" s="564"/>
      <c r="G92" t="s" s="536">
        <v>244</v>
      </c>
      <c r="H92" t="s" s="536">
        <v>1764</v>
      </c>
      <c r="I92" t="s" s="536">
        <v>1787</v>
      </c>
      <c r="J92" t="s" s="536">
        <v>1765</v>
      </c>
      <c r="K92" t="s" s="536">
        <v>1788</v>
      </c>
      <c r="L92" s="538"/>
      <c r="M92" t="s" s="539">
        <v>1766</v>
      </c>
      <c r="N92" t="s" s="540">
        <v>1767</v>
      </c>
      <c r="O92" s="534"/>
      <c r="P92" s="507"/>
    </row>
    <row r="93" ht="15" customHeight="1">
      <c r="A93" s="504"/>
      <c r="B93" s="61"/>
      <c r="C93" t="s" s="513">
        <f>IF(LEFT(RIGHT($B$1,2),1)=" ",RIGHT($B$1,1),RIGHT($B$1,2))</f>
        <v>1854</v>
      </c>
      <c r="D93" s="61">
        <f>IF(LEFT(F93,14)="Bonne pratique",D92+1,D92)</f>
      </c>
      <c r="E93" s="565">
        <f>C93&amp;D93&amp;RIGHT(F93,1)</f>
      </c>
      <c r="F93" s="529"/>
      <c r="G93" s="541"/>
      <c r="H93" s="541"/>
      <c r="I93" s="541"/>
      <c r="J93" s="541"/>
      <c r="K93" s="541"/>
      <c r="L93" s="61"/>
      <c r="M93" s="541"/>
      <c r="N93" s="541"/>
      <c r="O93" s="61"/>
      <c r="P93" s="507"/>
    </row>
    <row r="94" ht="130.05" customHeight="1">
      <c r="A94" s="504"/>
      <c r="B94" s="542"/>
      <c r="C94" t="s" s="543">
        <f>IF(LEFT(RIGHT($B$1,2),1)=" ",RIGHT($B$1,1),RIGHT($B$1,2))</f>
        <v>1854</v>
      </c>
      <c r="D94" s="550">
        <f>IF(LEFT(F94,14)="Bonne pratique",D93+1,D93)</f>
      </c>
      <c r="E94" s="566">
        <f>C94&amp;D94&amp;RIGHT(F94,1)</f>
      </c>
      <c r="F94" t="s" s="546">
        <v>1769</v>
      </c>
      <c r="G94" s="567">
        <f>_xlfn.IFERROR(IF(VLOOKUP($E94,'BDD'!$A$1:$S$567,MATCH(G$10,'BDD'!$A$1:$P$1,0),FALSE)=0,"",VLOOKUP($E94,'BDD'!$A$1:$S$567,MATCH(G$10,'BDD'!$A$1:$P$1,0),FALSE)),"")</f>
      </c>
      <c r="H94" s="568">
        <f>IF(VLOOKUP(E94,'BDD'!$A$1:$S$567,15,FALSE)=0,"Critère non évalué","")</f>
      </c>
      <c r="I94" s="569">
        <f>_xlfn.IFERROR(IF(VLOOKUP($E94,'BDD'!$A$1:$S$567,MATCH(I$10,'BDD'!$A$1:$P$1,0),FALSE)=0,"",VLOOKUP($E94,'BDD'!$A$1:$S$567,MATCH(I$10,'BDD'!$A$1:$P$1,0),FALSE)),"")</f>
      </c>
      <c r="J94" s="549"/>
      <c r="K94" s="567">
        <f>_xlfn.IFERROR(IF(VLOOKUP($E94,'BDD'!$A$1:$S$567,MATCH(K$10,'BDD'!$A$1:$P$1,0),FALSE)=0,"",VLOOKUP($E94,'BDD'!$A$1:$S$567,MATCH(K$10,'BDD'!$A$1:$P$1,0),FALSE)),"")</f>
      </c>
      <c r="L94" s="550"/>
      <c r="M94" s="551"/>
      <c r="N94" s="551"/>
      <c r="O94" s="534"/>
      <c r="P94" s="507"/>
    </row>
    <row r="95" ht="130.05" customHeight="1">
      <c r="A95" s="504"/>
      <c r="B95" s="542"/>
      <c r="C95" t="s" s="543">
        <f>IF(LEFT(RIGHT($B$1,2),1)=" ",RIGHT($B$1,1),RIGHT($B$1,2))</f>
        <v>1854</v>
      </c>
      <c r="D95" s="550">
        <f>IF(LEFT(F95,14)="Bonne pratique",D94+1,D94)</f>
      </c>
      <c r="E95" s="566">
        <f>C95&amp;D95&amp;RIGHT(F95,1)</f>
      </c>
      <c r="F95" t="s" s="552">
        <v>1772</v>
      </c>
      <c r="G95" s="557">
        <f>_xlfn.IFERROR(IF(VLOOKUP($E95,'BDD'!$A$1:$S$567,MATCH(G$10,'BDD'!$A$1:$P$1,0),FALSE)=0,"",VLOOKUP($E95,'BDD'!$A$1:$S$567,MATCH(G$10,'BDD'!$A$1:$P$1,0),FALSE)),"")</f>
      </c>
      <c r="H95" s="570">
        <f>IF(VLOOKUP(E95,'BDD'!$A$1:$S$567,15,FALSE)=0,"Critère non évalué","")</f>
      </c>
      <c r="I95" s="571">
        <f>_xlfn.IFERROR(IF(VLOOKUP($E95,'BDD'!$A$1:$S$567,MATCH(I$10,'BDD'!$A$1:$P$1,0),FALSE)=0,"",VLOOKUP($E95,'BDD'!$A$1:$S$567,MATCH(I$10,'BDD'!$A$1:$P$1,0),FALSE)),"")</f>
      </c>
      <c r="J95" s="554"/>
      <c r="K95" s="557">
        <f>_xlfn.IFERROR(IF(VLOOKUP($E95,'BDD'!$A$1:$S$567,MATCH(K$10,'BDD'!$A$1:$P$1,0),FALSE)=0,"",VLOOKUP($E95,'BDD'!$A$1:$S$567,MATCH(K$10,'BDD'!$A$1:$P$1,0),FALSE)),"")</f>
      </c>
      <c r="L95" s="550"/>
      <c r="M95" s="555"/>
      <c r="N95" s="555"/>
      <c r="O95" s="534"/>
      <c r="P95" s="507"/>
    </row>
    <row r="96" ht="130.05" customHeight="1">
      <c r="A96" s="504"/>
      <c r="B96" s="542"/>
      <c r="C96" t="s" s="543">
        <f>IF(LEFT(RIGHT($B$1,2),1)=" ",RIGHT($B$1,1),RIGHT($B$1,2))</f>
        <v>1854</v>
      </c>
      <c r="D96" s="550">
        <f>IF(LEFT(F96,14)="Bonne pratique",D95+1,D95)</f>
      </c>
      <c r="E96" s="566">
        <f>C96&amp;D96&amp;RIGHT(F96,1)</f>
      </c>
      <c r="F96" t="s" s="546">
        <v>1774</v>
      </c>
      <c r="G96" s="567">
        <f>_xlfn.IFERROR(IF(VLOOKUP($E96,'BDD'!$A$1:$S$567,MATCH(G$10,'BDD'!$A$1:$P$1,0),FALSE)=0,"",VLOOKUP($E96,'BDD'!$A$1:$S$567,MATCH(G$10,'BDD'!$A$1:$P$1,0),FALSE)),"")</f>
      </c>
      <c r="H96" s="568">
        <f>IF(VLOOKUP(E96,'BDD'!$A$1:$S$567,15,FALSE)=0,"Critère non évalué","")</f>
      </c>
      <c r="I96" s="569">
        <f>_xlfn.IFERROR(IF(VLOOKUP($E96,'BDD'!$A$1:$S$567,MATCH(I$10,'BDD'!$A$1:$P$1,0),FALSE)=0,"",VLOOKUP($E96,'BDD'!$A$1:$S$567,MATCH(I$10,'BDD'!$A$1:$P$1,0),FALSE)),"")</f>
      </c>
      <c r="J96" s="549"/>
      <c r="K96" s="567">
        <f>_xlfn.IFERROR(IF(VLOOKUP($E96,'BDD'!$A$1:$S$567,MATCH(K$10,'BDD'!$A$1:$P$1,0),FALSE)=0,"",VLOOKUP($E96,'BDD'!$A$1:$S$567,MATCH(K$10,'BDD'!$A$1:$P$1,0),FALSE)),"")</f>
      </c>
      <c r="L96" s="550"/>
      <c r="M96" s="551"/>
      <c r="N96" s="551"/>
      <c r="O96" s="534"/>
      <c r="P96" s="507"/>
    </row>
    <row r="97" ht="130.05" customHeight="1">
      <c r="A97" s="504"/>
      <c r="B97" s="542"/>
      <c r="C97" t="s" s="543">
        <f>IF(LEFT(RIGHT($B$1,2),1)=" ",RIGHT($B$1,1),RIGHT($B$1,2))</f>
        <v>1854</v>
      </c>
      <c r="D97" s="550">
        <f>IF(LEFT(F97,14)="Bonne pratique",D96+1,D96)</f>
      </c>
      <c r="E97" s="566">
        <f>C97&amp;D97&amp;RIGHT(F97,1)</f>
      </c>
      <c r="F97" t="s" s="552">
        <v>1776</v>
      </c>
      <c r="G97" s="557">
        <f>_xlfn.IFERROR(IF(VLOOKUP($E97,'BDD'!$A$1:$S$567,MATCH(G$10,'BDD'!$A$1:$P$1,0),FALSE)=0,"",VLOOKUP($E97,'BDD'!$A$1:$S$567,MATCH(G$10,'BDD'!$A$1:$P$1,0),FALSE)),"")</f>
      </c>
      <c r="H97" s="570">
        <f>IF(VLOOKUP(E97,'BDD'!$A$1:$S$567,15,FALSE)=0,"Critère non évalué","")</f>
      </c>
      <c r="I97" s="571">
        <f>_xlfn.IFERROR(IF(VLOOKUP($E97,'BDD'!$A$1:$S$567,MATCH(I$10,'BDD'!$A$1:$P$1,0),FALSE)=0,"",VLOOKUP($E97,'BDD'!$A$1:$S$567,MATCH(I$10,'BDD'!$A$1:$P$1,0),FALSE)),"")</f>
      </c>
      <c r="J97" s="556"/>
      <c r="K97" s="557">
        <f>_xlfn.IFERROR(IF(VLOOKUP($E97,'BDD'!$A$1:$S$567,MATCH(K$10,'BDD'!$A$1:$P$1,0),FALSE)=0,"",VLOOKUP($E97,'BDD'!$A$1:$S$567,MATCH(K$10,'BDD'!$A$1:$P$1,0),FALSE)),"")</f>
      </c>
      <c r="L97" s="550"/>
      <c r="M97" s="555"/>
      <c r="N97" s="555"/>
      <c r="O97" s="534"/>
      <c r="P97" s="507"/>
    </row>
    <row r="98" ht="130.05" customHeight="1" hidden="1">
      <c r="A98" s="504"/>
      <c r="B98" s="542"/>
      <c r="C98" t="s" s="543">
        <f>IF(LEFT(RIGHT($B$1,2),1)=" ",RIGHT($B$1,1),RIGHT($B$1,2))</f>
        <v>1854</v>
      </c>
      <c r="D98" s="550">
        <f>IF(LEFT(F98,14)="Bonne pratique",D97+1,D97)</f>
      </c>
      <c r="E98" s="566">
        <f>C98&amp;D98&amp;RIGHT(F98,1)</f>
      </c>
      <c r="F98" t="s" s="546">
        <v>1778</v>
      </c>
      <c r="G98" s="567">
        <f>_xlfn.IFERROR(IF(VLOOKUP($E98,'BDD'!$A$1:$S$567,MATCH(G$10,'BDD'!$A$1:$P$1,0),FALSE)=0,"",VLOOKUP($E98,'BDD'!$A$1:$S$567,MATCH(G$10,'BDD'!$A$1:$P$1,0),FALSE)),"")</f>
      </c>
      <c r="H98" s="568">
        <f>IF(VLOOKUP(E98,'BDD'!$A$1:$S$567,15,FALSE)=0,"Critère non évalué","")</f>
      </c>
      <c r="I98" s="569">
        <f>_xlfn.IFERROR(IF(VLOOKUP($E98,'BDD'!$A$1:$S$567,MATCH(I$10,'BDD'!$A$1:$P$1,0),FALSE)=0,"",VLOOKUP($E98,'BDD'!$A$1:$S$567,MATCH(I$10,'BDD'!$A$1:$P$1,0),FALSE)),"")</f>
      </c>
      <c r="J98" s="549"/>
      <c r="K98" s="567">
        <f>_xlfn.IFERROR(IF(VLOOKUP($E98,'BDD'!$A$1:$S$567,MATCH(K$10,'BDD'!$A$1:$P$1,0),FALSE)=0,"",VLOOKUP($E98,'BDD'!$A$1:$S$567,MATCH(K$10,'BDD'!$A$1:$P$1,0),FALSE)),"")</f>
      </c>
      <c r="L98" s="550"/>
      <c r="M98" s="557"/>
      <c r="N98" s="557"/>
      <c r="O98" s="534"/>
      <c r="P98" s="507"/>
    </row>
    <row r="99" ht="130.05" customHeight="1" hidden="1">
      <c r="A99" s="504"/>
      <c r="B99" s="542"/>
      <c r="C99" t="s" s="543">
        <f>IF(LEFT(RIGHT($B$1,2),1)=" ",RIGHT($B$1,1),RIGHT($B$1,2))</f>
        <v>1854</v>
      </c>
      <c r="D99" s="550">
        <f>IF(LEFT(F99,14)="Bonne pratique",D98+1,D98)</f>
      </c>
      <c r="E99" s="566">
        <f>C99&amp;D99&amp;RIGHT(F99,1)</f>
      </c>
      <c r="F99" t="s" s="552">
        <v>1780</v>
      </c>
      <c r="G99" s="557">
        <f>_xlfn.IFERROR(IF(VLOOKUP($E99,'BDD'!$A$1:$S$567,MATCH(G$10,'BDD'!$A$1:$P$1,0),FALSE)=0,"",VLOOKUP($E99,'BDD'!$A$1:$S$567,MATCH(G$10,'BDD'!$A$1:$P$1,0),FALSE)),"")</f>
      </c>
      <c r="H99" s="570">
        <f>IF(VLOOKUP(E99,'BDD'!$A$1:$S$567,15,FALSE)=0,"Critère non évalué","")</f>
      </c>
      <c r="I99" s="571">
        <f>_xlfn.IFERROR(IF(VLOOKUP($E99,'BDD'!$A$1:$S$567,MATCH(I$10,'BDD'!$A$1:$P$1,0),FALSE)=0,"",VLOOKUP($E99,'BDD'!$A$1:$S$567,MATCH(I$10,'BDD'!$A$1:$P$1,0),FALSE)),"")</f>
      </c>
      <c r="J99" s="556"/>
      <c r="K99" s="557">
        <f>_xlfn.IFERROR(IF(VLOOKUP($E99,'BDD'!$A$1:$S$567,MATCH(K$10,'BDD'!$A$1:$P$1,0),FALSE)=0,"",VLOOKUP($E99,'BDD'!$A$1:$S$567,MATCH(K$10,'BDD'!$A$1:$P$1,0),FALSE)),"")</f>
      </c>
      <c r="L99" s="550"/>
      <c r="M99" s="555"/>
      <c r="N99" s="555"/>
      <c r="O99" s="534"/>
      <c r="P99" s="507"/>
    </row>
    <row r="100" ht="130.05" customHeight="1" hidden="1">
      <c r="A100" s="504"/>
      <c r="B100" s="542"/>
      <c r="C100" t="s" s="543">
        <f>IF(LEFT(RIGHT($B$1,2),1)=" ",RIGHT($B$1,1),RIGHT($B$1,2))</f>
        <v>1854</v>
      </c>
      <c r="D100" s="550">
        <f>IF(LEFT(F100,14)="Bonne pratique",D99+1,D99)</f>
      </c>
      <c r="E100" s="566">
        <f>C100&amp;D100&amp;RIGHT(F100,1)</f>
      </c>
      <c r="F100" t="s" s="546">
        <v>1782</v>
      </c>
      <c r="G100" s="567">
        <f>_xlfn.IFERROR(IF(VLOOKUP($E100,'BDD'!$A$1:$S$567,MATCH(G$10,'BDD'!$A$1:$P$1,0),FALSE)=0,"",VLOOKUP($E100,'BDD'!$A$1:$S$567,MATCH(G$10,'BDD'!$A$1:$P$1,0),FALSE)),"")</f>
      </c>
      <c r="H100" s="568">
        <f>IF(VLOOKUP(E100,'BDD'!$A$1:$S$567,15,FALSE)=0,"Critère non évalué","")</f>
      </c>
      <c r="I100" s="569">
        <f>_xlfn.IFERROR(IF(VLOOKUP($E100,'BDD'!$A$1:$S$567,MATCH(I$10,'BDD'!$A$1:$P$1,0),FALSE)=0,"",VLOOKUP($E100,'BDD'!$A$1:$S$567,MATCH(I$10,'BDD'!$A$1:$P$1,0),FALSE)),"")</f>
      </c>
      <c r="J100" s="549"/>
      <c r="K100" s="567">
        <f>_xlfn.IFERROR(IF(VLOOKUP($E100,'BDD'!$A$1:$S$567,MATCH(K$10,'BDD'!$A$1:$P$1,0),FALSE)=0,"",VLOOKUP($E100,'BDD'!$A$1:$S$567,MATCH(K$10,'BDD'!$A$1:$P$1,0),FALSE)),"")</f>
      </c>
      <c r="L100" s="550"/>
      <c r="M100" s="557"/>
      <c r="N100" s="557"/>
      <c r="O100" s="534"/>
      <c r="P100" s="507"/>
    </row>
    <row r="101" ht="14.4" customHeight="1" hidden="1">
      <c r="A101" s="504"/>
      <c r="B101" s="61"/>
      <c r="C101" t="s" s="513">
        <f>IF(LEFT(RIGHT($B$1,2),1)=" ",RIGHT($B$1,1),RIGHT($B$1,2))</f>
        <v>1854</v>
      </c>
      <c r="D101" s="61"/>
      <c r="E101" s="61"/>
      <c r="F101" s="541"/>
      <c r="G101" s="541"/>
      <c r="H101" s="541"/>
      <c r="I101" s="541"/>
      <c r="J101" s="541"/>
      <c r="K101" s="541"/>
      <c r="L101" s="61"/>
      <c r="M101" s="541"/>
      <c r="N101" s="541"/>
      <c r="O101" s="61"/>
      <c r="P101" s="507"/>
    </row>
    <row r="102" ht="14.4" customHeight="1" hidden="1">
      <c r="A102" s="504"/>
      <c r="B102" s="61"/>
      <c r="C102" t="s" s="513">
        <f>IF(LEFT(RIGHT($B$1,2),1)=" ",RIGHT($B$1,1),RIGHT($B$1,2))</f>
        <v>1854</v>
      </c>
      <c r="D102" s="61"/>
      <c r="E102" s="61"/>
      <c r="F102" s="541"/>
      <c r="G102" s="541"/>
      <c r="H102" s="541"/>
      <c r="I102" s="541"/>
      <c r="J102" s="541"/>
      <c r="K102" s="541"/>
      <c r="L102" s="61"/>
      <c r="M102" s="541"/>
      <c r="N102" s="541"/>
      <c r="O102" s="61"/>
      <c r="P102" s="507"/>
    </row>
    <row r="103" ht="30" customHeight="1" hidden="1">
      <c r="A103" s="511"/>
      <c r="B103" s="512"/>
      <c r="C103" t="s" s="513">
        <f>IF(LEFT(RIGHT($B$1,2),1)=" ",RIGHT($B$1,1),RIGHT($B$1,2))</f>
        <v>1854</v>
      </c>
      <c r="D103" s="61">
        <f>IF(LEFT(F103,14)="Bonne pratique",D99+1,D99)</f>
      </c>
      <c r="E103" s="565">
        <f>C103&amp;D103&amp;RIGHT(F103,1)</f>
      </c>
      <c r="F103" t="s" s="828">
        <v>1888</v>
      </c>
      <c r="G103" s="829"/>
      <c r="H103" s="830"/>
      <c r="I103" s="831"/>
      <c r="J103" s="831">
        <f>VLOOKUP(E110,'BDD'!$A$2:$N$567,6,FALSE)</f>
      </c>
      <c r="K103" s="832"/>
      <c r="L103" s="517"/>
      <c r="M103" s="829"/>
      <c r="N103" s="829"/>
      <c r="O103" s="512"/>
      <c r="P103" s="522"/>
    </row>
    <row r="104" ht="9" customHeight="1" hidden="1">
      <c r="A104" s="504"/>
      <c r="B104" s="61"/>
      <c r="C104" t="s" s="513">
        <f>IF(LEFT(RIGHT($B$1,2),1)=" ",RIGHT($B$1,1),RIGHT($B$1,2))</f>
        <v>1854</v>
      </c>
      <c r="D104" s="61">
        <f>IF(LEFT(F104,14)="Bonne pratique",D103+1,D103)</f>
      </c>
      <c r="E104" s="565">
        <f>C104&amp;D104&amp;RIGHT(F104,1)</f>
      </c>
      <c r="F104" s="541"/>
      <c r="G104" s="541"/>
      <c r="H104" s="541"/>
      <c r="I104" s="541"/>
      <c r="J104" s="541"/>
      <c r="K104" s="541"/>
      <c r="L104" s="61"/>
      <c r="M104" s="541"/>
      <c r="N104" s="541"/>
      <c r="O104" s="61"/>
      <c r="P104" s="507"/>
    </row>
    <row r="105" ht="18" customHeight="1" hidden="1">
      <c r="A105" s="523"/>
      <c r="B105" s="524"/>
      <c r="C105" t="s" s="513">
        <f>IF(LEFT(RIGHT($B$1,2),1)=" ",RIGHT($B$1,1),RIGHT($B$1,2))</f>
        <v>1854</v>
      </c>
      <c r="D105" s="61">
        <f>IF(LEFT(F105,14)="Bonne pratique",D104+1,D104)</f>
      </c>
      <c r="E105" s="565">
        <f>C105&amp;D105&amp;RIGHT(F105,1)</f>
      </c>
      <c r="F105" s="833"/>
      <c r="G105" s="833"/>
      <c r="H105" s="833"/>
      <c r="I105" s="834"/>
      <c r="J105" s="835"/>
      <c r="K105" s="834"/>
      <c r="L105" s="524"/>
      <c r="M105" s="833"/>
      <c r="N105" s="833"/>
      <c r="O105" s="524"/>
      <c r="P105" s="527"/>
    </row>
    <row r="106" ht="18" customHeight="1" hidden="1">
      <c r="A106" s="504"/>
      <c r="B106" s="61"/>
      <c r="C106" t="s" s="513">
        <f>IF(LEFT(RIGHT($B$1,2),1)=" ",RIGHT($B$1,1),RIGHT($B$1,2))</f>
        <v>1854</v>
      </c>
      <c r="D106" s="61">
        <f>IF(LEFT(F106,14)="Bonne pratique",D105+1,D105)</f>
      </c>
      <c r="E106" s="565">
        <f>C106&amp;D106&amp;RIGHT(F106,1)</f>
      </c>
      <c r="F106" s="541"/>
      <c r="G106" s="541"/>
      <c r="H106" s="541"/>
      <c r="I106" s="541"/>
      <c r="J106" s="836"/>
      <c r="K106" s="541"/>
      <c r="L106" s="61"/>
      <c r="M106" s="541"/>
      <c r="N106" s="541"/>
      <c r="O106" s="61"/>
      <c r="P106" s="507"/>
    </row>
    <row r="107" ht="9" customHeight="1" hidden="1">
      <c r="A107" s="504"/>
      <c r="B107" s="61"/>
      <c r="C107" t="s" s="513">
        <f>IF(LEFT(RIGHT($B$1,2),1)=" ",RIGHT($B$1,1),RIGHT($B$1,2))</f>
        <v>1854</v>
      </c>
      <c r="D107" s="61">
        <f>IF(LEFT(F107,14)="Bonne pratique",D106+1,D106)</f>
      </c>
      <c r="E107" s="565">
        <f>C107&amp;D107&amp;RIGHT(F107,1)</f>
      </c>
      <c r="F107" s="541"/>
      <c r="G107" s="541"/>
      <c r="H107" s="541"/>
      <c r="I107" s="541"/>
      <c r="J107" s="837"/>
      <c r="K107" s="541"/>
      <c r="L107" s="542"/>
      <c r="M107" t="s" s="562">
        <v>1763</v>
      </c>
      <c r="N107" s="563"/>
      <c r="O107" s="534"/>
      <c r="P107" s="507"/>
    </row>
    <row r="108" ht="33" customHeight="1" hidden="1">
      <c r="A108" s="504"/>
      <c r="B108" s="61"/>
      <c r="C108" t="s" s="513">
        <f>IF(LEFT(RIGHT($B$1,2),1)=" ",RIGHT($B$1,1),RIGHT($B$1,2))</f>
        <v>1854</v>
      </c>
      <c r="D108" s="61">
        <f>IF(LEFT(F108,14)="Bonne pratique",D107+1,D107)</f>
      </c>
      <c r="E108" s="565">
        <f>C108&amp;D108&amp;RIGHT(F108,1)</f>
      </c>
      <c r="F108" s="838"/>
      <c r="G108" t="s" s="536">
        <v>244</v>
      </c>
      <c r="H108" t="s" s="536">
        <v>1764</v>
      </c>
      <c r="I108" t="s" s="536">
        <v>1787</v>
      </c>
      <c r="J108" t="s" s="536">
        <v>1765</v>
      </c>
      <c r="K108" t="s" s="536">
        <v>1788</v>
      </c>
      <c r="L108" s="538"/>
      <c r="M108" t="s" s="539">
        <v>1766</v>
      </c>
      <c r="N108" t="s" s="540">
        <v>1767</v>
      </c>
      <c r="O108" s="534"/>
      <c r="P108" s="507"/>
    </row>
    <row r="109" ht="9" customHeight="1" hidden="1">
      <c r="A109" s="504"/>
      <c r="B109" s="61"/>
      <c r="C109" t="s" s="513">
        <f>IF(LEFT(RIGHT($B$1,2),1)=" ",RIGHT($B$1,1),RIGHT($B$1,2))</f>
        <v>1854</v>
      </c>
      <c r="D109" s="61">
        <f>IF(LEFT(F109,14)="Bonne pratique",D108+1,D108)</f>
      </c>
      <c r="E109" s="565">
        <f>C109&amp;D109&amp;RIGHT(F109,1)</f>
      </c>
      <c r="F109" s="541"/>
      <c r="G109" s="541"/>
      <c r="H109" s="541"/>
      <c r="I109" s="541"/>
      <c r="J109" s="541"/>
      <c r="K109" s="541"/>
      <c r="L109" s="61"/>
      <c r="M109" s="541"/>
      <c r="N109" s="541"/>
      <c r="O109" s="61"/>
      <c r="P109" s="507"/>
    </row>
    <row r="110" ht="130.05" customHeight="1" hidden="1">
      <c r="A110" s="504"/>
      <c r="B110" s="542"/>
      <c r="C110" t="s" s="543">
        <f>IF(LEFT(RIGHT($B$1,2),1)=" ",RIGHT($B$1,1),RIGHT($B$1,2))</f>
        <v>1854</v>
      </c>
      <c r="D110" s="550">
        <f>IF(LEFT(F110,14)="Bonne pratique",D109+1,D109)</f>
      </c>
      <c r="E110" s="566">
        <f>C110&amp;D110&amp;RIGHT(F110,1)</f>
      </c>
      <c r="F110" t="s" s="546">
        <v>1769</v>
      </c>
      <c r="G110" s="567">
        <f>_xlfn.IFERROR(IF(VLOOKUP($E110,'BDD'!$A$1:$S$567,MATCH(G$10,'BDD'!$A$1:$P$1,0),FALSE)=0,"",VLOOKUP($E110,'BDD'!$A$1:$S$567,MATCH(G$10,'BDD'!$A$1:$P$1,0),FALSE)),"")</f>
      </c>
      <c r="H110" s="568">
        <f>IF(VLOOKUP(E110,'BDD'!$A$1:$S$567,15,FALSE)=0,"Critère non évalué","")</f>
      </c>
      <c r="I110" s="569">
        <f>_xlfn.IFERROR(IF(VLOOKUP($E110,'BDD'!$A$1:$S$567,MATCH(I$10,'BDD'!$A$1:$P$1,0),FALSE)=0,"",VLOOKUP($E110,'BDD'!$A$1:$S$567,MATCH(I$10,'BDD'!$A$1:$P$1,0),FALSE)),"")</f>
      </c>
      <c r="J110" s="549"/>
      <c r="K110" s="567">
        <f>_xlfn.IFERROR(IF(VLOOKUP($E110,'BDD'!$A$1:$S$567,MATCH(K$10,'BDD'!$A$1:$P$1,0),FALSE)=0,"",VLOOKUP($E110,'BDD'!$A$1:$S$567,MATCH(K$10,'BDD'!$A$1:$P$1,0),FALSE)),"")</f>
      </c>
      <c r="L110" s="550"/>
      <c r="M110" s="551"/>
      <c r="N110" s="551"/>
      <c r="O110" s="534"/>
      <c r="P110" s="507"/>
    </row>
    <row r="111" ht="130.05" customHeight="1" hidden="1">
      <c r="A111" s="504"/>
      <c r="B111" s="542"/>
      <c r="C111" t="s" s="543">
        <f>IF(LEFT(RIGHT($B$1,2),1)=" ",RIGHT($B$1,1),RIGHT($B$1,2))</f>
        <v>1854</v>
      </c>
      <c r="D111" s="550">
        <f>IF(LEFT(F111,14)="Bonne pratique",D110+1,D110)</f>
      </c>
      <c r="E111" s="566">
        <f>C111&amp;D111&amp;RIGHT(F111,1)</f>
      </c>
      <c r="F111" t="s" s="552">
        <v>1772</v>
      </c>
      <c r="G111" s="557">
        <f>_xlfn.IFERROR(IF(VLOOKUP($E111,'BDD'!$A$1:$S$567,MATCH(G$10,'BDD'!$A$1:$P$1,0),FALSE)=0,"",VLOOKUP($E111,'BDD'!$A$1:$S$567,MATCH(G$10,'BDD'!$A$1:$P$1,0),FALSE)),"")</f>
      </c>
      <c r="H111" s="570">
        <f>IF(VLOOKUP(E111,'BDD'!$A$1:$S$567,15,FALSE)=0,"Critère non évalué","")</f>
      </c>
      <c r="I111" s="571">
        <f>_xlfn.IFERROR(IF(VLOOKUP($E111,'BDD'!$A$1:$S$567,MATCH(I$10,'BDD'!$A$1:$P$1,0),FALSE)=0,"",VLOOKUP($E111,'BDD'!$A$1:$S$567,MATCH(I$10,'BDD'!$A$1:$P$1,0),FALSE)),"")</f>
      </c>
      <c r="J111" s="554"/>
      <c r="K111" s="557">
        <f>_xlfn.IFERROR(IF(VLOOKUP($E111,'BDD'!$A$1:$S$567,MATCH(K$10,'BDD'!$A$1:$P$1,0),FALSE)=0,"",VLOOKUP($E111,'BDD'!$A$1:$S$567,MATCH(K$10,'BDD'!$A$1:$P$1,0),FALSE)),"")</f>
      </c>
      <c r="L111" s="550"/>
      <c r="M111" s="555"/>
      <c r="N111" s="555"/>
      <c r="O111" s="534"/>
      <c r="P111" s="507"/>
    </row>
    <row r="112" ht="130.05" customHeight="1" hidden="1">
      <c r="A112" s="504"/>
      <c r="B112" s="542"/>
      <c r="C112" t="s" s="543">
        <f>IF(LEFT(RIGHT($B$1,2),1)=" ",RIGHT($B$1,1),RIGHT($B$1,2))</f>
        <v>1854</v>
      </c>
      <c r="D112" s="550">
        <f>IF(LEFT(F112,14)="Bonne pratique",D111+1,D111)</f>
      </c>
      <c r="E112" s="566">
        <f>C112&amp;D112&amp;RIGHT(F112,1)</f>
      </c>
      <c r="F112" t="s" s="546">
        <v>1774</v>
      </c>
      <c r="G112" s="567">
        <f>_xlfn.IFERROR(IF(VLOOKUP($E112,'BDD'!$A$1:$S$567,MATCH(G$10,'BDD'!$A$1:$P$1,0),FALSE)=0,"",VLOOKUP($E112,'BDD'!$A$1:$S$567,MATCH(G$10,'BDD'!$A$1:$P$1,0),FALSE)),"")</f>
      </c>
      <c r="H112" s="568">
        <f>IF(VLOOKUP(E112,'BDD'!$A$1:$S$567,15,FALSE)=0,"Critère non évalué","")</f>
      </c>
      <c r="I112" s="569">
        <f>_xlfn.IFERROR(IF(VLOOKUP($E112,'BDD'!$A$1:$S$567,MATCH(I$10,'BDD'!$A$1:$P$1,0),FALSE)=0,"",VLOOKUP($E112,'BDD'!$A$1:$S$567,MATCH(I$10,'BDD'!$A$1:$P$1,0),FALSE)),"")</f>
      </c>
      <c r="J112" s="549"/>
      <c r="K112" s="567">
        <f>_xlfn.IFERROR(IF(VLOOKUP($E112,'BDD'!$A$1:$S$567,MATCH(K$10,'BDD'!$A$1:$P$1,0),FALSE)=0,"",VLOOKUP($E112,'BDD'!$A$1:$S$567,MATCH(K$10,'BDD'!$A$1:$P$1,0),FALSE)),"")</f>
      </c>
      <c r="L112" s="550"/>
      <c r="M112" s="551"/>
      <c r="N112" s="551"/>
      <c r="O112" s="534"/>
      <c r="P112" s="507"/>
    </row>
    <row r="113" ht="130.05" customHeight="1" hidden="1">
      <c r="A113" s="504"/>
      <c r="B113" s="542"/>
      <c r="C113" t="s" s="543">
        <f>IF(LEFT(RIGHT($B$1,2),1)=" ",RIGHT($B$1,1),RIGHT($B$1,2))</f>
        <v>1854</v>
      </c>
      <c r="D113" s="550">
        <f>IF(LEFT(F113,14)="Bonne pratique",D112+1,D112)</f>
      </c>
      <c r="E113" s="566">
        <f>C113&amp;D113&amp;RIGHT(F113,1)</f>
      </c>
      <c r="F113" t="s" s="552">
        <v>1776</v>
      </c>
      <c r="G113" s="557">
        <f>_xlfn.IFERROR(IF(VLOOKUP($E113,'BDD'!$A$1:$S$567,MATCH(G$10,'BDD'!$A$1:$P$1,0),FALSE)=0,"",VLOOKUP($E113,'BDD'!$A$1:$S$567,MATCH(G$10,'BDD'!$A$1:$P$1,0),FALSE)),"")</f>
      </c>
      <c r="H113" s="570">
        <f>IF(VLOOKUP(E113,'BDD'!$A$1:$S$567,15,FALSE)=0,"Critère non évalué","")</f>
      </c>
      <c r="I113" s="571">
        <f>_xlfn.IFERROR(IF(VLOOKUP($E113,'BDD'!$A$1:$S$567,MATCH(I$10,'BDD'!$A$1:$P$1,0),FALSE)=0,"",VLOOKUP($E113,'BDD'!$A$1:$S$567,MATCH(I$10,'BDD'!$A$1:$P$1,0),FALSE)),"")</f>
      </c>
      <c r="J113" s="556"/>
      <c r="K113" s="557">
        <f>_xlfn.IFERROR(IF(VLOOKUP($E113,'BDD'!$A$1:$S$567,MATCH(K$10,'BDD'!$A$1:$P$1,0),FALSE)=0,"",VLOOKUP($E113,'BDD'!$A$1:$S$567,MATCH(K$10,'BDD'!$A$1:$P$1,0),FALSE)),"")</f>
      </c>
      <c r="L113" s="550"/>
      <c r="M113" s="555"/>
      <c r="N113" s="555"/>
      <c r="O113" s="534"/>
      <c r="P113" s="507"/>
    </row>
    <row r="114" ht="130.05" customHeight="1" hidden="1">
      <c r="A114" s="504"/>
      <c r="B114" s="542"/>
      <c r="C114" t="s" s="543">
        <f>IF(LEFT(RIGHT($B$1,2),1)=" ",RIGHT($B$1,1),RIGHT($B$1,2))</f>
        <v>1854</v>
      </c>
      <c r="D114" s="550">
        <f>IF(LEFT(F114,14)="Bonne pratique",D113+1,D113)</f>
      </c>
      <c r="E114" s="566">
        <f>C114&amp;D114&amp;RIGHT(F114,1)</f>
      </c>
      <c r="F114" t="s" s="546">
        <v>1778</v>
      </c>
      <c r="G114" s="567">
        <f>_xlfn.IFERROR(IF(VLOOKUP($E114,'BDD'!$A$1:$S$567,MATCH(G$10,'BDD'!$A$1:$P$1,0),FALSE)=0,"",VLOOKUP($E114,'BDD'!$A$1:$S$567,MATCH(G$10,'BDD'!$A$1:$P$1,0),FALSE)),"")</f>
      </c>
      <c r="H114" s="568">
        <f>IF(VLOOKUP(E114,'BDD'!$A$1:$S$567,15,FALSE)=0,"Critère non évalué","")</f>
      </c>
      <c r="I114" s="569">
        <f>_xlfn.IFERROR(IF(VLOOKUP($E114,'BDD'!$A$1:$S$567,MATCH(I$10,'BDD'!$A$1:$P$1,0),FALSE)=0,"",VLOOKUP($E114,'BDD'!$A$1:$S$567,MATCH(I$10,'BDD'!$A$1:$P$1,0),FALSE)),"")</f>
      </c>
      <c r="J114" s="549"/>
      <c r="K114" s="567">
        <f>_xlfn.IFERROR(IF(VLOOKUP($E114,'BDD'!$A$1:$S$567,MATCH(K$10,'BDD'!$A$1:$P$1,0),FALSE)=0,"",VLOOKUP($E114,'BDD'!$A$1:$S$567,MATCH(K$10,'BDD'!$A$1:$P$1,0),FALSE)),"")</f>
      </c>
      <c r="L114" s="550"/>
      <c r="M114" s="557"/>
      <c r="N114" s="557"/>
      <c r="O114" s="534"/>
      <c r="P114" s="507"/>
    </row>
    <row r="115" ht="130.05" customHeight="1" hidden="1">
      <c r="A115" s="504"/>
      <c r="B115" s="542"/>
      <c r="C115" t="s" s="543">
        <f>IF(LEFT(RIGHT($B$1,2),1)=" ",RIGHT($B$1,1),RIGHT($B$1,2))</f>
        <v>1854</v>
      </c>
      <c r="D115" s="550">
        <f>IF(LEFT(F115,14)="Bonne pratique",D114+1,D114)</f>
      </c>
      <c r="E115" s="566">
        <f>C115&amp;D115&amp;RIGHT(F115,1)</f>
      </c>
      <c r="F115" t="s" s="552">
        <v>1780</v>
      </c>
      <c r="G115" s="557">
        <f>_xlfn.IFERROR(IF(VLOOKUP($E115,'BDD'!$A$1:$S$567,MATCH(G$10,'BDD'!$A$1:$P$1,0),FALSE)=0,"",VLOOKUP($E115,'BDD'!$A$1:$S$567,MATCH(G$10,'BDD'!$A$1:$P$1,0),FALSE)),"")</f>
      </c>
      <c r="H115" s="570">
        <f>IF(VLOOKUP(E115,'BDD'!$A$1:$S$567,15,FALSE)=0,"Critère non évalué","")</f>
      </c>
      <c r="I115" s="571">
        <f>_xlfn.IFERROR(IF(VLOOKUP($E115,'BDD'!$A$1:$S$567,MATCH(I$10,'BDD'!$A$1:$P$1,0),FALSE)=0,"",VLOOKUP($E115,'BDD'!$A$1:$S$567,MATCH(I$10,'BDD'!$A$1:$P$1,0),FALSE)),"")</f>
      </c>
      <c r="J115" s="556"/>
      <c r="K115" s="557">
        <f>_xlfn.IFERROR(IF(VLOOKUP($E115,'BDD'!$A$1:$S$567,MATCH(K$10,'BDD'!$A$1:$P$1,0),FALSE)=0,"",VLOOKUP($E115,'BDD'!$A$1:$S$567,MATCH(K$10,'BDD'!$A$1:$P$1,0),FALSE)),"")</f>
      </c>
      <c r="L115" s="550"/>
      <c r="M115" s="555"/>
      <c r="N115" s="555"/>
      <c r="O115" s="534"/>
      <c r="P115" s="507"/>
    </row>
    <row r="116" ht="130.05" customHeight="1" hidden="1">
      <c r="A116" s="504"/>
      <c r="B116" s="542"/>
      <c r="C116" t="s" s="543">
        <f>RIGHT($B$1,1)</f>
        <v>1854</v>
      </c>
      <c r="D116" s="550">
        <f>IF(LEFT(F116,14)="Bonne pratique",D115+1,D115)</f>
      </c>
      <c r="E116" s="566">
        <f>C116&amp;D116&amp;RIGHT(F116,1)</f>
      </c>
      <c r="F116" t="s" s="546">
        <v>1782</v>
      </c>
      <c r="G116" s="567">
        <f>_xlfn.IFERROR(IF(VLOOKUP($E116,'BDD'!$A$1:$S$567,MATCH(G$10,'BDD'!$A$1:$P$1,0),FALSE)=0,"",VLOOKUP($E116,'BDD'!$A$1:$S$567,MATCH(G$10,'BDD'!$A$1:$P$1,0),FALSE)),"")</f>
      </c>
      <c r="H116" s="568">
        <f>IF(VLOOKUP(E116,'BDD'!$A$1:$S$567,15,FALSE)=0,"Critère non évalué","")</f>
      </c>
      <c r="I116" s="569">
        <f>_xlfn.IFERROR(IF(VLOOKUP($E116,'BDD'!$A$1:$S$567,MATCH(I$10,'BDD'!$A$1:$P$1,0),FALSE)=0,"",VLOOKUP($E116,'BDD'!$A$1:$S$567,MATCH(I$10,'BDD'!$A$1:$P$1,0),FALSE)),"")</f>
      </c>
      <c r="J116" s="549"/>
      <c r="K116" s="567">
        <f>_xlfn.IFERROR(IF(VLOOKUP($E116,'BDD'!$A$1:$S$567,MATCH(K$10,'BDD'!$A$1:$P$1,0),FALSE)=0,"",VLOOKUP($E116,'BDD'!$A$1:$S$567,MATCH(K$10,'BDD'!$A$1:$P$1,0),FALSE)),"")</f>
      </c>
      <c r="L116" s="550"/>
      <c r="M116" s="557"/>
      <c r="N116" s="557"/>
      <c r="O116" s="534"/>
      <c r="P116" s="507"/>
    </row>
    <row r="117" ht="14.4" customHeight="1">
      <c r="A117" s="504"/>
      <c r="B117" s="61"/>
      <c r="C117" s="61"/>
      <c r="D117" s="61"/>
      <c r="E117" s="61"/>
      <c r="F117" s="559"/>
      <c r="G117" s="559"/>
      <c r="H117" s="559"/>
      <c r="I117" s="559"/>
      <c r="J117" s="559"/>
      <c r="K117" s="559"/>
      <c r="L117" s="61"/>
      <c r="M117" s="559"/>
      <c r="N117" s="559"/>
      <c r="O117" s="61"/>
      <c r="P117" s="507"/>
    </row>
    <row r="118" ht="14.4" customHeight="1">
      <c r="A118" t="s" s="572">
        <v>171</v>
      </c>
      <c r="B118" s="573"/>
      <c r="C118" s="573"/>
      <c r="D118" s="573"/>
      <c r="E118" s="573"/>
      <c r="F118" s="573"/>
      <c r="G118" s="573"/>
      <c r="H118" s="573"/>
      <c r="I118" s="573"/>
      <c r="J118" s="573"/>
      <c r="K118" s="573"/>
      <c r="L118" s="573"/>
      <c r="M118" s="573"/>
      <c r="N118" s="573"/>
      <c r="O118" s="573"/>
      <c r="P118" t="s" s="574">
        <v>171</v>
      </c>
    </row>
  </sheetData>
  <mergeCells count="7">
    <mergeCell ref="M107:N107"/>
    <mergeCell ref="M9:N9"/>
    <mergeCell ref="M25:N25"/>
    <mergeCell ref="M41:N41"/>
    <mergeCell ref="M57:N57"/>
    <mergeCell ref="M75:N75"/>
    <mergeCell ref="M91:N91"/>
  </mergeCells>
  <pageMargins left="0.7" right="0.7" top="0.75" bottom="0.75" header="0.3" footer="0.3"/>
  <pageSetup firstPageNumber="1" fitToHeight="1" fitToWidth="1" scale="100" useFirstPageNumber="0" orientation="portrait" pageOrder="downThenOver"/>
  <headerFooter>
    <oddFooter>&amp;C&amp;"Helvetica Neue,Regular"&amp;12&amp;K000000&amp;P</oddFooter>
  </headerFooter>
  <drawing r:id="rId1"/>
</worksheet>
</file>

<file path=xl/worksheets/sheet11.xml><?xml version="1.0" encoding="utf-8"?>
<worksheet xmlns:r="http://schemas.openxmlformats.org/officeDocument/2006/relationships" xmlns="http://schemas.openxmlformats.org/spreadsheetml/2006/main">
  <dimension ref="A1:AI82"/>
  <sheetViews>
    <sheetView workbookViewId="0" showGridLines="0" defaultGridColor="1"/>
  </sheetViews>
  <sheetFormatPr defaultColWidth="8.83333" defaultRowHeight="14.4" customHeight="1" outlineLevelRow="0" outlineLevelCol="0"/>
  <cols>
    <col min="1" max="2" width="5.85156" style="839" customWidth="1"/>
    <col min="3" max="5" hidden="1" width="8.83333" style="839" customWidth="1"/>
    <col min="6" max="6" width="25.5" style="839" customWidth="1"/>
    <col min="7" max="7" width="73.5" style="839" customWidth="1"/>
    <col min="8" max="12" width="5.85156" style="839" customWidth="1"/>
    <col min="13" max="13" hidden="1" width="8.83333" style="839" customWidth="1"/>
    <col min="14" max="14" width="50.8516" style="839" customWidth="1"/>
    <col min="15" max="21" width="4.35156" style="839" customWidth="1"/>
    <col min="22" max="22" width="3" style="839" customWidth="1"/>
    <col min="23" max="23" width="23.8516" style="839" customWidth="1"/>
    <col min="24" max="24" width="59.8516" style="839" customWidth="1"/>
    <col min="25" max="25" width="4" style="839" customWidth="1"/>
    <col min="26" max="27" width="17.1719" style="839" customWidth="1"/>
    <col min="28" max="28" width="5.85156" style="839" customWidth="1"/>
    <col min="29" max="29" width="7.85156" style="839" customWidth="1"/>
    <col min="30" max="30" width="2.5" style="839" customWidth="1"/>
    <col min="31" max="31" width="19" style="839" customWidth="1"/>
    <col min="32" max="34" width="5.85156" style="839" customWidth="1"/>
    <col min="35" max="35" width="8.85156" style="839" customWidth="1"/>
    <col min="36" max="16384" width="8.85156" style="839" customWidth="1"/>
  </cols>
  <sheetData>
    <row r="1" ht="45" customHeight="1">
      <c r="A1" s="576"/>
      <c r="B1" t="s" s="498">
        <v>1853</v>
      </c>
      <c r="C1" s="577"/>
      <c r="D1" s="577"/>
      <c r="E1" s="499"/>
      <c r="F1" s="499"/>
      <c r="G1" s="499"/>
      <c r="H1" s="499"/>
      <c r="I1" s="499"/>
      <c r="J1" s="578"/>
      <c r="K1" s="579"/>
      <c r="L1" s="499"/>
      <c r="M1" s="499"/>
      <c r="N1" s="580"/>
      <c r="O1" s="580"/>
      <c r="P1" s="580"/>
      <c r="Q1" t="s" s="581">
        <f>VLOOKUP($E$27,'BDD'!$A$2:$N$567,3,FALSE)</f>
        <v>225</v>
      </c>
      <c r="R1" s="500"/>
      <c r="S1" s="501"/>
      <c r="T1" s="501"/>
      <c r="U1" s="501"/>
      <c r="V1" s="501"/>
      <c r="W1" s="501"/>
      <c r="X1" s="501"/>
      <c r="Y1" s="501"/>
      <c r="Z1" s="501"/>
      <c r="AA1" s="501"/>
      <c r="AB1" s="501"/>
      <c r="AC1" s="501"/>
      <c r="AD1" s="501"/>
      <c r="AE1" s="501"/>
      <c r="AF1" s="501"/>
      <c r="AG1" s="501"/>
      <c r="AH1" s="501"/>
      <c r="AI1" s="582"/>
    </row>
    <row r="2" ht="45" customHeight="1">
      <c r="A2" s="504"/>
      <c r="B2" s="505"/>
      <c r="C2" s="505"/>
      <c r="D2" s="505"/>
      <c r="E2" s="505"/>
      <c r="F2" s="505"/>
      <c r="G2" s="505"/>
      <c r="H2" s="505"/>
      <c r="I2" s="505"/>
      <c r="J2" s="505"/>
      <c r="K2" s="505"/>
      <c r="L2" s="505"/>
      <c r="M2" s="505"/>
      <c r="N2" s="583"/>
      <c r="O2" s="583"/>
      <c r="P2" s="583"/>
      <c r="Q2" t="s" s="506">
        <f>VLOOKUP($E$27,'BDD'!$A$2:$N$567,4,FALSE)</f>
        <v>388</v>
      </c>
      <c r="R2" s="505"/>
      <c r="S2" s="584"/>
      <c r="T2" s="584"/>
      <c r="U2" s="584"/>
      <c r="V2" s="584"/>
      <c r="W2" s="584"/>
      <c r="X2" s="584"/>
      <c r="Y2" s="584"/>
      <c r="Z2" s="584"/>
      <c r="AA2" s="584"/>
      <c r="AB2" s="584"/>
      <c r="AC2" s="584"/>
      <c r="AD2" s="584"/>
      <c r="AE2" s="584"/>
      <c r="AF2" s="584"/>
      <c r="AG2" s="584"/>
      <c r="AH2" s="584"/>
      <c r="AI2" s="585"/>
    </row>
    <row r="3" ht="45" customHeight="1">
      <c r="A3" s="504"/>
      <c r="B3" s="586"/>
      <c r="C3" s="586"/>
      <c r="D3" s="586"/>
      <c r="E3" s="586"/>
      <c r="F3" s="586"/>
      <c r="G3" s="587"/>
      <c r="H3" s="587"/>
      <c r="I3" s="587"/>
      <c r="J3" s="587"/>
      <c r="K3" s="587"/>
      <c r="L3" s="587"/>
      <c r="M3" s="587"/>
      <c r="N3" s="586"/>
      <c r="O3" s="586"/>
      <c r="P3" s="586"/>
      <c r="Q3" s="586"/>
      <c r="R3" s="586"/>
      <c r="S3" s="586"/>
      <c r="T3" s="586"/>
      <c r="U3" s="586"/>
      <c r="V3" s="586"/>
      <c r="W3" s="588"/>
      <c r="X3" s="586"/>
      <c r="Y3" s="586"/>
      <c r="Z3" s="586"/>
      <c r="AA3" s="589"/>
      <c r="AB3" s="586"/>
      <c r="AC3" s="586"/>
      <c r="AD3" s="586"/>
      <c r="AE3" s="586"/>
      <c r="AF3" s="586"/>
      <c r="AG3" s="586"/>
      <c r="AH3" s="505"/>
      <c r="AI3" s="585"/>
    </row>
    <row r="4" ht="26.4" customHeight="1">
      <c r="A4" s="504"/>
      <c r="B4" s="586"/>
      <c r="C4" s="586"/>
      <c r="D4" s="586"/>
      <c r="E4" s="586"/>
      <c r="F4" s="586"/>
      <c r="G4" t="s" s="590">
        <v>1817</v>
      </c>
      <c r="H4" s="591"/>
      <c r="I4" s="587"/>
      <c r="J4" s="591"/>
      <c r="K4" s="591"/>
      <c r="L4" s="591"/>
      <c r="M4" s="591"/>
      <c r="N4" s="586"/>
      <c r="O4" s="586"/>
      <c r="P4" s="586"/>
      <c r="Q4" s="586"/>
      <c r="R4" s="586"/>
      <c r="S4" s="586"/>
      <c r="T4" s="586"/>
      <c r="U4" s="586"/>
      <c r="V4" s="586"/>
      <c r="W4" t="s" s="592">
        <v>1818</v>
      </c>
      <c r="X4" s="586"/>
      <c r="Y4" s="586"/>
      <c r="Z4" s="593"/>
      <c r="AA4" s="594"/>
      <c r="AB4" t="s" s="595">
        <v>1819</v>
      </c>
      <c r="AC4" s="586"/>
      <c r="AD4" s="586"/>
      <c r="AE4" s="586"/>
      <c r="AF4" s="596"/>
      <c r="AG4" s="596"/>
      <c r="AH4" s="597"/>
      <c r="AI4" s="585"/>
    </row>
    <row r="5" ht="30" customHeight="1">
      <c r="A5" s="504"/>
      <c r="B5" s="586"/>
      <c r="C5" s="586"/>
      <c r="D5" s="586"/>
      <c r="E5" t="s" s="744">
        <f>RIGHT($B$1,1)&amp;"11"</f>
        <v>40</v>
      </c>
      <c r="F5" s="586"/>
      <c r="G5" t="s" s="598">
        <f>IF(VLOOKUP(E5,'BDD'!$A$2:$N$567,13,FALSE)=0,"",VLOOKUP(E5,'BDD'!$A$2:$N$567,13,FALSE))</f>
        <v>393</v>
      </c>
      <c r="H5" s="599"/>
      <c r="I5" s="587"/>
      <c r="J5" s="25"/>
      <c r="K5" s="599"/>
      <c r="L5" s="600"/>
      <c r="M5" s="600"/>
      <c r="N5" s="601"/>
      <c r="O5" s="601"/>
      <c r="P5" s="601"/>
      <c r="Q5" s="601"/>
      <c r="R5" s="601"/>
      <c r="S5" s="601"/>
      <c r="T5" s="601"/>
      <c r="U5" s="601"/>
      <c r="V5" s="601"/>
      <c r="W5" s="602"/>
      <c r="X5" s="601"/>
      <c r="Y5" s="601"/>
      <c r="Z5" s="601"/>
      <c r="AA5" s="603"/>
      <c r="AB5" s="601"/>
      <c r="AC5" s="586"/>
      <c r="AD5" s="586"/>
      <c r="AE5" s="586"/>
      <c r="AF5" s="586"/>
      <c r="AG5" s="586"/>
      <c r="AH5" s="505"/>
      <c r="AI5" s="585"/>
    </row>
    <row r="6" ht="30" customHeight="1">
      <c r="A6" s="604"/>
      <c r="B6" s="565"/>
      <c r="C6" s="565"/>
      <c r="D6" s="565"/>
      <c r="E6" t="s" s="558">
        <f>RIGHT($B$1,1)&amp;"12"</f>
        <v>395</v>
      </c>
      <c r="F6" s="565"/>
      <c r="G6" t="s" s="598">
        <f>IF(VLOOKUP(E6,'BDD'!$A$2:$N$567,13,FALSE)=0,"",VLOOKUP(E6,'BDD'!$A$2:$N$567,13,FALSE))</f>
        <v>398</v>
      </c>
      <c r="H6" s="605"/>
      <c r="I6" s="587"/>
      <c r="J6" s="25"/>
      <c r="K6" s="606"/>
      <c r="L6" s="607"/>
      <c r="M6" s="608"/>
      <c r="N6" s="609"/>
      <c r="O6" s="610"/>
      <c r="P6" s="610"/>
      <c r="Q6" s="610"/>
      <c r="R6" s="610"/>
      <c r="S6" s="610"/>
      <c r="T6" s="610"/>
      <c r="U6" s="610"/>
      <c r="V6" s="611"/>
      <c r="W6" s="610"/>
      <c r="X6" s="610"/>
      <c r="Y6" s="611"/>
      <c r="Z6" s="612"/>
      <c r="AA6" s="612"/>
      <c r="AB6" s="613"/>
      <c r="AC6" s="614"/>
      <c r="AD6" s="615"/>
      <c r="AE6" s="615"/>
      <c r="AF6" s="587"/>
      <c r="AG6" s="587"/>
      <c r="AH6" s="616"/>
      <c r="AI6" s="617"/>
    </row>
    <row r="7" ht="31.8" customHeight="1">
      <c r="A7" s="604"/>
      <c r="B7" s="565"/>
      <c r="C7" s="565"/>
      <c r="D7" s="565"/>
      <c r="E7" t="s" s="558">
        <f>RIGHT($B$1,1)&amp;"13"</f>
        <v>400</v>
      </c>
      <c r="F7" s="565"/>
      <c r="G7" t="s" s="598">
        <f>IF(VLOOKUP(E7,'BDD'!$A$2:$N$567,13,FALSE)=0,"",VLOOKUP(E7,'BDD'!$A$2:$N$567,13,FALSE))</f>
        <v>402</v>
      </c>
      <c r="H7" s="605"/>
      <c r="I7" s="587"/>
      <c r="J7" s="25"/>
      <c r="K7" s="606"/>
      <c r="L7" s="840"/>
      <c r="M7" s="841"/>
      <c r="N7" t="s" s="620">
        <v>11</v>
      </c>
      <c r="O7" t="s" s="621">
        <v>12</v>
      </c>
      <c r="P7" t="s" s="621">
        <v>13</v>
      </c>
      <c r="Q7" t="s" s="621">
        <v>14</v>
      </c>
      <c r="R7" t="s" s="621">
        <v>15</v>
      </c>
      <c r="S7" t="s" s="621">
        <v>16</v>
      </c>
      <c r="T7" t="s" s="621">
        <v>17</v>
      </c>
      <c r="U7" t="s" s="621">
        <v>18</v>
      </c>
      <c r="V7" s="70"/>
      <c r="W7" t="s" s="622">
        <v>20</v>
      </c>
      <c r="X7" t="s" s="623">
        <v>21</v>
      </c>
      <c r="Y7" s="624"/>
      <c r="Z7" t="s" s="625">
        <v>22</v>
      </c>
      <c r="AA7" t="s" s="626">
        <v>223</v>
      </c>
      <c r="AB7" s="627"/>
      <c r="AC7" s="628"/>
      <c r="AD7" t="s" s="629">
        <v>1820</v>
      </c>
      <c r="AE7" t="s" s="630">
        <v>1752</v>
      </c>
      <c r="AF7" s="631"/>
      <c r="AG7" s="587"/>
      <c r="AH7" s="616"/>
      <c r="AI7" s="617"/>
    </row>
    <row r="8" ht="32.4" customHeight="1">
      <c r="A8" s="604"/>
      <c r="B8" s="565"/>
      <c r="C8" s="565"/>
      <c r="D8" s="565"/>
      <c r="E8" t="s" s="558">
        <f>RIGHT($B$1,1)&amp;"14"</f>
        <v>404</v>
      </c>
      <c r="F8" s="565"/>
      <c r="G8" t="s" s="598">
        <f>IF(VLOOKUP(E8,'BDD'!$A$2:$N$567,13,FALSE)=0,"",VLOOKUP(E8,'BDD'!$A$2:$N$567,13,FALSE))</f>
      </c>
      <c r="H8" s="605"/>
      <c r="I8" s="587"/>
      <c r="J8" s="25"/>
      <c r="K8" s="606"/>
      <c r="L8" s="840"/>
      <c r="M8" t="s" s="842">
        <f>IF(LEFT(RIGHT($B$1,2),1)=" ",RIGHT($B$1,1),RIGHT($B$1,2))&amp;1</f>
        <v>297</v>
      </c>
      <c r="N8" t="s" s="539">
        <f>RIGHT(M8,1)&amp;" : "&amp;VLOOKUP($M8&amp;"1",'BDD'!$A$2:$N$567,6,FALSE)</f>
        <v>1889</v>
      </c>
      <c r="O8" t="s" s="71">
        <f>IF(VLOOKUP($M8&amp;RIGHT(O$7,1),'BDD'!$A$1:$S$428,15,FALSE)=4,"NE",IF(VLOOKUP($M8&amp;RIGHT(O$7,1),'BDD'!$A$1:$S$428,15,FALSE)=0,"NE",VLOOKUP($M8&amp;RIGHT(O$7,1),'BDD'!$A$1:$S$428,15,FALSE)))</f>
        <v>27</v>
      </c>
      <c r="P8" t="s" s="71">
        <f>IF(VLOOKUP($M8&amp;RIGHT(P$7,1),'BDD'!$A$1:$S$428,15,FALSE)=4,"NE",IF(VLOOKUP($M8&amp;RIGHT(P$7,1),'BDD'!$A$1:$S$428,15,FALSE)=0,"NE",VLOOKUP($M8&amp;RIGHT(P$7,1),'BDD'!$A$1:$S$428,15,FALSE)))</f>
        <v>27</v>
      </c>
      <c r="Q8" s="72"/>
      <c r="R8" s="72"/>
      <c r="S8" s="72"/>
      <c r="T8" s="72"/>
      <c r="U8" s="72"/>
      <c r="V8" s="633"/>
      <c r="W8" t="s" s="634">
        <v>28</v>
      </c>
      <c r="X8" s="635"/>
      <c r="Y8" s="636"/>
      <c r="Z8" s="637">
        <f>O25</f>
        <v>0</v>
      </c>
      <c r="AA8" s="77">
        <f>S25</f>
      </c>
      <c r="AB8" s="627"/>
      <c r="AC8" s="628"/>
      <c r="AD8" s="638"/>
      <c r="AE8" t="s" s="639">
        <v>1753</v>
      </c>
      <c r="AF8" s="631"/>
      <c r="AG8" s="587"/>
      <c r="AH8" s="616"/>
      <c r="AI8" s="617"/>
    </row>
    <row r="9" ht="30" customHeight="1">
      <c r="A9" s="604"/>
      <c r="B9" s="565"/>
      <c r="C9" s="565"/>
      <c r="D9" s="565"/>
      <c r="E9" t="s" s="558">
        <f>RIGHT($B$1,1)&amp;"15"</f>
        <v>406</v>
      </c>
      <c r="F9" s="565"/>
      <c r="G9" t="s" s="598">
        <f>IF(VLOOKUP(E9,'BDD'!$A$2:$N$567,13,FALSE)=0,"",VLOOKUP(E9,'BDD'!$A$2:$N$567,13,FALSE))</f>
      </c>
      <c r="H9" s="605"/>
      <c r="I9" s="587"/>
      <c r="J9" s="25"/>
      <c r="K9" s="606"/>
      <c r="L9" s="840"/>
      <c r="M9" t="s" s="842">
        <f>IF(LEFT(RIGHT($B$1,2),1)=" ",RIGHT($B$1,1),RIGHT($B$1,2))&amp;2</f>
        <v>300</v>
      </c>
      <c r="N9" t="s" s="640">
        <f>RIGHT(M9,1)&amp;" : "&amp;VLOOKUP($M9&amp;"1",'BDD'!$A$2:$N$567,6,FALSE)</f>
        <v>1890</v>
      </c>
      <c r="O9" t="s" s="85">
        <f>IF(VLOOKUP($M9&amp;RIGHT(O$7,1),'BDD'!$A$1:$S$428,15,FALSE)=4,"NE",IF(VLOOKUP($M9&amp;RIGHT(O$7,1),'BDD'!$A$1:$S$428,15,FALSE)=0,"NE",VLOOKUP($M9&amp;RIGHT(O$7,1),'BDD'!$A$1:$S$428,15,FALSE)))</f>
        <v>27</v>
      </c>
      <c r="P9" t="s" s="85">
        <f>IF(VLOOKUP($M9&amp;RIGHT(P$7,1),'BDD'!$A$1:$S$428,15,FALSE)=4,"NE",IF(VLOOKUP($M9&amp;RIGHT(P$7,1),'BDD'!$A$1:$S$428,15,FALSE)=0,"NE",VLOOKUP($M9&amp;RIGHT(P$7,1),'BDD'!$A$1:$S$428,15,FALSE)))</f>
        <v>27</v>
      </c>
      <c r="Q9" t="s" s="85">
        <f>IF(VLOOKUP($M9&amp;RIGHT(Q$7,1),'BDD'!$A$1:$S$428,15,FALSE)=4,"NE",IF(VLOOKUP($M9&amp;RIGHT(Q$7,1),'BDD'!$A$1:$S$428,15,FALSE)=0,"NE",VLOOKUP($M9&amp;RIGHT(Q$7,1),'BDD'!$A$1:$S$428,15,FALSE)))</f>
        <v>27</v>
      </c>
      <c r="R9" t="s" s="85">
        <f>IF(VLOOKUP($M9&amp;RIGHT(R$7,1),'BDD'!$A$1:$S$428,15,FALSE)=4,"NE",IF(VLOOKUP($M9&amp;RIGHT(R$7,1),'BDD'!$A$1:$S$428,15,FALSE)=0,"NE",VLOOKUP($M9&amp;RIGHT(R$7,1),'BDD'!$A$1:$S$428,15,FALSE)))</f>
        <v>27</v>
      </c>
      <c r="S9" t="s" s="85">
        <f>IF(VLOOKUP($M9&amp;RIGHT(S$7,1),'BDD'!$A$1:$S$428,15,FALSE)=4,"NE",IF(VLOOKUP($M9&amp;RIGHT(S$7,1),'BDD'!$A$1:$S$428,15,FALSE)=0,"NE",VLOOKUP($M9&amp;RIGHT(S$7,1),'BDD'!$A$1:$S$428,15,FALSE)))</f>
        <v>27</v>
      </c>
      <c r="T9" t="s" s="85">
        <f>IF(VLOOKUP($M9&amp;RIGHT(T$7,1),'BDD'!$A$1:$S$428,15,FALSE)=4,"NE",IF(VLOOKUP($M9&amp;RIGHT(T$7,1),'BDD'!$A$1:$S$428,15,FALSE)=0,"NE",VLOOKUP($M9&amp;RIGHT(T$7,1),'BDD'!$A$1:$S$428,15,FALSE)))</f>
        <v>27</v>
      </c>
      <c r="U9" s="86"/>
      <c r="V9" s="633"/>
      <c r="W9" t="s" s="641">
        <v>28</v>
      </c>
      <c r="X9" s="642"/>
      <c r="Y9" s="643"/>
      <c r="Z9" s="644">
        <f>O29</f>
        <v>0</v>
      </c>
      <c r="AA9" s="90">
        <f>S29</f>
      </c>
      <c r="AB9" s="627"/>
      <c r="AC9" s="628"/>
      <c r="AD9" s="638"/>
      <c r="AE9" t="s" s="645">
        <v>1754</v>
      </c>
      <c r="AF9" s="631"/>
      <c r="AG9" s="587"/>
      <c r="AH9" s="616"/>
      <c r="AI9" s="617"/>
    </row>
    <row r="10" ht="30" customHeight="1">
      <c r="A10" s="604"/>
      <c r="B10" s="565"/>
      <c r="C10" s="565"/>
      <c r="D10" s="565"/>
      <c r="E10" t="s" s="558">
        <f>RIGHT($B$1,1)&amp;"16"</f>
        <v>407</v>
      </c>
      <c r="F10" s="565"/>
      <c r="G10" t="s" s="646">
        <f>IF(VLOOKUP(E10,'BDD'!$A$2:$N$567,13,FALSE)=0,"",VLOOKUP(E10,'BDD'!$A$2:$N$567,13,FALSE))</f>
      </c>
      <c r="H10" s="605"/>
      <c r="I10" s="587"/>
      <c r="J10" s="25"/>
      <c r="K10" s="606"/>
      <c r="L10" s="840"/>
      <c r="M10" t="s" s="842">
        <f>IF(LEFT(RIGHT($B$1,2),1)=" ",RIGHT($B$1,1),RIGHT($B$1,2))&amp;3</f>
        <v>303</v>
      </c>
      <c r="N10" t="s" s="539">
        <f>RIGHT(M10,1)&amp;" : "&amp;VLOOKUP($M10&amp;"1",'BDD'!$A$2:$N$567,6,FALSE)</f>
        <v>1891</v>
      </c>
      <c r="O10" t="s" s="71">
        <f>IF(VLOOKUP($M10&amp;RIGHT(O$7,1),'BDD'!$A$1:$S$428,15,FALSE)=4,"NE",IF(VLOOKUP($M10&amp;RIGHT(O$7,1),'BDD'!$A$1:$S$428,15,FALSE)=0,"NE",VLOOKUP($M10&amp;RIGHT(O$7,1),'BDD'!$A$1:$S$428,15,FALSE)))</f>
        <v>27</v>
      </c>
      <c r="P10" t="s" s="71">
        <f>IF(VLOOKUP($M10&amp;RIGHT(P$7,1),'BDD'!$A$1:$S$428,15,FALSE)=4,"NE",IF(VLOOKUP($M10&amp;RIGHT(P$7,1),'BDD'!$A$1:$S$428,15,FALSE)=0,"NE",VLOOKUP($M10&amp;RIGHT(P$7,1),'BDD'!$A$1:$S$428,15,FALSE)))</f>
        <v>27</v>
      </c>
      <c r="Q10" t="s" s="71">
        <f>IF(VLOOKUP($M10&amp;RIGHT(Q$7,1),'BDD'!$A$1:$S$428,15,FALSE)=4,"NE",IF(VLOOKUP($M10&amp;RIGHT(Q$7,1),'BDD'!$A$1:$S$428,15,FALSE)=0,"NE",VLOOKUP($M10&amp;RIGHT(Q$7,1),'BDD'!$A$1:$S$428,15,FALSE)))</f>
        <v>27</v>
      </c>
      <c r="R10" t="s" s="71">
        <f>IF(VLOOKUP($M10&amp;RIGHT(R$7,1),'BDD'!$A$1:$S$428,15,FALSE)=4,"NE",IF(VLOOKUP($M10&amp;RIGHT(R$7,1),'BDD'!$A$1:$S$428,15,FALSE)=0,"NE",VLOOKUP($M10&amp;RIGHT(R$7,1),'BDD'!$A$1:$S$428,15,FALSE)))</f>
        <v>27</v>
      </c>
      <c r="S10" s="72"/>
      <c r="T10" s="72"/>
      <c r="U10" s="72"/>
      <c r="V10" s="633"/>
      <c r="W10" t="s" s="647">
        <v>28</v>
      </c>
      <c r="X10" s="648"/>
      <c r="Y10" s="636"/>
      <c r="Z10" s="637">
        <f>O37</f>
        <v>0</v>
      </c>
      <c r="AA10" s="77">
        <f>S37</f>
      </c>
      <c r="AB10" s="627"/>
      <c r="AC10" s="628"/>
      <c r="AD10" s="649"/>
      <c r="AE10" t="s" s="650">
        <v>1824</v>
      </c>
      <c r="AF10" s="651"/>
      <c r="AG10" s="652"/>
      <c r="AH10" s="653"/>
      <c r="AI10" s="617"/>
    </row>
    <row r="11" ht="30" customHeight="1">
      <c r="A11" s="504"/>
      <c r="B11" s="586"/>
      <c r="C11" s="586"/>
      <c r="D11" s="586"/>
      <c r="E11" t="s" s="744">
        <f>RIGHT($B$1,1)&amp;"17"</f>
        <v>408</v>
      </c>
      <c r="F11" s="586"/>
      <c r="G11" t="s" s="646">
        <f>IF(VLOOKUP(E11,'BDD'!$A$2:$N$567,13,FALSE)=0,"",VLOOKUP(E11,'BDD'!$A$2:$N$567,13,FALSE))</f>
      </c>
      <c r="H11" s="652"/>
      <c r="I11" s="587"/>
      <c r="J11" s="25"/>
      <c r="K11" s="654"/>
      <c r="L11" s="843"/>
      <c r="M11" t="s" s="844">
        <f>IF(LEFT(RIGHT($B$1,2),1)=" ",RIGHT($B$1,1),RIGHT($B$1,2))&amp;4</f>
        <v>307</v>
      </c>
      <c r="N11" t="s" s="640">
        <f>RIGHT(M11,1)&amp;" : "&amp;VLOOKUP($M11&amp;"1",'BDD'!$A$2:$N$567,6,FALSE)</f>
        <v>1892</v>
      </c>
      <c r="O11" t="s" s="85">
        <f>IF(VLOOKUP($M11&amp;RIGHT(O$7,1),'BDD'!$A$1:$S$428,15,FALSE)=4,"NE",IF(VLOOKUP($M11&amp;RIGHT(O$7,1),'BDD'!$A$1:$S$428,15,FALSE)=0,"NE",VLOOKUP($M11&amp;RIGHT(O$7,1),'BDD'!$A$1:$S$428,15,FALSE)))</f>
        <v>27</v>
      </c>
      <c r="P11" t="s" s="85">
        <f>IF(VLOOKUP($M11&amp;RIGHT(P$7,1),'BDD'!$A$1:$S$428,15,FALSE)=4,"NE",IF(VLOOKUP($M11&amp;RIGHT(P$7,1),'BDD'!$A$1:$S$428,15,FALSE)=0,"NE",VLOOKUP($M11&amp;RIGHT(P$7,1),'BDD'!$A$1:$S$428,15,FALSE)))</f>
        <v>27</v>
      </c>
      <c r="Q11" t="s" s="85">
        <f>IF(VLOOKUP($M11&amp;RIGHT(Q$7,1),'BDD'!$A$1:$S$428,15,FALSE)=4,"NE",IF(VLOOKUP($M11&amp;RIGHT(Q$7,1),'BDD'!$A$1:$S$428,15,FALSE)=0,"NE",VLOOKUP($M11&amp;RIGHT(Q$7,1),'BDD'!$A$1:$S$428,15,FALSE)))</f>
        <v>27</v>
      </c>
      <c r="R11" t="s" s="85">
        <f>IF(VLOOKUP($M11&amp;RIGHT(R$7,1),'BDD'!$A$1:$S$428,15,FALSE)=4,"NE",IF(VLOOKUP($M11&amp;RIGHT(R$7,1),'BDD'!$A$1:$S$428,15,FALSE)=0,"NE",VLOOKUP($M11&amp;RIGHT(R$7,1),'BDD'!$A$1:$S$428,15,FALSE)))</f>
        <v>27</v>
      </c>
      <c r="S11" t="s" s="85">
        <f>IF(VLOOKUP($M11&amp;RIGHT(S$7,1),'BDD'!$A$1:$S$428,15,FALSE)=4,"NE",IF(VLOOKUP($M11&amp;RIGHT(S$7,1),'BDD'!$A$1:$S$428,15,FALSE)=0,"NE",VLOOKUP($M11&amp;RIGHT(S$7,1),'BDD'!$A$1:$S$428,15,FALSE)))</f>
        <v>27</v>
      </c>
      <c r="T11" s="86"/>
      <c r="U11" s="86"/>
      <c r="V11" s="633"/>
      <c r="W11" t="s" s="641">
        <v>28</v>
      </c>
      <c r="X11" s="642"/>
      <c r="Y11" s="636"/>
      <c r="Z11" s="644">
        <f>O43</f>
        <v>0</v>
      </c>
      <c r="AA11" s="90">
        <f>S43</f>
      </c>
      <c r="AB11" s="627"/>
      <c r="AC11" s="657"/>
      <c r="AD11" s="658"/>
      <c r="AE11" s="659"/>
      <c r="AF11" s="652"/>
      <c r="AG11" s="652"/>
      <c r="AH11" s="653"/>
      <c r="AI11" s="585"/>
    </row>
    <row r="12" ht="30" customHeight="1">
      <c r="A12" s="504"/>
      <c r="B12" s="586"/>
      <c r="C12" s="586"/>
      <c r="D12" s="586"/>
      <c r="E12" s="586"/>
      <c r="F12" s="586"/>
      <c r="G12" t="s" s="660">
        <v>1826</v>
      </c>
      <c r="H12" s="587"/>
      <c r="I12" s="587"/>
      <c r="J12" s="25"/>
      <c r="K12" s="661"/>
      <c r="L12" s="845"/>
      <c r="M12" t="s" s="846">
        <f>IF(LEFT(RIGHT($B$1,2),1)=" ",RIGHT($B$1,1),RIGHT($B$1,2))&amp;5</f>
        <v>311</v>
      </c>
      <c r="N12" t="s" s="539">
        <f>RIGHT(M12,1)&amp;" : "&amp;VLOOKUP($M12&amp;"1",'BDD'!$A$2:$N$567,6,FALSE)</f>
        <v>1893</v>
      </c>
      <c r="O12" t="s" s="71">
        <f>IF(VLOOKUP($M12&amp;RIGHT(O$7,1),'BDD'!$A$1:$S$428,15,FALSE)=4,"NE",IF(VLOOKUP($M12&amp;RIGHT(O$7,1),'BDD'!$A$1:$S$428,15,FALSE)=0,"NE",VLOOKUP($M12&amp;RIGHT(O$7,1),'BDD'!$A$1:$S$428,15,FALSE)))</f>
        <v>27</v>
      </c>
      <c r="P12" t="s" s="71">
        <f>IF(VLOOKUP($M12&amp;RIGHT(P$7,1),'BDD'!$A$1:$S$428,15,FALSE)=4,"NE",IF(VLOOKUP($M12&amp;RIGHT(P$7,1),'BDD'!$A$1:$S$428,15,FALSE)=0,"NE",VLOOKUP($M12&amp;RIGHT(P$7,1),'BDD'!$A$1:$S$428,15,FALSE)))</f>
        <v>27</v>
      </c>
      <c r="Q12" t="s" s="71">
        <f>IF(VLOOKUP($M12&amp;RIGHT(Q$7,1),'BDD'!$A$1:$S$428,15,FALSE)=4,"NE",IF(VLOOKUP($M12&amp;RIGHT(Q$7,1),'BDD'!$A$1:$S$428,15,FALSE)=0,"NE",VLOOKUP($M12&amp;RIGHT(Q$7,1),'BDD'!$A$1:$S$428,15,FALSE)))</f>
        <v>27</v>
      </c>
      <c r="R12" t="s" s="71">
        <f>IF(VLOOKUP($M12&amp;RIGHT(R$7,1),'BDD'!$A$1:$S$428,15,FALSE)=4,"NE",IF(VLOOKUP($M12&amp;RIGHT(R$7,1),'BDD'!$A$1:$S$428,15,FALSE)=0,"NE",VLOOKUP($M12&amp;RIGHT(R$7,1),'BDD'!$A$1:$S$428,15,FALSE)))</f>
        <v>27</v>
      </c>
      <c r="S12" s="72"/>
      <c r="T12" s="72"/>
      <c r="U12" s="72"/>
      <c r="V12" s="633"/>
      <c r="W12" t="s" s="647">
        <v>28</v>
      </c>
      <c r="X12" s="648"/>
      <c r="Y12" s="636"/>
      <c r="Z12" s="637">
        <f>O49</f>
        <v>0</v>
      </c>
      <c r="AA12" s="77">
        <f>S49</f>
      </c>
      <c r="AB12" s="627"/>
      <c r="AC12" s="657"/>
      <c r="AD12" s="666"/>
      <c r="AE12" s="25"/>
      <c r="AF12" s="586"/>
      <c r="AG12" s="586"/>
      <c r="AH12" s="505"/>
      <c r="AI12" s="585"/>
    </row>
    <row r="13" ht="30" customHeight="1">
      <c r="A13" s="504"/>
      <c r="B13" s="586"/>
      <c r="C13" s="586"/>
      <c r="D13" s="586"/>
      <c r="E13" t="s" s="744">
        <f>RIGHT($B$1,1)&amp;"11"</f>
        <v>40</v>
      </c>
      <c r="F13" s="586"/>
      <c r="G13" t="s" s="667">
        <f>IF(VLOOKUP(E13,'BDD'!$A$2:$N$567,14,FALSE)=0,"",VLOOKUP(E13,'BDD'!$A$2:$N$567,14,FALSE))</f>
        <v>394</v>
      </c>
      <c r="H13" s="591"/>
      <c r="I13" s="587"/>
      <c r="J13" s="25"/>
      <c r="K13" s="654"/>
      <c r="L13" s="843"/>
      <c r="M13" t="s" s="844">
        <f>IF(LEFT(RIGHT($B$1,2),1)=" ",RIGHT($B$1,1),RIGHT($B$1,2))&amp;6</f>
        <v>315</v>
      </c>
      <c r="N13" t="s" s="640">
        <f>RIGHT(M13,1)&amp;" : "&amp;VLOOKUP($M13&amp;"1",'BDD'!$A$2:$N$567,6,FALSE)</f>
        <v>1894</v>
      </c>
      <c r="O13" t="s" s="85">
        <f>IF(VLOOKUP($M13&amp;RIGHT(O$7,1),'BDD'!$A$1:$S$428,15,FALSE)=4,"NE",IF(VLOOKUP($M13&amp;RIGHT(O$7,1),'BDD'!$A$1:$S$428,15,FALSE)=0,"NE",VLOOKUP($M13&amp;RIGHT(O$7,1),'BDD'!$A$1:$S$428,15,FALSE)))</f>
        <v>27</v>
      </c>
      <c r="P13" t="s" s="85">
        <f>IF(VLOOKUP($M13&amp;RIGHT(P$7,1),'BDD'!$A$1:$S$428,15,FALSE)=4,"NE",IF(VLOOKUP($M13&amp;RIGHT(P$7,1),'BDD'!$A$1:$S$428,15,FALSE)=0,"NE",VLOOKUP($M13&amp;RIGHT(P$7,1),'BDD'!$A$1:$S$428,15,FALSE)))</f>
        <v>27</v>
      </c>
      <c r="Q13" t="s" s="85">
        <f>IF(VLOOKUP($M13&amp;RIGHT(Q$7,1),'BDD'!$A$1:$S$428,15,FALSE)=4,"NE",IF(VLOOKUP($M13&amp;RIGHT(Q$7,1),'BDD'!$A$1:$S$428,15,FALSE)=0,"NE",VLOOKUP($M13&amp;RIGHT(Q$7,1),'BDD'!$A$1:$S$428,15,FALSE)))</f>
        <v>27</v>
      </c>
      <c r="R13" t="s" s="85">
        <f>IF(VLOOKUP($M13&amp;RIGHT(R$7,1),'BDD'!$A$1:$S$428,15,FALSE)=4,"NE",IF(VLOOKUP($M13&amp;RIGHT(R$7,1),'BDD'!$A$1:$S$428,15,FALSE)=0,"NE",VLOOKUP($M13&amp;RIGHT(R$7,1),'BDD'!$A$1:$S$428,15,FALSE)))</f>
        <v>27</v>
      </c>
      <c r="S13" s="86"/>
      <c r="T13" s="86"/>
      <c r="U13" s="86"/>
      <c r="V13" s="633"/>
      <c r="W13" t="s" s="847">
        <v>28</v>
      </c>
      <c r="X13" s="848"/>
      <c r="Y13" s="636"/>
      <c r="Z13" s="644">
        <f>O55</f>
        <v>0</v>
      </c>
      <c r="AA13" s="90">
        <f>S55</f>
      </c>
      <c r="AB13" s="627"/>
      <c r="AC13" s="657"/>
      <c r="AD13" s="586"/>
      <c r="AE13" s="586"/>
      <c r="AF13" s="679"/>
      <c r="AG13" s="679"/>
      <c r="AH13" s="680"/>
      <c r="AI13" s="585"/>
    </row>
    <row r="14" ht="30" customHeight="1">
      <c r="A14" s="504"/>
      <c r="B14" s="586"/>
      <c r="C14" s="586"/>
      <c r="D14" s="586"/>
      <c r="E14" t="s" s="744">
        <f>RIGHT($B$1,1)&amp;"12"</f>
        <v>395</v>
      </c>
      <c r="F14" s="586"/>
      <c r="G14" t="s" s="667">
        <f>IF(VLOOKUP(E14,'BDD'!$A$2:$N$567,14,FALSE)=0,"",VLOOKUP(E14,'BDD'!$A$2:$N$567,14,FALSE))</f>
        <v>399</v>
      </c>
      <c r="H14" s="681"/>
      <c r="I14" s="587"/>
      <c r="J14" s="25"/>
      <c r="K14" s="668"/>
      <c r="L14" s="669"/>
      <c r="M14" s="670"/>
      <c r="N14" s="671"/>
      <c r="O14" s="672"/>
      <c r="P14" s="672"/>
      <c r="Q14" s="672"/>
      <c r="R14" s="672"/>
      <c r="S14" s="672"/>
      <c r="T14" s="672"/>
      <c r="U14" s="672"/>
      <c r="V14" s="673"/>
      <c r="W14" s="674"/>
      <c r="X14" s="675"/>
      <c r="Y14" s="673"/>
      <c r="Z14" s="676"/>
      <c r="AA14" s="676"/>
      <c r="AB14" s="677"/>
      <c r="AC14" s="678"/>
      <c r="AD14" s="679"/>
      <c r="AE14" s="679"/>
      <c r="AF14" s="586"/>
      <c r="AG14" s="586"/>
      <c r="AH14" s="505"/>
      <c r="AI14" s="585"/>
    </row>
    <row r="15" ht="30" customHeight="1">
      <c r="A15" s="504"/>
      <c r="B15" s="586"/>
      <c r="C15" s="586"/>
      <c r="D15" s="586"/>
      <c r="E15" t="s" s="744">
        <f>RIGHT($B$1,1)&amp;"13"</f>
        <v>400</v>
      </c>
      <c r="F15" s="586"/>
      <c r="G15" t="s" s="667">
        <f>IF(VLOOKUP(E15,'BDD'!$A$2:$N$567,14,FALSE)=0,"",VLOOKUP(E15,'BDD'!$A$2:$N$567,14,FALSE))</f>
        <v>403</v>
      </c>
      <c r="H15" s="694"/>
      <c r="I15" s="587"/>
      <c r="J15" s="25"/>
      <c r="K15" s="695"/>
      <c r="L15" s="849"/>
      <c r="M15" s="850"/>
      <c r="N15" t="s" s="685">
        <f>"Evaluation globale du vecteur "&amp;RIGHT(B1,2)</f>
        <v>1895</v>
      </c>
      <c r="O15" s="686"/>
      <c r="P15" s="687"/>
      <c r="Q15" s="687"/>
      <c r="R15" s="687"/>
      <c r="S15" s="687"/>
      <c r="T15" s="687"/>
      <c r="U15" s="687"/>
      <c r="V15" s="687"/>
      <c r="W15" s="688"/>
      <c r="X15" s="689"/>
      <c r="Y15" s="690"/>
      <c r="Z15" t="s" s="691">
        <v>1829</v>
      </c>
      <c r="AA15" t="s" s="692">
        <v>1830</v>
      </c>
      <c r="AB15" s="693"/>
      <c r="AC15" s="678"/>
      <c r="AD15" s="586"/>
      <c r="AE15" s="586"/>
      <c r="AF15" s="586"/>
      <c r="AG15" s="586"/>
      <c r="AH15" s="505"/>
      <c r="AI15" s="585"/>
    </row>
    <row r="16" ht="30" customHeight="1">
      <c r="A16" s="504"/>
      <c r="B16" s="586"/>
      <c r="C16" s="586"/>
      <c r="D16" s="586"/>
      <c r="E16" t="s" s="744">
        <f>RIGHT($B$1,1)&amp;"14"</f>
        <v>404</v>
      </c>
      <c r="F16" s="586"/>
      <c r="G16" t="s" s="667">
        <f>IF(VLOOKUP(E16,'BDD'!$A$2:$N$567,14,FALSE)=0,"",VLOOKUP(E16,'BDD'!$A$2:$N$567,14,FALSE))</f>
        <v>405</v>
      </c>
      <c r="H16" s="694"/>
      <c r="I16" s="587"/>
      <c r="J16" s="25"/>
      <c r="K16" s="661"/>
      <c r="L16" s="851"/>
      <c r="M16" s="852"/>
      <c r="N16" s="697"/>
      <c r="O16" s="698"/>
      <c r="P16" s="699"/>
      <c r="Q16" s="699"/>
      <c r="R16" s="699"/>
      <c r="S16" s="699"/>
      <c r="T16" s="699"/>
      <c r="U16" s="699"/>
      <c r="V16" s="700"/>
      <c r="W16" t="s" s="701">
        <v>28</v>
      </c>
      <c r="X16" s="702"/>
      <c r="Y16" s="703"/>
      <c r="Z16" s="704">
        <f>O22</f>
        <v>0</v>
      </c>
      <c r="AA16" s="705">
        <f>SUM($W$26:$W$62)</f>
      </c>
      <c r="AB16" s="693"/>
      <c r="AC16" s="678"/>
      <c r="AD16" s="586"/>
      <c r="AE16" s="586"/>
      <c r="AF16" s="586"/>
      <c r="AG16" s="586"/>
      <c r="AH16" s="505"/>
      <c r="AI16" s="585"/>
    </row>
    <row r="17" ht="41.4" customHeight="1">
      <c r="A17" s="504"/>
      <c r="B17" s="586"/>
      <c r="C17" s="586"/>
      <c r="D17" s="586"/>
      <c r="E17" t="s" s="744">
        <f>RIGHT($B$1,1)&amp;"15"</f>
        <v>406</v>
      </c>
      <c r="F17" s="586"/>
      <c r="G17" t="s" s="667">
        <f>IF(VLOOKUP(E17,'BDD'!$A$2:$N$567,14,FALSE)=0,"",VLOOKUP(E17,'BDD'!$A$2:$N$567,14,FALSE))</f>
      </c>
      <c r="H17" s="694"/>
      <c r="I17" s="587"/>
      <c r="J17" s="25"/>
      <c r="K17" s="695"/>
      <c r="L17" s="706"/>
      <c r="M17" s="707"/>
      <c r="N17" s="708"/>
      <c r="O17" s="709"/>
      <c r="P17" s="709"/>
      <c r="Q17" s="709"/>
      <c r="R17" s="709"/>
      <c r="S17" s="709"/>
      <c r="T17" s="709"/>
      <c r="U17" s="709"/>
      <c r="V17" s="709"/>
      <c r="W17" s="710"/>
      <c r="X17" s="708"/>
      <c r="Y17" s="709"/>
      <c r="Z17" s="711"/>
      <c r="AA17" s="711"/>
      <c r="AB17" s="712"/>
      <c r="AC17" s="678"/>
      <c r="AD17" s="586"/>
      <c r="AE17" s="586"/>
      <c r="AF17" s="586"/>
      <c r="AG17" s="586"/>
      <c r="AH17" s="505"/>
      <c r="AI17" s="585"/>
    </row>
    <row r="18" ht="63.6" customHeight="1">
      <c r="A18" s="504"/>
      <c r="B18" s="586"/>
      <c r="C18" s="586"/>
      <c r="D18" s="586"/>
      <c r="E18" t="s" s="744">
        <f>RIGHT($B$1,1)&amp;"16"</f>
        <v>407</v>
      </c>
      <c r="F18" s="586"/>
      <c r="G18" t="s" s="667">
        <f>IF(VLOOKUP(E18,'BDD'!$A$2:$N$567,14,FALSE)=0,"",VLOOKUP(E18,'BDD'!$A$2:$N$567,14,FALSE))</f>
      </c>
      <c r="H18" s="694"/>
      <c r="I18" s="587"/>
      <c r="J18" s="25"/>
      <c r="K18" s="694"/>
      <c r="L18" s="713"/>
      <c r="M18" s="714"/>
      <c r="N18" s="715"/>
      <c r="O18" s="715"/>
      <c r="P18" s="715"/>
      <c r="Q18" s="715"/>
      <c r="R18" s="715"/>
      <c r="S18" s="716"/>
      <c r="T18" s="716"/>
      <c r="U18" s="716"/>
      <c r="V18" s="716"/>
      <c r="W18" s="716"/>
      <c r="X18" s="716"/>
      <c r="Y18" s="716"/>
      <c r="Z18" s="716"/>
      <c r="AA18" s="716"/>
      <c r="AB18" s="716"/>
      <c r="AC18" s="586"/>
      <c r="AD18" s="586"/>
      <c r="AE18" s="586"/>
      <c r="AF18" s="586"/>
      <c r="AG18" s="586"/>
      <c r="AH18" s="505"/>
      <c r="AI18" s="585"/>
    </row>
    <row r="19" ht="28.8" customHeight="1" hidden="1">
      <c r="A19" s="504"/>
      <c r="B19" s="586"/>
      <c r="C19" s="586"/>
      <c r="D19" s="586"/>
      <c r="E19" s="586"/>
      <c r="F19" s="586"/>
      <c r="G19" s="717"/>
      <c r="H19" s="694"/>
      <c r="I19" s="587"/>
      <c r="J19" s="25"/>
      <c r="K19" s="694"/>
      <c r="L19" s="694"/>
      <c r="M19" s="587"/>
      <c r="N19" s="718"/>
      <c r="O19" s="718"/>
      <c r="P19" s="718"/>
      <c r="Q19" s="718"/>
      <c r="R19" s="718"/>
      <c r="S19" s="586"/>
      <c r="T19" s="586"/>
      <c r="U19" s="586"/>
      <c r="V19" s="586"/>
      <c r="W19" s="586"/>
      <c r="X19" s="586"/>
      <c r="Y19" s="586"/>
      <c r="Z19" s="586"/>
      <c r="AA19" s="586"/>
      <c r="AB19" s="586"/>
      <c r="AC19" s="586"/>
      <c r="AD19" s="586"/>
      <c r="AE19" s="586"/>
      <c r="AF19" s="586"/>
      <c r="AG19" s="586"/>
      <c r="AH19" s="505"/>
      <c r="AI19" s="585"/>
    </row>
    <row r="20" ht="30" customHeight="1">
      <c r="A20" s="504"/>
      <c r="B20" s="586"/>
      <c r="C20" s="586"/>
      <c r="D20" s="586"/>
      <c r="E20" s="586"/>
      <c r="F20" s="586"/>
      <c r="G20" s="717"/>
      <c r="H20" s="694"/>
      <c r="I20" s="587"/>
      <c r="J20" s="25"/>
      <c r="K20" s="694"/>
      <c r="L20" s="853"/>
      <c r="M20" s="854"/>
      <c r="N20" t="s" s="536">
        <v>1831</v>
      </c>
      <c r="O20" s="721">
        <f>COUNTIF(N27:N82,"Non renseigné")</f>
        <v>24</v>
      </c>
      <c r="P20" s="722"/>
      <c r="Q20" s="722"/>
      <c r="R20" s="723"/>
      <c r="S20" s="724"/>
      <c r="T20" s="586"/>
      <c r="U20" s="586"/>
      <c r="V20" s="586"/>
      <c r="W20" s="586"/>
      <c r="X20" s="586"/>
      <c r="Y20" s="586"/>
      <c r="Z20" s="586"/>
      <c r="AA20" s="586"/>
      <c r="AB20" s="586"/>
      <c r="AC20" s="586"/>
      <c r="AD20" s="586"/>
      <c r="AE20" s="586"/>
      <c r="AF20" s="586"/>
      <c r="AG20" s="586"/>
      <c r="AH20" s="505"/>
      <c r="AI20" s="585"/>
    </row>
    <row r="21" ht="30" customHeight="1">
      <c r="A21" s="504"/>
      <c r="B21" s="586"/>
      <c r="C21" s="586"/>
      <c r="D21" s="586"/>
      <c r="E21" t="s" s="744">
        <f>RIGHT($B$1,1)&amp;"17"</f>
        <v>408</v>
      </c>
      <c r="F21" s="586"/>
      <c r="G21" t="s" s="667">
        <f>IF(VLOOKUP(E21,'BDD'!$A$2:$N$567,14,FALSE)=0,"",VLOOKUP(E21,'BDD'!$A$2:$N$567,14,FALSE))</f>
      </c>
      <c r="H21" s="694"/>
      <c r="I21" s="694"/>
      <c r="J21" s="25"/>
      <c r="K21" s="694"/>
      <c r="L21" s="853"/>
      <c r="M21" s="854"/>
      <c r="N21" t="s" s="855">
        <v>1832</v>
      </c>
      <c r="O21" s="856">
        <f>COUNTIF($N$27:$N$73,"Non évalué")</f>
        <v>0</v>
      </c>
      <c r="P21" s="857"/>
      <c r="Q21" s="857"/>
      <c r="R21" s="858"/>
      <c r="S21" s="724"/>
      <c r="T21" s="586"/>
      <c r="U21" s="586"/>
      <c r="V21" s="586"/>
      <c r="W21" s="586"/>
      <c r="X21" s="586"/>
      <c r="Y21" s="586"/>
      <c r="Z21" s="586"/>
      <c r="AA21" s="586"/>
      <c r="AB21" s="586"/>
      <c r="AC21" s="586"/>
      <c r="AD21" s="586"/>
      <c r="AE21" s="586"/>
      <c r="AF21" s="586"/>
      <c r="AG21" s="586"/>
      <c r="AH21" s="505"/>
      <c r="AI21" s="585"/>
    </row>
    <row r="22" ht="50.4" customHeight="1">
      <c r="A22" s="504"/>
      <c r="B22" s="586"/>
      <c r="C22" s="586"/>
      <c r="D22" s="586"/>
      <c r="E22" s="586"/>
      <c r="F22" s="586"/>
      <c r="G22" s="859"/>
      <c r="H22" s="730"/>
      <c r="I22" s="730"/>
      <c r="J22" s="730"/>
      <c r="K22" s="730"/>
      <c r="L22" s="860"/>
      <c r="M22" s="854"/>
      <c r="N22" t="s" s="732">
        <v>1833</v>
      </c>
      <c r="O22" s="733">
        <v>0</v>
      </c>
      <c r="P22" s="734"/>
      <c r="Q22" s="734"/>
      <c r="R22" s="734"/>
      <c r="S22" s="586"/>
      <c r="T22" s="586"/>
      <c r="U22" s="586"/>
      <c r="V22" s="586"/>
      <c r="W22" s="586"/>
      <c r="X22" s="586"/>
      <c r="Y22" s="586"/>
      <c r="Z22" s="586"/>
      <c r="AA22" s="586"/>
      <c r="AB22" s="586"/>
      <c r="AC22" s="586"/>
      <c r="AD22" s="586"/>
      <c r="AE22" s="586"/>
      <c r="AF22" s="586"/>
      <c r="AG22" s="586"/>
      <c r="AH22" s="505"/>
      <c r="AI22" s="585"/>
    </row>
    <row r="23" ht="30" customHeight="1">
      <c r="A23" s="504"/>
      <c r="B23" s="586"/>
      <c r="C23" s="25"/>
      <c r="D23" s="586"/>
      <c r="E23" s="586"/>
      <c r="F23" s="586"/>
      <c r="G23" s="736"/>
      <c r="H23" t="s" s="737">
        <v>245</v>
      </c>
      <c r="I23" s="738"/>
      <c r="J23" s="739"/>
      <c r="K23" s="739"/>
      <c r="L23" s="740"/>
      <c r="M23" s="861"/>
      <c r="N23" s="862"/>
      <c r="O23" s="730"/>
      <c r="P23" s="730"/>
      <c r="Q23" s="730"/>
      <c r="R23" s="730"/>
      <c r="S23" s="730"/>
      <c r="T23" s="730"/>
      <c r="U23" s="730"/>
      <c r="V23" s="730"/>
      <c r="W23" s="586"/>
      <c r="X23" s="586"/>
      <c r="Y23" s="586"/>
      <c r="Z23" s="586"/>
      <c r="AA23" s="586"/>
      <c r="AB23" s="586"/>
      <c r="AC23" s="586"/>
      <c r="AD23" s="586"/>
      <c r="AE23" s="586"/>
      <c r="AF23" s="586"/>
      <c r="AG23" s="586"/>
      <c r="AH23" s="505"/>
      <c r="AI23" s="585"/>
    </row>
    <row r="24" ht="39.6" customHeight="1">
      <c r="A24" s="504"/>
      <c r="B24" s="586"/>
      <c r="C24" t="s" s="744">
        <v>10</v>
      </c>
      <c r="D24" t="s" s="745">
        <v>1745</v>
      </c>
      <c r="E24" t="s" s="745">
        <v>1834</v>
      </c>
      <c r="F24" s="746"/>
      <c r="G24" t="s" s="747">
        <v>244</v>
      </c>
      <c r="H24" t="s" s="747">
        <v>283</v>
      </c>
      <c r="I24" t="s" s="747">
        <v>263</v>
      </c>
      <c r="J24" t="s" s="747">
        <v>271</v>
      </c>
      <c r="K24" t="s" s="747">
        <v>291</v>
      </c>
      <c r="L24" t="s" s="747">
        <v>256</v>
      </c>
      <c r="M24" s="748"/>
      <c r="N24" t="s" s="747">
        <v>1764</v>
      </c>
      <c r="O24" t="s" s="749">
        <v>22</v>
      </c>
      <c r="P24" s="750"/>
      <c r="Q24" s="750"/>
      <c r="R24" s="750"/>
      <c r="S24" t="s" s="751">
        <v>223</v>
      </c>
      <c r="T24" s="750"/>
      <c r="U24" s="750"/>
      <c r="V24" s="752"/>
      <c r="W24" s="724"/>
      <c r="X24" s="586"/>
      <c r="Y24" s="586"/>
      <c r="Z24" s="586"/>
      <c r="AA24" s="586"/>
      <c r="AB24" s="586"/>
      <c r="AC24" s="586"/>
      <c r="AD24" s="586"/>
      <c r="AE24" s="586"/>
      <c r="AF24" s="586"/>
      <c r="AG24" s="586"/>
      <c r="AH24" s="505"/>
      <c r="AI24" s="585"/>
    </row>
    <row r="25" ht="30" customHeight="1">
      <c r="A25" s="504"/>
      <c r="B25" s="753"/>
      <c r="C25" t="s" s="754">
        <f>IF(LEFT(RIGHT($B$1,2),1)=" ",RIGHT($B$1,1),RIGHT($B$1,2))</f>
        <v>1854</v>
      </c>
      <c r="D25" s="755">
        <f>IF(LEFT(F25,5)="Bonne",B23+1,D24)</f>
        <v>1</v>
      </c>
      <c r="E25" s="756"/>
      <c r="F25" t="s" s="757">
        <v>1762</v>
      </c>
      <c r="G25" t="s" s="758">
        <f>VLOOKUP(E27,'BDD'!$A$2:$N$567,6,FALSE)</f>
        <v>389</v>
      </c>
      <c r="H25" s="759"/>
      <c r="I25" s="760"/>
      <c r="J25" s="760"/>
      <c r="K25" s="760"/>
      <c r="L25" s="761"/>
      <c r="M25" s="762"/>
      <c r="N25" s="763"/>
      <c r="O25" s="764">
        <v>0</v>
      </c>
      <c r="P25" s="764"/>
      <c r="Q25" s="764"/>
      <c r="R25" s="764"/>
      <c r="S25" s="765">
        <f>_xlfn.SUMIFS(S1:S82,$D1:$D82,D25,$N1:$N82,"Exigences"&amp;"*")</f>
      </c>
      <c r="T25" s="765"/>
      <c r="U25" s="765"/>
      <c r="V25" s="766"/>
      <c r="W25" s="767"/>
      <c r="X25" s="586"/>
      <c r="Y25" s="586"/>
      <c r="Z25" s="586"/>
      <c r="AA25" s="586"/>
      <c r="AB25" s="586"/>
      <c r="AC25" s="586"/>
      <c r="AD25" s="586"/>
      <c r="AE25" s="586"/>
      <c r="AF25" s="586"/>
      <c r="AG25" s="586"/>
      <c r="AH25" s="505"/>
      <c r="AI25" s="585"/>
    </row>
    <row r="26" ht="30" customHeight="1">
      <c r="A26" s="504"/>
      <c r="B26" s="753"/>
      <c r="C26" t="s" s="754">
        <f>IF(LEFT(RIGHT($B$1,2),1)=" ",RIGHT($B$1,1),RIGHT($B$1,2))</f>
        <v>1854</v>
      </c>
      <c r="D26" s="755">
        <f>IF(LEFT(F26,5)="Bonne",D24+1,D25)</f>
        <v>1</v>
      </c>
      <c r="E26" s="768"/>
      <c r="F26" t="s" s="769">
        <v>1835</v>
      </c>
      <c r="G26" t="s" s="770">
        <f>VLOOKUP(E28,'BDD'!$A$2:$N$567,7,FALSE)</f>
        <v>1896</v>
      </c>
      <c r="H26" s="771"/>
      <c r="I26" s="771"/>
      <c r="J26" s="771"/>
      <c r="K26" s="771"/>
      <c r="L26" s="772"/>
      <c r="M26" s="773"/>
      <c r="N26" s="774"/>
      <c r="O26" s="775"/>
      <c r="P26" s="775"/>
      <c r="Q26" s="775"/>
      <c r="R26" s="775"/>
      <c r="S26" s="776"/>
      <c r="T26" s="776"/>
      <c r="U26" s="776"/>
      <c r="V26" s="777"/>
      <c r="W26" s="767"/>
      <c r="X26" s="586"/>
      <c r="Y26" s="586"/>
      <c r="Z26" s="586"/>
      <c r="AA26" s="586"/>
      <c r="AB26" s="586"/>
      <c r="AC26" s="586"/>
      <c r="AD26" s="586"/>
      <c r="AE26" s="586"/>
      <c r="AF26" s="586"/>
      <c r="AG26" s="586"/>
      <c r="AH26" s="505"/>
      <c r="AI26" s="585"/>
    </row>
    <row r="27" ht="41.4" customHeight="1">
      <c r="A27" s="504"/>
      <c r="B27" s="753"/>
      <c r="C27" t="s" s="754">
        <f>IF(LEFT(RIGHT($B$1,2),1)=" ",RIGHT($B$1,1),RIGHT($B$1,2))</f>
        <v>1854</v>
      </c>
      <c r="D27" s="755">
        <f>IF(LEFT(F27,5)="Bonne",D25+1,D26)</f>
        <v>1</v>
      </c>
      <c r="E27" t="s" s="778">
        <f>C27&amp;D27&amp;RIGHT(F27,1)</f>
        <v>1855</v>
      </c>
      <c r="F27" t="s" s="779">
        <v>1769</v>
      </c>
      <c r="G27" t="s" s="780">
        <f>VLOOKUP(E27,'BDD'!$A$2:$N$567,MATCH(G$24,'BDD'!$A$1:$P$1,0),FALSE)</f>
        <v>391</v>
      </c>
      <c r="H27" s="781"/>
      <c r="I27" t="s" s="792">
        <v>263</v>
      </c>
      <c r="J27" s="782"/>
      <c r="K27" s="782"/>
      <c r="L27" s="793"/>
      <c r="M27" s="784">
        <f>IF(N27="Exigences partiellement respectées",1,IF(N27="Exigences respectées",2,0))</f>
        <v>0</v>
      </c>
      <c r="N27" t="s" s="780">
        <f>VLOOKUP(VLOOKUP(E27,'BDD'!$A$2:$P$428,15,FALSE),'Suppl'!$D$64:$E$68,2,FALSE)</f>
        <v>1751</v>
      </c>
      <c r="O27" s="785"/>
      <c r="P27" s="786"/>
      <c r="Q27" s="786"/>
      <c r="R27" s="786"/>
      <c r="S27" s="787">
        <f>IF(N27='Suppl'!$E$65,0,IF(N27='Suppl'!$E$66,1/2/(_xlfn.COUNTIFS($D1:$D82,D27,$N1:$N82,"Exigences"&amp;"*",G1:G82,"&lt;&gt;0")+_xlfn.COUNTIFS($D1:$D82,D27,$N1:$N82,"Non"&amp;"*",G1:G82,"&lt;&gt;0")),IF(N27='Suppl'!$E$67,1/(_xlfn.COUNTIFS($D1:$D82,D27,$N1:$N82,"Exigences"&amp;"*",G1:G82,"&lt;&gt;0")+_xlfn.COUNTIFS($D1:$D82,D27,$N1:$N82,"Non"&amp;"*",G1:G82,"&lt;&gt;0")),0)))</f>
        <v>0</v>
      </c>
      <c r="T27" s="787"/>
      <c r="U27" s="787"/>
      <c r="V27" s="788"/>
      <c r="W27" s="789">
        <f>_xlfn.IFERROR(IF(N27='Suppl'!$E$65,0,IF(N27='Suppl'!$E$66,1/2/(_xlfn.COUNTIFS($N1:$N82,"Exigences"&amp;"*")+_xlfn.COUNTIFS($N1:$N82,"Non"&amp;"*")),IF(N27='Suppl'!$E$67,1/(_xlfn.COUNTIFS($N1:$N82,"Exigences"&amp;"*")+_xlfn.COUNTIFS($N1:$N82,"Non"&amp;"*")),0))),0)</f>
        <v>0</v>
      </c>
      <c r="X27" s="586"/>
      <c r="Y27" s="586"/>
      <c r="Z27" s="586"/>
      <c r="AA27" s="586"/>
      <c r="AB27" s="586"/>
      <c r="AC27" s="586"/>
      <c r="AD27" s="586"/>
      <c r="AE27" s="586"/>
      <c r="AF27" s="586"/>
      <c r="AG27" s="586"/>
      <c r="AH27" s="505"/>
      <c r="AI27" s="585"/>
    </row>
    <row r="28" ht="30" customHeight="1">
      <c r="A28" s="504"/>
      <c r="B28" s="753"/>
      <c r="C28" t="s" s="754">
        <f>IF(LEFT(RIGHT($B$1,2),1)=" ",RIGHT($B$1,1),RIGHT($B$1,2))</f>
        <v>1854</v>
      </c>
      <c r="D28" s="755">
        <f>IF(LEFT(F28,5)="Bonne",D26+1,D27)</f>
        <v>1</v>
      </c>
      <c r="E28" t="s" s="778">
        <f>C28&amp;D28&amp;RIGHT(F28,1)</f>
        <v>1856</v>
      </c>
      <c r="F28" t="s" s="790">
        <v>1837</v>
      </c>
      <c r="G28" t="s" s="791">
        <f>VLOOKUP(E28,'BDD'!$A$2:$N$567,MATCH(G$24,'BDD'!$A$1:$P$1,0),FALSE)</f>
        <v>396</v>
      </c>
      <c r="H28" s="781"/>
      <c r="I28" t="s" s="792">
        <v>263</v>
      </c>
      <c r="J28" s="782"/>
      <c r="K28" s="782"/>
      <c r="L28" s="793"/>
      <c r="M28" s="800">
        <f>IF(N28="Exigences partiellement respectées",1,IF(N28="Exigences respectées",2,0))</f>
        <v>0</v>
      </c>
      <c r="N28" t="s" s="791">
        <f>VLOOKUP(VLOOKUP(E28,'BDD'!$A$2:$P$428,15,FALSE),'Suppl'!$D$64:$E$68,2,FALSE)</f>
        <v>1751</v>
      </c>
      <c r="O28" s="801"/>
      <c r="P28" s="802"/>
      <c r="Q28" s="802"/>
      <c r="R28" s="802"/>
      <c r="S28" s="803">
        <f>IF(N28='Suppl'!$E$65,0,IF(N28='Suppl'!$E$66,1/2/(_xlfn.COUNTIFS($D1:$D82,D28,$N1:$N82,"Exigences"&amp;"*",G1:G82,"&lt;&gt;0")+_xlfn.COUNTIFS($D1:$D82,D28,$N1:$N82,"Non"&amp;"*",G1:G82,"&lt;&gt;0")),IF(N28='Suppl'!$E$67,1/(_xlfn.COUNTIFS($D1:$D82,D28,$N1:$N82,"Exigences"&amp;"*",G1:G82,"&lt;&gt;0")+_xlfn.COUNTIFS($D1:$D82,D28,$N1:$N82,"Non"&amp;"*",G1:G82,"&lt;&gt;0")),0)))</f>
        <v>0</v>
      </c>
      <c r="T28" s="803"/>
      <c r="U28" s="803"/>
      <c r="V28" s="804"/>
      <c r="W28" s="789">
        <f>_xlfn.IFERROR(IF(N28='Suppl'!$E$65,0,IF(N28='Suppl'!$E$66,1/2/(_xlfn.COUNTIFS($N1:$N82,"Exigences"&amp;"*")+_xlfn.COUNTIFS($N1:$N82,"Non"&amp;"*")),IF(N28='Suppl'!$E$67,1/(_xlfn.COUNTIFS($N1:$N82,"Exigences"&amp;"*")+_xlfn.COUNTIFS($N1:$N82,"Non"&amp;"*")),0))),0)</f>
        <v>0</v>
      </c>
      <c r="X28" s="586"/>
      <c r="Y28" s="586"/>
      <c r="Z28" s="586"/>
      <c r="AA28" s="586"/>
      <c r="AB28" s="586"/>
      <c r="AC28" s="586"/>
      <c r="AD28" s="586"/>
      <c r="AE28" s="586"/>
      <c r="AF28" s="586"/>
      <c r="AG28" s="586"/>
      <c r="AH28" s="505"/>
      <c r="AI28" s="585"/>
    </row>
    <row r="29" ht="30" customHeight="1">
      <c r="A29" s="504"/>
      <c r="B29" s="753"/>
      <c r="C29" t="s" s="754">
        <f>IF(LEFT(RIGHT($B$1,2),1)=" ",RIGHT($B$1,1),RIGHT($B$1,2))</f>
        <v>1854</v>
      </c>
      <c r="D29" s="755">
        <f>IF(LEFT(F29,5)="Bonne",D27+1,D28)</f>
        <v>2</v>
      </c>
      <c r="E29" t="s" s="778">
        <f>C29&amp;D29&amp;RIGHT(F29,1)</f>
        <v>1863</v>
      </c>
      <c r="F29" t="s" s="757">
        <v>1785</v>
      </c>
      <c r="G29" t="s" s="758">
        <f>VLOOKUP(E31,'BDD'!$A$2:$N$567,6,FALSE)</f>
        <v>409</v>
      </c>
      <c r="H29" t="s" s="805">
        <f>VLOOKUP(E31,'BDD'!$A$2:$N$567,6,FALSE)</f>
        <v>409</v>
      </c>
      <c r="I29" s="760"/>
      <c r="J29" s="760"/>
      <c r="K29" s="760"/>
      <c r="L29" s="761"/>
      <c r="M29" s="762"/>
      <c r="N29" s="763"/>
      <c r="O29" s="764">
        <v>0</v>
      </c>
      <c r="P29" s="764"/>
      <c r="Q29" s="764"/>
      <c r="R29" s="764"/>
      <c r="S29" s="765">
        <f>_xlfn.SUMIFS(S1:S82,$D1:$D82,D29,$N1:$N82,"Exigences"&amp;"*")</f>
      </c>
      <c r="T29" s="765"/>
      <c r="U29" s="765"/>
      <c r="V29" s="766"/>
      <c r="W29" s="789">
        <f>_xlfn.IFERROR(IF(N29='Suppl'!$E$65,0,IF(N29='Suppl'!$E$66,1/2/(_xlfn.COUNTIFS($N1:$N82,"Exigences"&amp;"*")+_xlfn.COUNTIFS($N1:$N82,"Non"&amp;"*")),IF(N29='Suppl'!$E$67,1/(_xlfn.COUNTIFS($N1:$N82,"Exigences"&amp;"*")+_xlfn.COUNTIFS($N1:$N82,"Non"&amp;"*")),0))),0)</f>
        <v>0</v>
      </c>
      <c r="X29" s="586"/>
      <c r="Y29" s="586"/>
      <c r="Z29" s="586"/>
      <c r="AA29" s="586"/>
      <c r="AB29" s="586"/>
      <c r="AC29" s="586"/>
      <c r="AD29" s="586"/>
      <c r="AE29" s="586"/>
      <c r="AF29" s="586"/>
      <c r="AG29" s="586"/>
      <c r="AH29" s="505"/>
      <c r="AI29" s="585"/>
    </row>
    <row r="30" ht="30" customHeight="1">
      <c r="A30" s="504"/>
      <c r="B30" s="753"/>
      <c r="C30" t="s" s="754">
        <f>IF(LEFT(RIGHT($B$1,2),1)=" ",RIGHT($B$1,1),RIGHT($B$1,2))</f>
        <v>1854</v>
      </c>
      <c r="D30" s="755">
        <f>IF(LEFT(F30,5)="Bonne",D28+1,D29)</f>
        <v>2</v>
      </c>
      <c r="E30" t="s" s="778">
        <f>C30&amp;D30&amp;RIGHT(F30,1)</f>
        <v>1865</v>
      </c>
      <c r="F30" t="s" s="769">
        <v>1835</v>
      </c>
      <c r="G30" t="s" s="770">
        <f>VLOOKUP(E32,'BDD'!$A$2:$N$567,7,FALSE)</f>
        <v>1897</v>
      </c>
      <c r="H30" s="771"/>
      <c r="I30" s="771"/>
      <c r="J30" s="771"/>
      <c r="K30" s="771"/>
      <c r="L30" s="772"/>
      <c r="M30" s="773"/>
      <c r="N30" s="774"/>
      <c r="O30" s="775"/>
      <c r="P30" s="775"/>
      <c r="Q30" s="775"/>
      <c r="R30" s="775"/>
      <c r="S30" s="776"/>
      <c r="T30" s="776"/>
      <c r="U30" s="776"/>
      <c r="V30" s="777"/>
      <c r="W30" s="789">
        <f>_xlfn.IFERROR(IF(N30='Suppl'!$E$65,0,IF(N30='Suppl'!$E$66,1/2/(_xlfn.COUNTIFS($N1:$N82,"Exigences"&amp;"*")+_xlfn.COUNTIFS($N1:$N82,"Non"&amp;"*")),IF(N30='Suppl'!$E$67,1/(_xlfn.COUNTIFS($N1:$N82,"Exigences"&amp;"*")+_xlfn.COUNTIFS($N1:$N82,"Non"&amp;"*")),0))),0)</f>
        <v>0</v>
      </c>
      <c r="X30" s="586"/>
      <c r="Y30" s="586"/>
      <c r="Z30" s="586"/>
      <c r="AA30" s="586"/>
      <c r="AB30" s="586"/>
      <c r="AC30" s="586"/>
      <c r="AD30" s="586"/>
      <c r="AE30" s="586"/>
      <c r="AF30" s="586"/>
      <c r="AG30" s="586"/>
      <c r="AH30" s="505"/>
      <c r="AI30" s="585"/>
    </row>
    <row r="31" ht="30" customHeight="1">
      <c r="A31" s="504"/>
      <c r="B31" s="753"/>
      <c r="C31" t="s" s="754">
        <f>IF(LEFT(RIGHT($B$1,2),1)=" ",RIGHT($B$1,1),RIGHT($B$1,2))</f>
        <v>1854</v>
      </c>
      <c r="D31" s="755">
        <f>IF(LEFT(F31,5)="Bonne",D29+1,D30)</f>
        <v>2</v>
      </c>
      <c r="E31" t="s" s="778">
        <f>C31&amp;D31&amp;RIGHT(F31,1)</f>
        <v>1865</v>
      </c>
      <c r="F31" t="s" s="779">
        <v>1769</v>
      </c>
      <c r="G31" t="s" s="780">
        <f>VLOOKUP(E31,'BDD'!$A$2:$N$567,MATCH(G$24,'BDD'!$A$1:$P$1,0),FALSE)</f>
        <v>412</v>
      </c>
      <c r="H31" t="s" s="799">
        <v>283</v>
      </c>
      <c r="I31" s="782"/>
      <c r="J31" s="782"/>
      <c r="K31" s="782"/>
      <c r="L31" s="793"/>
      <c r="M31" s="784">
        <f>IF(N31="Exigences partiellement respectées",1,IF(N31="Exigences respectées",2,0))</f>
        <v>0</v>
      </c>
      <c r="N31" t="s" s="780">
        <f>VLOOKUP(VLOOKUP(E31,'BDD'!$A$2:$P$428,15,FALSE),'Suppl'!$D$64:$E$68,2,FALSE)</f>
        <v>1751</v>
      </c>
      <c r="O31" s="785"/>
      <c r="P31" s="786"/>
      <c r="Q31" s="786"/>
      <c r="R31" s="786"/>
      <c r="S31" s="787">
        <f>IF(N31='Suppl'!$E$65,0,IF(N31='Suppl'!$E$66,1/2/(_xlfn.COUNTIFS($D1:$D82,D31,$N1:$N82,"Exigences"&amp;"*",G1:G82,"&lt;&gt;0")+_xlfn.COUNTIFS($D1:$D82,D31,$N1:$N82,"Non"&amp;"*",G1:G82,"&lt;&gt;0")),IF(N31='Suppl'!$E$67,1/(_xlfn.COUNTIFS($D1:$D82,D31,$N1:$N82,"Exigences"&amp;"*",G1:G82,"&lt;&gt;0")+_xlfn.COUNTIFS($D1:$D82,D31,$N1:$N82,"Non"&amp;"*",G1:G82,"&lt;&gt;0")),0)))</f>
        <v>0</v>
      </c>
      <c r="T31" s="787"/>
      <c r="U31" s="787"/>
      <c r="V31" s="788"/>
      <c r="W31" s="789">
        <f>_xlfn.IFERROR(IF(N31='Suppl'!$E$65,0,IF(N31='Suppl'!$E$66,1/2/(_xlfn.COUNTIFS($N1:$N82,"Exigences"&amp;"*")+_xlfn.COUNTIFS($N1:$N82,"Non"&amp;"*")),IF(N31='Suppl'!$E$67,1/(_xlfn.COUNTIFS($N1:$N82,"Exigences"&amp;"*")+_xlfn.COUNTIFS($N1:$N82,"Non"&amp;"*")),0))),0)</f>
        <v>0</v>
      </c>
      <c r="X31" s="586"/>
      <c r="Y31" s="586"/>
      <c r="Z31" s="586"/>
      <c r="AA31" s="586"/>
      <c r="AB31" s="586"/>
      <c r="AC31" s="586"/>
      <c r="AD31" s="586"/>
      <c r="AE31" s="586"/>
      <c r="AF31" s="586"/>
      <c r="AG31" s="586"/>
      <c r="AH31" s="505"/>
      <c r="AI31" s="585"/>
    </row>
    <row r="32" ht="30" customHeight="1">
      <c r="A32" s="504"/>
      <c r="B32" s="753"/>
      <c r="C32" t="s" s="754">
        <f>IF(LEFT(RIGHT($B$1,2),1)=" ",RIGHT($B$1,1),RIGHT($B$1,2))</f>
        <v>1854</v>
      </c>
      <c r="D32" s="755">
        <f>IF(LEFT(F32,5)="Bonne",D30+1,D31)</f>
        <v>2</v>
      </c>
      <c r="E32" t="s" s="778">
        <f>C32&amp;D32&amp;RIGHT(F32,1)</f>
        <v>1863</v>
      </c>
      <c r="F32" t="s" s="790">
        <v>1837</v>
      </c>
      <c r="G32" t="s" s="791">
        <f>VLOOKUP(E32,'BDD'!$A$2:$N$567,MATCH(G$24,'BDD'!$A$1:$P$1,0),FALSE)</f>
        <v>414</v>
      </c>
      <c r="H32" s="781"/>
      <c r="I32" t="s" s="792">
        <v>263</v>
      </c>
      <c r="J32" s="782"/>
      <c r="K32" s="782"/>
      <c r="L32" s="793"/>
      <c r="M32" s="794">
        <f>IF(N32="Exigences partiellement respectées",1,IF(N32="Exigences respectées",2,0))</f>
        <v>0</v>
      </c>
      <c r="N32" t="s" s="791">
        <f>VLOOKUP(VLOOKUP(E32,'BDD'!$A$2:$P$428,15,FALSE),'Suppl'!$D$64:$E$68,2,FALSE)</f>
        <v>1751</v>
      </c>
      <c r="O32" s="795"/>
      <c r="P32" s="796"/>
      <c r="Q32" s="796"/>
      <c r="R32" s="796"/>
      <c r="S32" s="797">
        <f>IF(N32='Suppl'!$E$65,0,IF(N32='Suppl'!$E$66,1/2/(_xlfn.COUNTIFS($D1:$D82,D32,$N1:$N82,"Exigences"&amp;"*",G1:G82,"&lt;&gt;0")+_xlfn.COUNTIFS($D1:$D82,D32,$N1:$N82,"Non"&amp;"*",G1:G82,"&lt;&gt;0")),IF(N32='Suppl'!$E$67,1/(_xlfn.COUNTIFS($D1:$D82,D32,$N1:$N82,"Exigences"&amp;"*",G1:G82,"&lt;&gt;0")+_xlfn.COUNTIFS($D1:$D82,D32,$N1:$N82,"Non"&amp;"*",G1:G82,"&lt;&gt;0")),0)))</f>
        <v>0</v>
      </c>
      <c r="T32" s="797"/>
      <c r="U32" s="797"/>
      <c r="V32" s="798"/>
      <c r="W32" s="789">
        <f>_xlfn.IFERROR(IF(N32='Suppl'!$E$65,0,IF(N32='Suppl'!$E$66,1/2/(_xlfn.COUNTIFS($N1:$N82,"Exigences"&amp;"*")+_xlfn.COUNTIFS($N1:$N82,"Non"&amp;"*")),IF(N32='Suppl'!$E$67,1/(_xlfn.COUNTIFS($N1:$N82,"Exigences"&amp;"*")+_xlfn.COUNTIFS($N1:$N82,"Non"&amp;"*")),0))),0)</f>
        <v>0</v>
      </c>
      <c r="X32" s="586"/>
      <c r="Y32" s="586"/>
      <c r="Z32" s="586"/>
      <c r="AA32" s="586"/>
      <c r="AB32" s="586"/>
      <c r="AC32" s="586"/>
      <c r="AD32" s="586"/>
      <c r="AE32" s="586"/>
      <c r="AF32" s="586"/>
      <c r="AG32" s="586"/>
      <c r="AH32" s="505"/>
      <c r="AI32" s="585"/>
    </row>
    <row r="33" ht="55.2" customHeight="1">
      <c r="A33" s="504"/>
      <c r="B33" s="753"/>
      <c r="C33" t="s" s="754">
        <f>IF(LEFT(RIGHT($B$1,2),1)=" ",RIGHT($B$1,1),RIGHT($B$1,2))</f>
        <v>1854</v>
      </c>
      <c r="D33" s="755">
        <f>IF(LEFT(F33,5)="Bonne",D31+1,D32)</f>
        <v>2</v>
      </c>
      <c r="E33" t="s" s="778">
        <f>C33&amp;D33&amp;RIGHT(F33,1)</f>
        <v>1866</v>
      </c>
      <c r="F33" t="s" s="779">
        <v>1774</v>
      </c>
      <c r="G33" t="s" s="780">
        <f>VLOOKUP(E33,'BDD'!$A$2:$N$567,MATCH(G$24,'BDD'!$A$1:$P$1,0),FALSE)</f>
        <v>417</v>
      </c>
      <c r="H33" s="781"/>
      <c r="I33" s="782"/>
      <c r="J33" t="s" s="792">
        <v>271</v>
      </c>
      <c r="K33" s="782"/>
      <c r="L33" s="793"/>
      <c r="M33" s="794">
        <f>IF(N33="Exigences partiellement respectées",1,IF(N33="Exigences respectées",2,0))</f>
        <v>0</v>
      </c>
      <c r="N33" t="s" s="780">
        <f>VLOOKUP(VLOOKUP(E33,'BDD'!$A$2:$P$428,15,FALSE),'Suppl'!$D$64:$E$68,2,FALSE)</f>
        <v>1751</v>
      </c>
      <c r="O33" s="795"/>
      <c r="P33" s="796"/>
      <c r="Q33" s="796"/>
      <c r="R33" s="796"/>
      <c r="S33" s="797">
        <f>IF(N33='Suppl'!$E$65,0,IF(N33='Suppl'!$E$66,1/2/(_xlfn.COUNTIFS($D1:$D82,D33,$N1:$N82,"Exigences"&amp;"*",G1:G82,"&lt;&gt;0")+_xlfn.COUNTIFS($D1:$D82,D33,$N1:$N82,"Non"&amp;"*",G1:G82,"&lt;&gt;0")),IF(N33='Suppl'!$E$67,1/(_xlfn.COUNTIFS($D1:$D82,D33,$N1:$N82,"Exigences"&amp;"*",G1:G82,"&lt;&gt;0")+_xlfn.COUNTIFS($D1:$D82,D33,$N1:$N82,"Non"&amp;"*",G1:G82,"&lt;&gt;0")),0)))</f>
        <v>0</v>
      </c>
      <c r="T33" s="797"/>
      <c r="U33" s="797"/>
      <c r="V33" s="798"/>
      <c r="W33" s="789">
        <f>_xlfn.IFERROR(IF(N33='Suppl'!$E$65,0,IF(N33='Suppl'!$E$66,1/2/(_xlfn.COUNTIFS($N1:$N82,"Exigences"&amp;"*")+_xlfn.COUNTIFS($N1:$N82,"Non"&amp;"*")),IF(N33='Suppl'!$E$67,1/(_xlfn.COUNTIFS($N1:$N82,"Exigences"&amp;"*")+_xlfn.COUNTIFS($N1:$N82,"Non"&amp;"*")),0))),0)</f>
        <v>0</v>
      </c>
      <c r="X33" s="586"/>
      <c r="Y33" s="586"/>
      <c r="Z33" s="586"/>
      <c r="AA33" s="586"/>
      <c r="AB33" s="586"/>
      <c r="AC33" s="586"/>
      <c r="AD33" s="586"/>
      <c r="AE33" s="586"/>
      <c r="AF33" s="586"/>
      <c r="AG33" s="586"/>
      <c r="AH33" s="505"/>
      <c r="AI33" s="585"/>
    </row>
    <row r="34" ht="30" customHeight="1">
      <c r="A34" s="504"/>
      <c r="B34" s="753"/>
      <c r="C34" t="s" s="754">
        <f>IF(LEFT(RIGHT($B$1,2),1)=" ",RIGHT($B$1,1),RIGHT($B$1,2))</f>
        <v>1854</v>
      </c>
      <c r="D34" s="755">
        <f>IF(LEFT(F34,5)="Bonne",D32+1,D33)</f>
        <v>2</v>
      </c>
      <c r="E34" t="s" s="778">
        <f>C34&amp;D34&amp;RIGHT(F34,1)</f>
        <v>1867</v>
      </c>
      <c r="F34" t="s" s="790">
        <v>1776</v>
      </c>
      <c r="G34" t="s" s="791">
        <f>VLOOKUP(E34,'BDD'!$A$2:$N$567,MATCH(G$24,'BDD'!$A$1:$P$1,0),FALSE)</f>
        <v>420</v>
      </c>
      <c r="H34" s="781"/>
      <c r="I34" s="782"/>
      <c r="J34" t="s" s="792">
        <v>271</v>
      </c>
      <c r="K34" s="782"/>
      <c r="L34" s="793"/>
      <c r="M34" s="794">
        <f>IF(N34="Exigences partiellement respectées",1,IF(N34="Exigences respectées",2,0))</f>
        <v>0</v>
      </c>
      <c r="N34" t="s" s="791">
        <f>VLOOKUP(VLOOKUP(E34,'BDD'!$A$2:$P$428,15,FALSE),'Suppl'!$D$64:$E$68,2,FALSE)</f>
        <v>1751</v>
      </c>
      <c r="O34" s="795"/>
      <c r="P34" s="796"/>
      <c r="Q34" s="796"/>
      <c r="R34" s="796"/>
      <c r="S34" s="797">
        <f>IF(N34='Suppl'!$E$65,0,IF(N34='Suppl'!$E$66,1/2/(_xlfn.COUNTIFS($D1:$D82,D34,$N1:$N82,"Exigences"&amp;"*",G1:G82,"&lt;&gt;0")+_xlfn.COUNTIFS($D1:$D82,D34,$N1:$N82,"Non"&amp;"*",G1:G82,"&lt;&gt;0")),IF(N34='Suppl'!$E$67,1/(_xlfn.COUNTIFS($D1:$D82,D34,$N1:$N82,"Exigences"&amp;"*",G1:G82,"&lt;&gt;0")+_xlfn.COUNTIFS($D1:$D82,D34,$N1:$N82,"Non"&amp;"*",G1:G82,"&lt;&gt;0")),0)))</f>
        <v>0</v>
      </c>
      <c r="T34" s="797"/>
      <c r="U34" s="797"/>
      <c r="V34" s="798"/>
      <c r="W34" s="789">
        <f>_xlfn.IFERROR(IF(N34='Suppl'!$E$65,0,IF(N34='Suppl'!$E$66,1/2/(_xlfn.COUNTIFS($N1:$N82,"Exigences"&amp;"*")+_xlfn.COUNTIFS($N1:$N82,"Non"&amp;"*")),IF(N34='Suppl'!$E$67,1/(_xlfn.COUNTIFS($N1:$N82,"Exigences"&amp;"*")+_xlfn.COUNTIFS($N1:$N82,"Non"&amp;"*")),0))),0)</f>
        <v>0</v>
      </c>
      <c r="X34" s="586"/>
      <c r="Y34" s="586"/>
      <c r="Z34" s="586"/>
      <c r="AA34" s="586"/>
      <c r="AB34" s="586"/>
      <c r="AC34" s="586"/>
      <c r="AD34" s="586"/>
      <c r="AE34" s="586"/>
      <c r="AF34" s="586"/>
      <c r="AG34" s="586"/>
      <c r="AH34" s="505"/>
      <c r="AI34" s="585"/>
    </row>
    <row r="35" ht="30" customHeight="1">
      <c r="A35" s="504"/>
      <c r="B35" s="753"/>
      <c r="C35" t="s" s="754">
        <f>IF(LEFT(RIGHT($B$1,2),1)=" ",RIGHT($B$1,1),RIGHT($B$1,2))</f>
        <v>1854</v>
      </c>
      <c r="D35" s="755">
        <f>IF(LEFT(F35,5)="Bonne",D33+1,D34)</f>
        <v>2</v>
      </c>
      <c r="E35" t="s" s="778">
        <f>C35&amp;D35&amp;RIGHT(F35,1)</f>
        <v>1868</v>
      </c>
      <c r="F35" t="s" s="779">
        <v>1778</v>
      </c>
      <c r="G35" t="s" s="780">
        <f>VLOOKUP(E35,'BDD'!$A$2:$N$567,MATCH(G$24,'BDD'!$A$1:$P$1,0),FALSE)</f>
        <v>423</v>
      </c>
      <c r="H35" s="781"/>
      <c r="I35" s="782"/>
      <c r="J35" s="782"/>
      <c r="K35" t="s" s="792">
        <v>291</v>
      </c>
      <c r="L35" s="793"/>
      <c r="M35" s="794">
        <f>IF(N35="Exigences partiellement respectées",1,IF(N35="Exigences respectées",2,0))</f>
        <v>0</v>
      </c>
      <c r="N35" t="s" s="780">
        <f>VLOOKUP(VLOOKUP(E35,'BDD'!$A$2:$P$428,15,FALSE),'Suppl'!$D$64:$E$68,2,FALSE)</f>
        <v>1751</v>
      </c>
      <c r="O35" s="795"/>
      <c r="P35" s="796"/>
      <c r="Q35" s="796"/>
      <c r="R35" s="796"/>
      <c r="S35" s="797">
        <f>IF(N35='Suppl'!$E$65,0,IF(N35='Suppl'!$E$66,1/2/(_xlfn.COUNTIFS($D1:$D82,D35,$N1:$N82,"Exigences"&amp;"*",G1:G82,"&lt;&gt;0")+_xlfn.COUNTIFS($D1:$D82,D35,$N1:$N82,"Non"&amp;"*",G1:G82,"&lt;&gt;0")),IF(N35='Suppl'!$E$67,1/(_xlfn.COUNTIFS($D1:$D82,D35,$N1:$N82,"Exigences"&amp;"*",G1:G82,"&lt;&gt;0")+_xlfn.COUNTIFS($D1:$D82,D35,$N1:$N82,"Non"&amp;"*",G1:G82,"&lt;&gt;0")),0)))</f>
        <v>0</v>
      </c>
      <c r="T35" s="797"/>
      <c r="U35" s="797"/>
      <c r="V35" s="798"/>
      <c r="W35" s="789">
        <f>_xlfn.IFERROR(IF(N35='Suppl'!$E$65,0,IF(N35='Suppl'!$E$66,1/2/(_xlfn.COUNTIFS($N1:$N82,"Exigences"&amp;"*")+_xlfn.COUNTIFS($N1:$N82,"Non"&amp;"*")),IF(N35='Suppl'!$E$67,1/(_xlfn.COUNTIFS($N1:$N82,"Exigences"&amp;"*")+_xlfn.COUNTIFS($N1:$N82,"Non"&amp;"*")),0))),0)</f>
        <v>0</v>
      </c>
      <c r="X35" s="586"/>
      <c r="Y35" s="586"/>
      <c r="Z35" s="586"/>
      <c r="AA35" s="586"/>
      <c r="AB35" s="586"/>
      <c r="AC35" s="586"/>
      <c r="AD35" s="586"/>
      <c r="AE35" s="586"/>
      <c r="AF35" s="586"/>
      <c r="AG35" s="586"/>
      <c r="AH35" s="505"/>
      <c r="AI35" s="585"/>
    </row>
    <row r="36" ht="27.6" customHeight="1">
      <c r="A36" s="504"/>
      <c r="B36" s="753"/>
      <c r="C36" t="s" s="754">
        <f>IF(LEFT(RIGHT($B$1,2),1)=" ",RIGHT($B$1,1),RIGHT($B$1,2))</f>
        <v>1854</v>
      </c>
      <c r="D36" s="755">
        <f>IF(LEFT(F36,5)="Bonne",D34+1,D35)</f>
        <v>2</v>
      </c>
      <c r="E36" t="s" s="778">
        <f>C36&amp;D36&amp;RIGHT(F36,1)</f>
        <v>1869</v>
      </c>
      <c r="F36" t="s" s="790">
        <v>1780</v>
      </c>
      <c r="G36" t="s" s="791">
        <f>VLOOKUP(E36,'BDD'!$A$2:$N$567,MATCH(G$24,'BDD'!$A$1:$P$1,0),FALSE)</f>
        <v>426</v>
      </c>
      <c r="H36" s="781"/>
      <c r="I36" s="782"/>
      <c r="J36" s="782"/>
      <c r="K36" t="s" s="792">
        <v>291</v>
      </c>
      <c r="L36" s="793"/>
      <c r="M36" s="800">
        <f>IF(N36="Exigences partiellement respectées",1,IF(N36="Exigences respectées",2,0))</f>
        <v>0</v>
      </c>
      <c r="N36" t="s" s="791">
        <f>VLOOKUP(VLOOKUP(E36,'BDD'!$A$2:$P$428,15,FALSE),'Suppl'!$D$64:$E$68,2,FALSE)</f>
        <v>1751</v>
      </c>
      <c r="O36" s="801"/>
      <c r="P36" s="802"/>
      <c r="Q36" s="802"/>
      <c r="R36" s="802"/>
      <c r="S36" s="803">
        <f>IF(N36='Suppl'!$E$65,0,IF(N36='Suppl'!$E$66,1/2/(_xlfn.COUNTIFS($D1:$D82,D36,$N1:$N82,"Exigences"&amp;"*",G1:G82,"&lt;&gt;0")+_xlfn.COUNTIFS($D1:$D82,D36,$N1:$N82,"Non"&amp;"*",G1:G82,"&lt;&gt;0")),IF(N36='Suppl'!$E$67,1/(_xlfn.COUNTIFS($D1:$D82,D36,$N1:$N82,"Exigences"&amp;"*",G1:G82,"&lt;&gt;0")+_xlfn.COUNTIFS($D1:$D82,D36,$N1:$N82,"Non"&amp;"*",G1:G82,"&lt;&gt;0")),0)))</f>
        <v>0</v>
      </c>
      <c r="T36" s="803"/>
      <c r="U36" s="803"/>
      <c r="V36" s="804"/>
      <c r="W36" s="789">
        <f>_xlfn.IFERROR(IF(N36='Suppl'!$E$65,0,IF(N36='Suppl'!$E$66,1/2/(_xlfn.COUNTIFS($N1:$N82,"Exigences"&amp;"*")+_xlfn.COUNTIFS($N1:$N82,"Non"&amp;"*")),IF(N36='Suppl'!$E$67,1/(_xlfn.COUNTIFS($N1:$N82,"Exigences"&amp;"*")+_xlfn.COUNTIFS($N1:$N82,"Non"&amp;"*")),0))),0)</f>
        <v>0</v>
      </c>
      <c r="X36" s="586"/>
      <c r="Y36" s="586"/>
      <c r="Z36" s="586"/>
      <c r="AA36" s="586"/>
      <c r="AB36" s="586"/>
      <c r="AC36" s="586"/>
      <c r="AD36" s="586"/>
      <c r="AE36" s="586"/>
      <c r="AF36" s="586"/>
      <c r="AG36" s="586"/>
      <c r="AH36" s="505"/>
      <c r="AI36" s="585"/>
    </row>
    <row r="37" ht="30" customHeight="1">
      <c r="A37" s="504"/>
      <c r="B37" s="753"/>
      <c r="C37" t="s" s="754">
        <f>IF(LEFT(RIGHT($B$1,2),1)=" ",RIGHT($B$1,1),RIGHT($B$1,2))</f>
        <v>1854</v>
      </c>
      <c r="D37" s="755">
        <v>3</v>
      </c>
      <c r="E37" t="s" s="778">
        <f>C37&amp;D37&amp;RIGHT(F37,1)</f>
        <v>1871</v>
      </c>
      <c r="F37" t="s" s="757">
        <v>1797</v>
      </c>
      <c r="G37" t="s" s="758">
        <f>VLOOKUP(E39,'BDD'!$A$2:$N$567,6,FALSE)</f>
        <v>429</v>
      </c>
      <c r="H37" s="759"/>
      <c r="I37" s="760"/>
      <c r="J37" s="760"/>
      <c r="K37" s="760"/>
      <c r="L37" s="761"/>
      <c r="M37" s="762"/>
      <c r="N37" s="763"/>
      <c r="O37" s="764">
        <v>0</v>
      </c>
      <c r="P37" s="764"/>
      <c r="Q37" s="764"/>
      <c r="R37" s="764"/>
      <c r="S37" s="765">
        <f>_xlfn.SUMIFS(S1:S82,$D1:$D82,D37,$N1:$N82,"Exigences"&amp;"*")</f>
      </c>
      <c r="T37" s="765"/>
      <c r="U37" s="765"/>
      <c r="V37" s="766"/>
      <c r="W37" s="789">
        <f>_xlfn.IFERROR(IF(N37='Suppl'!$E$65,0,IF(N37='Suppl'!$E$66,1/2/(_xlfn.COUNTIFS($N1:$N82,"Exigences"&amp;"*")+_xlfn.COUNTIFS($N1:$N82,"Non"&amp;"*")),IF(N37='Suppl'!$E$67,1/(_xlfn.COUNTIFS($N1:$N82,"Exigences"&amp;"*")+_xlfn.COUNTIFS($N1:$N82,"Non"&amp;"*")),0))),0)</f>
        <v>0</v>
      </c>
      <c r="X37" s="586"/>
      <c r="Y37" s="586"/>
      <c r="Z37" s="586"/>
      <c r="AA37" s="586"/>
      <c r="AB37" s="586"/>
      <c r="AC37" s="586"/>
      <c r="AD37" s="586"/>
      <c r="AE37" s="586"/>
      <c r="AF37" s="586"/>
      <c r="AG37" s="586"/>
      <c r="AH37" s="505"/>
      <c r="AI37" s="585"/>
    </row>
    <row r="38" ht="30" customHeight="1">
      <c r="A38" s="504"/>
      <c r="B38" s="753"/>
      <c r="C38" t="s" s="754">
        <f>IF(LEFT(RIGHT($B$1,2),1)=" ",RIGHT($B$1,1),RIGHT($B$1,2))</f>
        <v>1854</v>
      </c>
      <c r="D38" s="755">
        <v>3</v>
      </c>
      <c r="E38" t="s" s="778">
        <f>C38&amp;D38&amp;RIGHT(F38,1)</f>
        <v>1873</v>
      </c>
      <c r="F38" t="s" s="769">
        <v>1835</v>
      </c>
      <c r="G38" t="s" s="770">
        <f>VLOOKUP(E40,'BDD'!$A$2:$N$567,7,FALSE)</f>
        <v>1898</v>
      </c>
      <c r="H38" s="771"/>
      <c r="I38" s="771"/>
      <c r="J38" s="771"/>
      <c r="K38" s="771"/>
      <c r="L38" s="772"/>
      <c r="M38" s="773"/>
      <c r="N38" s="774"/>
      <c r="O38" s="775"/>
      <c r="P38" s="775"/>
      <c r="Q38" s="775"/>
      <c r="R38" s="775"/>
      <c r="S38" s="776"/>
      <c r="T38" s="776"/>
      <c r="U38" s="776"/>
      <c r="V38" s="777"/>
      <c r="W38" s="789">
        <f>_xlfn.IFERROR(IF(N38='Suppl'!$E$65,0,IF(N38='Suppl'!$E$66,1/2/(_xlfn.COUNTIFS($N1:$N82,"Exigences"&amp;"*")+_xlfn.COUNTIFS($N1:$N82,"Non"&amp;"*")),IF(N38='Suppl'!$E$67,1/(_xlfn.COUNTIFS($N1:$N82,"Exigences"&amp;"*")+_xlfn.COUNTIFS($N1:$N82,"Non"&amp;"*")),0))),0)</f>
        <v>0</v>
      </c>
      <c r="X38" s="586"/>
      <c r="Y38" s="586"/>
      <c r="Z38" s="586"/>
      <c r="AA38" s="586"/>
      <c r="AB38" s="586"/>
      <c r="AC38" s="586"/>
      <c r="AD38" s="586"/>
      <c r="AE38" s="586"/>
      <c r="AF38" s="586"/>
      <c r="AG38" s="586"/>
      <c r="AH38" s="505"/>
      <c r="AI38" s="585"/>
    </row>
    <row r="39" ht="45" customHeight="1">
      <c r="A39" s="504"/>
      <c r="B39" s="753"/>
      <c r="C39" t="s" s="754">
        <f>IF(LEFT(RIGHT($B$1,2),1)=" ",RIGHT($B$1,1),RIGHT($B$1,2))</f>
        <v>1854</v>
      </c>
      <c r="D39" s="755">
        <f>IF(LEFT(F39,5)="Bonne",D37+1,D38)</f>
        <v>3</v>
      </c>
      <c r="E39" t="s" s="778">
        <f>C39&amp;D39&amp;RIGHT(F39,1)</f>
        <v>1873</v>
      </c>
      <c r="F39" t="s" s="779">
        <v>1769</v>
      </c>
      <c r="G39" t="s" s="780">
        <f>VLOOKUP(E39,'BDD'!$A$2:$N$567,MATCH(G$24,'BDD'!$A$1:$P$1,0),FALSE)</f>
        <v>431</v>
      </c>
      <c r="H39" s="781"/>
      <c r="I39" t="s" s="792">
        <v>263</v>
      </c>
      <c r="J39" s="782"/>
      <c r="K39" s="782"/>
      <c r="L39" s="793"/>
      <c r="M39" s="784">
        <f>IF(N39="Exigences partiellement respectées",1,IF(N39="Exigences respectées",2,0))</f>
        <v>0</v>
      </c>
      <c r="N39" t="s" s="780">
        <f>VLOOKUP(VLOOKUP(E39,'BDD'!$A$2:$P$428,15,FALSE),'Suppl'!$D$64:$E$68,2,FALSE)</f>
        <v>1751</v>
      </c>
      <c r="O39" s="785"/>
      <c r="P39" s="786"/>
      <c r="Q39" s="786"/>
      <c r="R39" s="786"/>
      <c r="S39" s="787">
        <f>IF(N39='Suppl'!$E$65,0,IF(N39='Suppl'!$E$66,1/2/(_xlfn.COUNTIFS($D1:$D82,D39,$N1:$N82,"Exigences"&amp;"*",G1:G82,"&lt;&gt;0")+_xlfn.COUNTIFS($D1:$D82,D39,$N1:$N82,"Non"&amp;"*",G1:G82,"&lt;&gt;0")),IF(N39='Suppl'!$E$67,1/(_xlfn.COUNTIFS($D1:$D82,D39,$N1:$N82,"Exigences"&amp;"*",G1:G82,"&lt;&gt;0")+_xlfn.COUNTIFS($D1:$D82,D39,$N1:$N82,"Non"&amp;"*",G1:G82,"&lt;&gt;0")),0)))</f>
        <v>0</v>
      </c>
      <c r="T39" s="787"/>
      <c r="U39" s="787"/>
      <c r="V39" s="788"/>
      <c r="W39" s="789">
        <f>_xlfn.IFERROR(IF(N39='Suppl'!$E$65,0,IF(N39='Suppl'!$E$66,1/2/(_xlfn.COUNTIFS($N1:$N82,"Exigences"&amp;"*")+_xlfn.COUNTIFS($N1:$N82,"Non"&amp;"*")),IF(N39='Suppl'!$E$67,1/(_xlfn.COUNTIFS($N1:$N82,"Exigences"&amp;"*")+_xlfn.COUNTIFS($N1:$N82,"Non"&amp;"*")),0))),0)</f>
        <v>0</v>
      </c>
      <c r="X39" s="586"/>
      <c r="Y39" s="586"/>
      <c r="Z39" s="586"/>
      <c r="AA39" s="586"/>
      <c r="AB39" s="586"/>
      <c r="AC39" s="586"/>
      <c r="AD39" s="586"/>
      <c r="AE39" s="586"/>
      <c r="AF39" s="586"/>
      <c r="AG39" s="586"/>
      <c r="AH39" s="505"/>
      <c r="AI39" s="585"/>
    </row>
    <row r="40" ht="58.8" customHeight="1">
      <c r="A40" s="504"/>
      <c r="B40" s="753"/>
      <c r="C40" t="s" s="754">
        <f>IF(LEFT(RIGHT($B$1,2),1)=" ",RIGHT($B$1,1),RIGHT($B$1,2))</f>
        <v>1854</v>
      </c>
      <c r="D40" s="755">
        <f>IF(LEFT(F40,5)="Bonne",D38+1,D39)</f>
        <v>3</v>
      </c>
      <c r="E40" t="s" s="778">
        <f>C40&amp;D40&amp;RIGHT(F40,1)</f>
        <v>1874</v>
      </c>
      <c r="F40" t="s" s="790">
        <v>1837</v>
      </c>
      <c r="G40" t="s" s="791">
        <f>VLOOKUP(E40,'BDD'!$A$2:$N$567,MATCH(G$24,'BDD'!$A$1:$P$1,0),FALSE)</f>
        <v>434</v>
      </c>
      <c r="H40" s="781"/>
      <c r="I40" t="s" s="792">
        <v>263</v>
      </c>
      <c r="J40" s="782"/>
      <c r="K40" s="782"/>
      <c r="L40" s="793"/>
      <c r="M40" s="794">
        <f>IF(N40="Exigences partiellement respectées",1,IF(N40="Exigences respectées",2,0))</f>
        <v>0</v>
      </c>
      <c r="N40" t="s" s="791">
        <f>VLOOKUP(VLOOKUP(E40,'BDD'!$A$2:$P$428,15,FALSE),'Suppl'!$D$64:$E$68,2,FALSE)</f>
        <v>1751</v>
      </c>
      <c r="O40" s="795"/>
      <c r="P40" s="796"/>
      <c r="Q40" s="796"/>
      <c r="R40" s="796"/>
      <c r="S40" s="797">
        <f>IF(N40='Suppl'!$E$65,0,IF(N40='Suppl'!$E$66,1/2/(_xlfn.COUNTIFS($D1:$D82,D40,$N1:$N82,"Exigences"&amp;"*",G1:G82,"&lt;&gt;0")+_xlfn.COUNTIFS($D1:$D82,D40,$N1:$N82,"Non"&amp;"*",G1:G82,"&lt;&gt;0")),IF(N40='Suppl'!$E$67,1/(_xlfn.COUNTIFS($D1:$D82,D40,$N1:$N82,"Exigences"&amp;"*",G1:G82,"&lt;&gt;0")+_xlfn.COUNTIFS($D1:$D82,D40,$N1:$N82,"Non"&amp;"*",G1:G82,"&lt;&gt;0")),0)))</f>
        <v>0</v>
      </c>
      <c r="T40" s="797"/>
      <c r="U40" s="797"/>
      <c r="V40" s="798"/>
      <c r="W40" s="789">
        <f>_xlfn.IFERROR(IF(N40='Suppl'!$E$65,0,IF(N40='Suppl'!$E$66,1/2/(_xlfn.COUNTIFS($N1:$N82,"Exigences"&amp;"*")+_xlfn.COUNTIFS($N1:$N82,"Non"&amp;"*")),IF(N40='Suppl'!$E$67,1/(_xlfn.COUNTIFS($N1:$N82,"Exigences"&amp;"*")+_xlfn.COUNTIFS($N1:$N82,"Non"&amp;"*")),0))),0)</f>
        <v>0</v>
      </c>
      <c r="X40" s="586"/>
      <c r="Y40" s="586"/>
      <c r="Z40" s="586"/>
      <c r="AA40" s="586"/>
      <c r="AB40" s="586"/>
      <c r="AC40" s="586"/>
      <c r="AD40" s="586"/>
      <c r="AE40" s="586"/>
      <c r="AF40" s="586"/>
      <c r="AG40" s="586"/>
      <c r="AH40" s="505"/>
      <c r="AI40" s="585"/>
    </row>
    <row r="41" ht="30" customHeight="1">
      <c r="A41" s="504"/>
      <c r="B41" s="753"/>
      <c r="C41" t="s" s="754">
        <f>IF(LEFT(RIGHT($B$1,2),1)=" ",RIGHT($B$1,1),RIGHT($B$1,2))</f>
        <v>1854</v>
      </c>
      <c r="D41" s="755">
        <f>IF(LEFT(F41,5)="Bonne",D39+1,D40)</f>
        <v>3</v>
      </c>
      <c r="E41" t="s" s="778">
        <f>C41&amp;D41&amp;RIGHT(F41,1)</f>
        <v>1871</v>
      </c>
      <c r="F41" t="s" s="779">
        <v>1774</v>
      </c>
      <c r="G41" t="s" s="780">
        <f>VLOOKUP(E41,'BDD'!$A$2:$N$567,MATCH(G$24,'BDD'!$A$1:$P$1,0),FALSE)</f>
        <v>437</v>
      </c>
      <c r="H41" s="781"/>
      <c r="I41" s="782"/>
      <c r="J41" t="s" s="792">
        <v>271</v>
      </c>
      <c r="K41" s="782"/>
      <c r="L41" s="793"/>
      <c r="M41" s="794">
        <f>IF(N41="Exigences partiellement respectées",1,IF(N41="Exigences respectées",2,0))</f>
        <v>0</v>
      </c>
      <c r="N41" t="s" s="780">
        <f>VLOOKUP(VLOOKUP(E41,'BDD'!$A$2:$P$428,15,FALSE),'Suppl'!$D$64:$E$68,2,FALSE)</f>
        <v>1751</v>
      </c>
      <c r="O41" s="795"/>
      <c r="P41" s="796"/>
      <c r="Q41" s="796"/>
      <c r="R41" s="796"/>
      <c r="S41" s="797">
        <f>IF(N41='Suppl'!$E$65,0,IF(N41='Suppl'!$E$66,1/2/(_xlfn.COUNTIFS($D1:$D82,D41,$N1:$N82,"Exigences"&amp;"*",G1:G82,"&lt;&gt;0")+_xlfn.COUNTIFS($D1:$D82,D41,$N1:$N82,"Non"&amp;"*",G1:G82,"&lt;&gt;0")),IF(N41='Suppl'!$E$67,1/(_xlfn.COUNTIFS($D1:$D82,D41,$N1:$N82,"Exigences"&amp;"*",G1:G82,"&lt;&gt;0")+_xlfn.COUNTIFS($D1:$D82,D41,$N1:$N82,"Non"&amp;"*",G1:G82,"&lt;&gt;0")),0)))</f>
        <v>0</v>
      </c>
      <c r="T41" s="797"/>
      <c r="U41" s="797"/>
      <c r="V41" s="798"/>
      <c r="W41" s="789">
        <f>_xlfn.IFERROR(IF(N41='Suppl'!$E$65,0,IF(N41='Suppl'!$E$66,1/2/(_xlfn.COUNTIFS($N1:$N82,"Exigences"&amp;"*")+_xlfn.COUNTIFS($N1:$N82,"Non"&amp;"*")),IF(N41='Suppl'!$E$67,1/(_xlfn.COUNTIFS($N1:$N82,"Exigences"&amp;"*")+_xlfn.COUNTIFS($N1:$N82,"Non"&amp;"*")),0))),0)</f>
        <v>0</v>
      </c>
      <c r="X41" s="586"/>
      <c r="Y41" s="586"/>
      <c r="Z41" s="586"/>
      <c r="AA41" s="586"/>
      <c r="AB41" s="586"/>
      <c r="AC41" s="586"/>
      <c r="AD41" s="586"/>
      <c r="AE41" s="586"/>
      <c r="AF41" s="586"/>
      <c r="AG41" s="586"/>
      <c r="AH41" s="505"/>
      <c r="AI41" s="585"/>
    </row>
    <row r="42" ht="30" customHeight="1">
      <c r="A42" s="504"/>
      <c r="B42" s="753"/>
      <c r="C42" t="s" s="754">
        <f>IF(LEFT(RIGHT($B$1,2),1)=" ",RIGHT($B$1,1),RIGHT($B$1,2))</f>
        <v>1854</v>
      </c>
      <c r="D42" s="755">
        <f>IF(LEFT(F42,5)="Bonne",D40+1,D41)</f>
        <v>3</v>
      </c>
      <c r="E42" t="s" s="778">
        <f>C42&amp;D42&amp;RIGHT(F42,1)</f>
        <v>1875</v>
      </c>
      <c r="F42" t="s" s="790">
        <v>1776</v>
      </c>
      <c r="G42" t="s" s="791">
        <f>VLOOKUP(E42,'BDD'!$A$2:$N$567,MATCH(G$24,'BDD'!$A$1:$P$1,0),FALSE)</f>
        <v>440</v>
      </c>
      <c r="H42" t="s" s="799">
        <v>283</v>
      </c>
      <c r="I42" s="782"/>
      <c r="J42" s="782"/>
      <c r="K42" s="782"/>
      <c r="L42" s="793"/>
      <c r="M42" s="800">
        <f>IF(N42="Exigences partiellement respectées",1,IF(N42="Exigences respectées",2,0))</f>
        <v>0</v>
      </c>
      <c r="N42" t="s" s="791">
        <f>VLOOKUP(VLOOKUP(E42,'BDD'!$A$2:$P$428,15,FALSE),'Suppl'!$D$64:$E$68,2,FALSE)</f>
        <v>1751</v>
      </c>
      <c r="O42" s="801"/>
      <c r="P42" s="802"/>
      <c r="Q42" s="802"/>
      <c r="R42" s="802"/>
      <c r="S42" s="803">
        <f>IF(N42='Suppl'!$E$65,0,IF(N42='Suppl'!$E$66,1/2/(_xlfn.COUNTIFS($D1:$D82,D42,$N1:$N82,"Exigences"&amp;"*",G1:G82,"&lt;&gt;0")+_xlfn.COUNTIFS($D1:$D82,D42,$N1:$N82,"Non"&amp;"*",G1:G82,"&lt;&gt;0")),IF(N42='Suppl'!$E$67,1/(_xlfn.COUNTIFS($D1:$D82,D42,$N1:$N82,"Exigences"&amp;"*",G1:G82,"&lt;&gt;0")+_xlfn.COUNTIFS($D1:$D82,D42,$N1:$N82,"Non"&amp;"*",G1:G82,"&lt;&gt;0")),0)))</f>
        <v>0</v>
      </c>
      <c r="T42" s="803"/>
      <c r="U42" s="803"/>
      <c r="V42" s="804"/>
      <c r="W42" s="789">
        <f>_xlfn.IFERROR(IF(N42='Suppl'!$E$65,0,IF(N42='Suppl'!$E$66,1/2/(_xlfn.COUNTIFS($N1:$N82,"Exigences"&amp;"*")+_xlfn.COUNTIFS($N1:$N82,"Non"&amp;"*")),IF(N42='Suppl'!$E$67,1/(_xlfn.COUNTIFS($N1:$N82,"Exigences"&amp;"*")+_xlfn.COUNTIFS($N1:$N82,"Non"&amp;"*")),0))),0)</f>
        <v>0</v>
      </c>
      <c r="X42" s="586"/>
      <c r="Y42" s="586"/>
      <c r="Z42" s="586"/>
      <c r="AA42" s="586"/>
      <c r="AB42" s="586"/>
      <c r="AC42" s="586"/>
      <c r="AD42" s="586"/>
      <c r="AE42" s="586"/>
      <c r="AF42" s="586"/>
      <c r="AG42" s="586"/>
      <c r="AH42" s="505"/>
      <c r="AI42" s="585"/>
    </row>
    <row r="43" ht="30" customHeight="1">
      <c r="A43" s="504"/>
      <c r="B43" s="753"/>
      <c r="C43" t="s" s="754">
        <f>IF(LEFT(RIGHT($B$1,2),1)=" ",RIGHT($B$1,1),RIGHT($B$1,2))</f>
        <v>1854</v>
      </c>
      <c r="D43" s="755">
        <f>IF(LEFT(F43,5)="Bonne",D41+1,D42)</f>
        <v>4</v>
      </c>
      <c r="E43" t="s" s="778">
        <f>C43&amp;D43&amp;RIGHT(F43,1)</f>
        <v>1879</v>
      </c>
      <c r="F43" t="s" s="757">
        <v>1806</v>
      </c>
      <c r="G43" t="s" s="758">
        <f>VLOOKUP(E45,'BDD'!$A$2:$N$567,6,FALSE)</f>
        <v>445</v>
      </c>
      <c r="H43" s="759"/>
      <c r="I43" s="760"/>
      <c r="J43" s="760"/>
      <c r="K43" s="760"/>
      <c r="L43" s="761"/>
      <c r="M43" s="762"/>
      <c r="N43" s="763"/>
      <c r="O43" s="764">
        <v>0</v>
      </c>
      <c r="P43" s="764"/>
      <c r="Q43" s="764"/>
      <c r="R43" s="764"/>
      <c r="S43" s="765">
        <f>_xlfn.SUMIFS(S1:S82,$D1:$D82,D43,$N1:$N82,"Exigences"&amp;"*")</f>
      </c>
      <c r="T43" s="765"/>
      <c r="U43" s="765"/>
      <c r="V43" s="766"/>
      <c r="W43" s="789">
        <f>_xlfn.IFERROR(IF(N43='Suppl'!$E$65,0,IF(N43='Suppl'!$E$66,1/2/(_xlfn.COUNTIFS($N1:$N82,"Exigences"&amp;"*")+_xlfn.COUNTIFS($N1:$N82,"Non"&amp;"*")),IF(N43='Suppl'!$E$67,1/(_xlfn.COUNTIFS($N1:$N82,"Exigences"&amp;"*")+_xlfn.COUNTIFS($N1:$N82,"Non"&amp;"*")),0))),0)</f>
        <v>0</v>
      </c>
      <c r="X43" s="586"/>
      <c r="Y43" s="586"/>
      <c r="Z43" s="586"/>
      <c r="AA43" s="586"/>
      <c r="AB43" s="586"/>
      <c r="AC43" s="586"/>
      <c r="AD43" s="586"/>
      <c r="AE43" s="586"/>
      <c r="AF43" s="586"/>
      <c r="AG43" s="586"/>
      <c r="AH43" s="505"/>
      <c r="AI43" s="585"/>
    </row>
    <row r="44" ht="30" customHeight="1">
      <c r="A44" s="504"/>
      <c r="B44" s="753"/>
      <c r="C44" t="s" s="754">
        <f>IF(LEFT(RIGHT($B$1,2),1)=" ",RIGHT($B$1,1),RIGHT($B$1,2))</f>
        <v>1854</v>
      </c>
      <c r="D44" s="755">
        <f>IF(LEFT(F44,5)="Bonne",D42+1,D43)</f>
        <v>4</v>
      </c>
      <c r="E44" t="s" s="778">
        <f>C44&amp;D44&amp;RIGHT(F44,1)</f>
        <v>1881</v>
      </c>
      <c r="F44" t="s" s="769">
        <v>1835</v>
      </c>
      <c r="G44" t="s" s="770">
        <f>VLOOKUP(E46,'BDD'!$A$2:$N$567,7,FALSE)</f>
        <v>1899</v>
      </c>
      <c r="H44" s="771"/>
      <c r="I44" s="771"/>
      <c r="J44" s="771"/>
      <c r="K44" s="771"/>
      <c r="L44" s="772"/>
      <c r="M44" s="773"/>
      <c r="N44" s="774"/>
      <c r="O44" s="775"/>
      <c r="P44" s="775"/>
      <c r="Q44" s="775"/>
      <c r="R44" s="775"/>
      <c r="S44" s="776"/>
      <c r="T44" s="776"/>
      <c r="U44" s="776"/>
      <c r="V44" s="777"/>
      <c r="W44" s="789">
        <f>_xlfn.IFERROR(IF(N44='Suppl'!$E$65,0,IF(N44='Suppl'!$E$66,1/2/(_xlfn.COUNTIFS($N1:$N82,"Exigences"&amp;"*")+_xlfn.COUNTIFS($N1:$N82,"Non"&amp;"*")),IF(N44='Suppl'!$E$67,1/(_xlfn.COUNTIFS($N1:$N82,"Exigences"&amp;"*")+_xlfn.COUNTIFS($N1:$N82,"Non"&amp;"*")),0))),0)</f>
        <v>0</v>
      </c>
      <c r="X44" s="586"/>
      <c r="Y44" s="586"/>
      <c r="Z44" s="586"/>
      <c r="AA44" s="586"/>
      <c r="AB44" s="586"/>
      <c r="AC44" s="586"/>
      <c r="AD44" s="586"/>
      <c r="AE44" s="586"/>
      <c r="AF44" s="586"/>
      <c r="AG44" s="586"/>
      <c r="AH44" s="505"/>
      <c r="AI44" s="585"/>
    </row>
    <row r="45" ht="43.8" customHeight="1">
      <c r="A45" s="504"/>
      <c r="B45" s="753"/>
      <c r="C45" t="s" s="754">
        <f>IF(LEFT(RIGHT($B$1,2),1)=" ",RIGHT($B$1,1),RIGHT($B$1,2))</f>
        <v>1854</v>
      </c>
      <c r="D45" s="755">
        <f>IF(LEFT(F45,5)="Bonne",D43+1,D44)</f>
        <v>4</v>
      </c>
      <c r="E45" t="s" s="778">
        <f>C45&amp;D45&amp;RIGHT(F45,1)</f>
        <v>1881</v>
      </c>
      <c r="F45" t="s" s="779">
        <v>1769</v>
      </c>
      <c r="G45" t="s" s="780">
        <f>VLOOKUP(E45,'BDD'!$A$2:$N$567,MATCH(G$24,'BDD'!$A$1:$P$1,0),FALSE)</f>
        <v>448</v>
      </c>
      <c r="H45" s="781"/>
      <c r="I45" t="s" s="792">
        <v>263</v>
      </c>
      <c r="J45" s="782"/>
      <c r="K45" s="782"/>
      <c r="L45" s="793"/>
      <c r="M45" s="784">
        <f>IF(N45="Exigences partiellement respectées",1,IF(N45="Exigences respectées",2,0))</f>
        <v>0</v>
      </c>
      <c r="N45" t="s" s="780">
        <f>VLOOKUP(VLOOKUP(E45,'BDD'!$A$2:$P$428,15,FALSE),'Suppl'!$D$64:$E$68,2,FALSE)</f>
        <v>1751</v>
      </c>
      <c r="O45" s="785"/>
      <c r="P45" s="786"/>
      <c r="Q45" s="786"/>
      <c r="R45" s="786"/>
      <c r="S45" s="787">
        <f>IF(N45='Suppl'!$E$65,0,IF(N45='Suppl'!$E$66,1/2/(_xlfn.COUNTIFS($D1:$D82,D45,$N1:$N82,"Exigences"&amp;"*",G1:G82,"&lt;&gt;0")+_xlfn.COUNTIFS($D1:$D82,D45,$N1:$N82,"Non"&amp;"*",G1:G82,"&lt;&gt;0")),IF(N45='Suppl'!$E$67,1/(_xlfn.COUNTIFS($D1:$D82,D45,$N1:$N82,"Exigences"&amp;"*",G1:G82,"&lt;&gt;0")+_xlfn.COUNTIFS($D1:$D82,D45,$N1:$N82,"Non"&amp;"*",G1:G82,"&lt;&gt;0")),0)))</f>
        <v>0</v>
      </c>
      <c r="T45" s="787"/>
      <c r="U45" s="787"/>
      <c r="V45" s="788"/>
      <c r="W45" s="789">
        <f>_xlfn.IFERROR(IF(N45='Suppl'!$E$65,0,IF(N45='Suppl'!$E$66,1/2/(_xlfn.COUNTIFS($N1:$N82,"Exigences"&amp;"*")+_xlfn.COUNTIFS($N1:$N82,"Non"&amp;"*")),IF(N45='Suppl'!$E$67,1/(_xlfn.COUNTIFS($N1:$N82,"Exigences"&amp;"*")+_xlfn.COUNTIFS($N1:$N82,"Non"&amp;"*")),0))),0)</f>
        <v>0</v>
      </c>
      <c r="X45" s="586"/>
      <c r="Y45" s="586"/>
      <c r="Z45" s="586"/>
      <c r="AA45" s="586"/>
      <c r="AB45" s="586"/>
      <c r="AC45" s="586"/>
      <c r="AD45" s="586"/>
      <c r="AE45" s="586"/>
      <c r="AF45" s="586"/>
      <c r="AG45" s="586"/>
      <c r="AH45" s="505"/>
      <c r="AI45" s="585"/>
    </row>
    <row r="46" ht="30" customHeight="1">
      <c r="A46" s="504"/>
      <c r="B46" s="753"/>
      <c r="C46" t="s" s="754">
        <f>IF(LEFT(RIGHT($B$1,2),1)=" ",RIGHT($B$1,1),RIGHT($B$1,2))</f>
        <v>1854</v>
      </c>
      <c r="D46" s="755">
        <f>IF(LEFT(F46,5)="Bonne",D44+1,D45)</f>
        <v>4</v>
      </c>
      <c r="E46" t="s" s="778">
        <f>C46&amp;D46&amp;RIGHT(F46,1)</f>
        <v>1882</v>
      </c>
      <c r="F46" t="s" s="790">
        <v>1837</v>
      </c>
      <c r="G46" t="s" s="791">
        <f>VLOOKUP(E46,'BDD'!$A$2:$N$567,MATCH(G$24,'BDD'!$A$1:$P$1,0),FALSE)</f>
        <v>451</v>
      </c>
      <c r="H46" s="781"/>
      <c r="I46" s="782"/>
      <c r="J46" t="s" s="792">
        <v>271</v>
      </c>
      <c r="K46" s="782"/>
      <c r="L46" s="793"/>
      <c r="M46" s="794">
        <f>IF(N46="Exigences partiellement respectées",1,IF(N46="Exigences respectées",2,0))</f>
        <v>0</v>
      </c>
      <c r="N46" t="s" s="791">
        <f>VLOOKUP(VLOOKUP(E46,'BDD'!$A$2:$P$428,15,FALSE),'Suppl'!$D$64:$E$68,2,FALSE)</f>
        <v>1751</v>
      </c>
      <c r="O46" s="795"/>
      <c r="P46" s="796"/>
      <c r="Q46" s="796"/>
      <c r="R46" s="796"/>
      <c r="S46" s="797">
        <f>IF(N46='Suppl'!$E$65,0,IF(N46='Suppl'!$E$66,1/2/(_xlfn.COUNTIFS($D1:$D82,D46,$N1:$N82,"Exigences"&amp;"*",G1:G82,"&lt;&gt;0")+_xlfn.COUNTIFS($D1:$D82,D46,$N1:$N82,"Non"&amp;"*",G1:G82,"&lt;&gt;0")),IF(N46='Suppl'!$E$67,1/(_xlfn.COUNTIFS($D1:$D82,D46,$N1:$N82,"Exigences"&amp;"*",G1:G82,"&lt;&gt;0")+_xlfn.COUNTIFS($D1:$D82,D46,$N1:$N82,"Non"&amp;"*",G1:G82,"&lt;&gt;0")),0)))</f>
        <v>0</v>
      </c>
      <c r="T46" s="797"/>
      <c r="U46" s="797"/>
      <c r="V46" s="798"/>
      <c r="W46" s="789">
        <f>_xlfn.IFERROR(IF(N46='Suppl'!$E$65,0,IF(N46='Suppl'!$E$66,1/2/(_xlfn.COUNTIFS($N1:$N82,"Exigences"&amp;"*")+_xlfn.COUNTIFS($N1:$N82,"Non"&amp;"*")),IF(N46='Suppl'!$E$67,1/(_xlfn.COUNTIFS($N1:$N82,"Exigences"&amp;"*")+_xlfn.COUNTIFS($N1:$N82,"Non"&amp;"*")),0))),0)</f>
        <v>0</v>
      </c>
      <c r="X46" s="586"/>
      <c r="Y46" s="586"/>
      <c r="Z46" s="586"/>
      <c r="AA46" s="586"/>
      <c r="AB46" s="586"/>
      <c r="AC46" s="586"/>
      <c r="AD46" s="586"/>
      <c r="AE46" s="586"/>
      <c r="AF46" s="586"/>
      <c r="AG46" s="586"/>
      <c r="AH46" s="505"/>
      <c r="AI46" s="585"/>
    </row>
    <row r="47" ht="30" customHeight="1">
      <c r="A47" s="504"/>
      <c r="B47" s="753"/>
      <c r="C47" t="s" s="754">
        <f>IF(LEFT(RIGHT($B$1,2),1)=" ",RIGHT($B$1,1),RIGHT($B$1,2))</f>
        <v>1854</v>
      </c>
      <c r="D47" s="755">
        <f>IF(LEFT(F47,5)="Bonne",D45+1,D46)</f>
        <v>4</v>
      </c>
      <c r="E47" t="s" s="778">
        <f>C47&amp;D47&amp;RIGHT(F47,1)</f>
        <v>1883</v>
      </c>
      <c r="F47" t="s" s="779">
        <v>1774</v>
      </c>
      <c r="G47" t="s" s="780">
        <f>VLOOKUP(E47,'BDD'!$A$2:$N$567,MATCH(G$24,'BDD'!$A$1:$P$1,0),FALSE)</f>
        <v>454</v>
      </c>
      <c r="H47" s="781"/>
      <c r="I47" s="782"/>
      <c r="J47" s="782"/>
      <c r="K47" t="s" s="792">
        <v>291</v>
      </c>
      <c r="L47" s="793"/>
      <c r="M47" s="794">
        <f>IF(N47="Exigences partiellement respectées",1,IF(N47="Exigences respectées",2,0))</f>
        <v>0</v>
      </c>
      <c r="N47" t="s" s="780">
        <f>VLOOKUP(VLOOKUP(E47,'BDD'!$A$2:$P$428,15,FALSE),'Suppl'!$D$64:$E$68,2,FALSE)</f>
        <v>1751</v>
      </c>
      <c r="O47" s="795"/>
      <c r="P47" s="796"/>
      <c r="Q47" s="796"/>
      <c r="R47" s="796"/>
      <c r="S47" s="797">
        <f>IF(N47='Suppl'!$E$65,0,IF(N47='Suppl'!$E$66,1/2/(_xlfn.COUNTIFS($D1:$D82,D47,$N1:$N82,"Exigences"&amp;"*",G1:G82,"&lt;&gt;0")+_xlfn.COUNTIFS($D1:$D82,D47,$N1:$N82,"Non"&amp;"*",G1:G82,"&lt;&gt;0")),IF(N47='Suppl'!$E$67,1/(_xlfn.COUNTIFS($D1:$D82,D47,$N1:$N82,"Exigences"&amp;"*",G1:G82,"&lt;&gt;0")+_xlfn.COUNTIFS($D1:$D82,D47,$N1:$N82,"Non"&amp;"*",G1:G82,"&lt;&gt;0")),0)))</f>
        <v>0</v>
      </c>
      <c r="T47" s="797"/>
      <c r="U47" s="797"/>
      <c r="V47" s="798"/>
      <c r="W47" s="789">
        <f>_xlfn.IFERROR(IF(N47='Suppl'!$E$65,0,IF(N47='Suppl'!$E$66,1/2/(_xlfn.COUNTIFS($N1:$N82,"Exigences"&amp;"*")+_xlfn.COUNTIFS($N1:$N82,"Non"&amp;"*")),IF(N47='Suppl'!$E$67,1/(_xlfn.COUNTIFS($N1:$N82,"Exigences"&amp;"*")+_xlfn.COUNTIFS($N1:$N82,"Non"&amp;"*")),0))),0)</f>
        <v>0</v>
      </c>
      <c r="X47" s="586"/>
      <c r="Y47" s="586"/>
      <c r="Z47" s="586"/>
      <c r="AA47" s="586"/>
      <c r="AB47" s="586"/>
      <c r="AC47" s="586"/>
      <c r="AD47" s="586"/>
      <c r="AE47" s="586"/>
      <c r="AF47" s="586"/>
      <c r="AG47" s="586"/>
      <c r="AH47" s="505"/>
      <c r="AI47" s="585"/>
    </row>
    <row r="48" ht="30" customHeight="1">
      <c r="A48" s="504"/>
      <c r="B48" s="753"/>
      <c r="C48" t="s" s="754">
        <f>IF(LEFT(RIGHT($B$1,2),1)=" ",RIGHT($B$1,1),RIGHT($B$1,2))</f>
        <v>1854</v>
      </c>
      <c r="D48" s="755">
        <f>IF(LEFT(F48,5)="Bonne",D46+1,D47)</f>
        <v>4</v>
      </c>
      <c r="E48" t="s" s="778">
        <f>C48&amp;D48&amp;RIGHT(F48,1)</f>
        <v>1879</v>
      </c>
      <c r="F48" t="s" s="790">
        <v>1776</v>
      </c>
      <c r="G48" t="s" s="791">
        <f>VLOOKUP(E48,'BDD'!$A$2:$N$567,MATCH(G$24,'BDD'!$A$1:$P$1,0),FALSE)</f>
        <v>456</v>
      </c>
      <c r="H48" s="781"/>
      <c r="I48" s="782"/>
      <c r="J48" t="s" s="792">
        <v>271</v>
      </c>
      <c r="K48" s="782"/>
      <c r="L48" s="793"/>
      <c r="M48" s="800">
        <f>IF(N48="Exigences partiellement respectées",1,IF(N48="Exigences respectées",2,0))</f>
        <v>0</v>
      </c>
      <c r="N48" t="s" s="791">
        <f>VLOOKUP(VLOOKUP(E48,'BDD'!$A$2:$P$428,15,FALSE),'Suppl'!$D$64:$E$68,2,FALSE)</f>
        <v>1751</v>
      </c>
      <c r="O48" s="801"/>
      <c r="P48" s="802"/>
      <c r="Q48" s="802"/>
      <c r="R48" s="802"/>
      <c r="S48" s="803">
        <f>IF(N48='Suppl'!$E$65,0,IF(N48='Suppl'!$E$66,1/2/(_xlfn.COUNTIFS($D1:$D82,D48,$N1:$N82,"Exigences"&amp;"*",G1:G82,"&lt;&gt;0")+_xlfn.COUNTIFS($D1:$D82,D48,$N1:$N82,"Non"&amp;"*",G1:G82,"&lt;&gt;0")),IF(N48='Suppl'!$E$67,1/(_xlfn.COUNTIFS($D1:$D82,D48,$N1:$N82,"Exigences"&amp;"*",G1:G82,"&lt;&gt;0")+_xlfn.COUNTIFS($D1:$D82,D48,$N1:$N82,"Non"&amp;"*",G1:G82,"&lt;&gt;0")),0)))</f>
        <v>0</v>
      </c>
      <c r="T48" s="803"/>
      <c r="U48" s="803"/>
      <c r="V48" s="804"/>
      <c r="W48" s="789">
        <f>_xlfn.IFERROR(IF(N48='Suppl'!$E$65,0,IF(N48='Suppl'!$E$66,1/2/(_xlfn.COUNTIFS($N1:$N82,"Exigences"&amp;"*")+_xlfn.COUNTIFS($N1:$N82,"Non"&amp;"*")),IF(N48='Suppl'!$E$67,1/(_xlfn.COUNTIFS($N1:$N82,"Exigences"&amp;"*")+_xlfn.COUNTIFS($N1:$N82,"Non"&amp;"*")),0))),0)</f>
        <v>0</v>
      </c>
      <c r="X48" s="586"/>
      <c r="Y48" s="586"/>
      <c r="Z48" s="586"/>
      <c r="AA48" s="586"/>
      <c r="AB48" s="586"/>
      <c r="AC48" s="586"/>
      <c r="AD48" s="586"/>
      <c r="AE48" s="586"/>
      <c r="AF48" s="586"/>
      <c r="AG48" s="586"/>
      <c r="AH48" s="505"/>
      <c r="AI48" s="585"/>
    </row>
    <row r="49" ht="30" customHeight="1">
      <c r="A49" s="504"/>
      <c r="B49" s="753"/>
      <c r="C49" t="s" s="754">
        <f>IF(LEFT(RIGHT($B$1,2),1)=" ",RIGHT($B$1,1),RIGHT($B$1,2))</f>
        <v>1854</v>
      </c>
      <c r="D49" s="755">
        <f>IF(LEFT(F49,5)="Bonne",D47+1,D48)</f>
        <v>5</v>
      </c>
      <c r="E49" t="s" s="778">
        <f>C49&amp;D49&amp;RIGHT(F49,1)</f>
        <v>1900</v>
      </c>
      <c r="F49" t="s" s="757">
        <v>1814</v>
      </c>
      <c r="G49" t="s" s="758">
        <f>VLOOKUP(E51,'BDD'!$A$2:$N$567,6,FALSE)</f>
        <v>462</v>
      </c>
      <c r="H49" s="759"/>
      <c r="I49" s="760"/>
      <c r="J49" s="760"/>
      <c r="K49" s="760"/>
      <c r="L49" s="761"/>
      <c r="M49" s="762"/>
      <c r="N49" s="763"/>
      <c r="O49" s="764">
        <v>0</v>
      </c>
      <c r="P49" s="764"/>
      <c r="Q49" s="764"/>
      <c r="R49" s="764"/>
      <c r="S49" s="765">
        <f>_xlfn.SUMIFS(S1:S82,$D1:$D82,D49,$N1:$N82,"Exigences"&amp;"*")</f>
      </c>
      <c r="T49" s="765"/>
      <c r="U49" s="765"/>
      <c r="V49" s="766"/>
      <c r="W49" s="789">
        <f>_xlfn.IFERROR(IF(N49='Suppl'!$E$65,0,IF(N49='Suppl'!$E$66,1/2/(_xlfn.COUNTIFS($N1:$N82,"Exigences"&amp;"*")+_xlfn.COUNTIFS($N1:$N82,"Non"&amp;"*")),IF(N49='Suppl'!$E$67,1/(_xlfn.COUNTIFS($N1:$N82,"Exigences"&amp;"*")+_xlfn.COUNTIFS($N1:$N82,"Non"&amp;"*")),0))),0)</f>
        <v>0</v>
      </c>
      <c r="X49" s="586"/>
      <c r="Y49" s="586"/>
      <c r="Z49" s="586"/>
      <c r="AA49" s="586"/>
      <c r="AB49" s="586"/>
      <c r="AC49" s="586"/>
      <c r="AD49" s="586"/>
      <c r="AE49" s="586"/>
      <c r="AF49" s="586"/>
      <c r="AG49" s="586"/>
      <c r="AH49" s="505"/>
      <c r="AI49" s="585"/>
    </row>
    <row r="50" ht="30" customHeight="1">
      <c r="A50" s="504"/>
      <c r="B50" s="753"/>
      <c r="C50" t="s" s="754">
        <f>IF(LEFT(RIGHT($B$1,2),1)=" ",RIGHT($B$1,1),RIGHT($B$1,2))</f>
        <v>1854</v>
      </c>
      <c r="D50" s="755">
        <f>IF(LEFT(F50,5)="Bonne",D48+1,D49)</f>
        <v>5</v>
      </c>
      <c r="E50" t="s" s="778">
        <f>C50&amp;D50&amp;RIGHT(F50,1)</f>
        <v>1901</v>
      </c>
      <c r="F50" t="s" s="769">
        <v>1835</v>
      </c>
      <c r="G50" t="s" s="770">
        <f>VLOOKUP(E52,'BDD'!$A$2:$N$567,7,FALSE)</f>
        <v>1902</v>
      </c>
      <c r="H50" s="771"/>
      <c r="I50" s="771"/>
      <c r="J50" s="771"/>
      <c r="K50" s="771"/>
      <c r="L50" s="772"/>
      <c r="M50" s="773"/>
      <c r="N50" s="774"/>
      <c r="O50" s="775"/>
      <c r="P50" s="775"/>
      <c r="Q50" s="775"/>
      <c r="R50" s="775"/>
      <c r="S50" s="776"/>
      <c r="T50" s="776"/>
      <c r="U50" s="776"/>
      <c r="V50" s="777"/>
      <c r="W50" s="789">
        <f>_xlfn.IFERROR(IF(N50='Suppl'!$E$65,0,IF(N50='Suppl'!$E$66,1/2/(_xlfn.COUNTIFS($N1:$N82,"Exigences"&amp;"*")+_xlfn.COUNTIFS($N1:$N82,"Non"&amp;"*")),IF(N50='Suppl'!$E$67,1/(_xlfn.COUNTIFS($N1:$N82,"Exigences"&amp;"*")+_xlfn.COUNTIFS($N1:$N82,"Non"&amp;"*")),0))),0)</f>
        <v>0</v>
      </c>
      <c r="X50" s="586"/>
      <c r="Y50" s="586"/>
      <c r="Z50" s="586"/>
      <c r="AA50" s="586"/>
      <c r="AB50" s="586"/>
      <c r="AC50" s="586"/>
      <c r="AD50" s="586"/>
      <c r="AE50" s="586"/>
      <c r="AF50" s="586"/>
      <c r="AG50" s="586"/>
      <c r="AH50" s="505"/>
      <c r="AI50" s="585"/>
    </row>
    <row r="51" ht="30" customHeight="1">
      <c r="A51" s="504"/>
      <c r="B51" s="753"/>
      <c r="C51" t="s" s="754">
        <f>IF(LEFT(RIGHT($B$1,2),1)=" ",RIGHT($B$1,1),RIGHT($B$1,2))</f>
        <v>1854</v>
      </c>
      <c r="D51" s="755">
        <f>IF(LEFT(F51,5)="Bonne",D49+1,D50)</f>
        <v>5</v>
      </c>
      <c r="E51" t="s" s="778">
        <f>C51&amp;D51&amp;RIGHT(F51,1)</f>
        <v>1901</v>
      </c>
      <c r="F51" t="s" s="779">
        <v>1769</v>
      </c>
      <c r="G51" t="s" s="780">
        <f>VLOOKUP(E51,'BDD'!$A$2:$N$567,MATCH(G$24,'BDD'!$A$1:$P$1,0),FALSE)</f>
        <v>465</v>
      </c>
      <c r="H51" s="781"/>
      <c r="I51" t="s" s="792">
        <v>263</v>
      </c>
      <c r="J51" s="782"/>
      <c r="K51" s="782"/>
      <c r="L51" s="793"/>
      <c r="M51" s="784">
        <f>IF(N51="Exigences partiellement respectées",1,IF(N51="Exigences respectées",2,0))</f>
        <v>0</v>
      </c>
      <c r="N51" t="s" s="780">
        <f>VLOOKUP(VLOOKUP(E51,'BDD'!$A$2:$P$428,15,FALSE),'Suppl'!$D$64:$E$68,2,FALSE)</f>
        <v>1751</v>
      </c>
      <c r="O51" s="785"/>
      <c r="P51" s="786"/>
      <c r="Q51" s="786"/>
      <c r="R51" s="786"/>
      <c r="S51" s="787">
        <f>IF(N51='Suppl'!$E$65,0,IF(N51='Suppl'!$E$66,1/2/(_xlfn.COUNTIFS($D1:$D82,D51,$N1:$N82,"Exigences"&amp;"*",G1:G82,"&lt;&gt;0")+_xlfn.COUNTIFS($D1:$D82,D51,$N1:$N82,"Non"&amp;"*",G1:G82,"&lt;&gt;0")),IF(N51='Suppl'!$E$67,1/(_xlfn.COUNTIFS($D1:$D82,D51,$N1:$N82,"Exigences"&amp;"*",G1:G82,"&lt;&gt;0")+_xlfn.COUNTIFS($D1:$D82,D51,$N1:$N82,"Non"&amp;"*",G1:G82,"&lt;&gt;0")),0)))</f>
        <v>0</v>
      </c>
      <c r="T51" s="787"/>
      <c r="U51" s="787"/>
      <c r="V51" s="788"/>
      <c r="W51" s="789">
        <f>_xlfn.IFERROR(IF(N51='Suppl'!$E$65,0,IF(N51='Suppl'!$E$66,1/2/(_xlfn.COUNTIFS($N1:$N82,"Exigences"&amp;"*")+_xlfn.COUNTIFS($N1:$N82,"Non"&amp;"*")),IF(N51='Suppl'!$E$67,1/(_xlfn.COUNTIFS($N1:$N82,"Exigences"&amp;"*")+_xlfn.COUNTIFS($N1:$N82,"Non"&amp;"*")),0))),0)</f>
        <v>0</v>
      </c>
      <c r="X51" s="586"/>
      <c r="Y51" s="586"/>
      <c r="Z51" s="586"/>
      <c r="AA51" s="586"/>
      <c r="AB51" s="586"/>
      <c r="AC51" s="586"/>
      <c r="AD51" s="586"/>
      <c r="AE51" s="586"/>
      <c r="AF51" s="586"/>
      <c r="AG51" s="586"/>
      <c r="AH51" s="505"/>
      <c r="AI51" s="585"/>
    </row>
    <row r="52" ht="30" customHeight="1">
      <c r="A52" s="504"/>
      <c r="B52" s="753"/>
      <c r="C52" t="s" s="754">
        <f>IF(LEFT(RIGHT($B$1,2),1)=" ",RIGHT($B$1,1),RIGHT($B$1,2))</f>
        <v>1854</v>
      </c>
      <c r="D52" s="755">
        <f>IF(LEFT(F52,5)="Bonne",D50+1,D51)</f>
        <v>5</v>
      </c>
      <c r="E52" t="s" s="778">
        <f>C52&amp;D52&amp;RIGHT(F52,1)</f>
        <v>1903</v>
      </c>
      <c r="F52" t="s" s="790">
        <v>1837</v>
      </c>
      <c r="G52" t="s" s="791">
        <f>VLOOKUP(E52,'BDD'!$A$2:$N$567,MATCH(G$24,'BDD'!$A$1:$P$1,0),FALSE)</f>
        <v>468</v>
      </c>
      <c r="H52" s="781"/>
      <c r="I52" s="782"/>
      <c r="J52" s="782"/>
      <c r="K52" t="s" s="792">
        <v>291</v>
      </c>
      <c r="L52" s="793"/>
      <c r="M52" s="794">
        <f>IF(N52="Exigences partiellement respectées",1,IF(N52="Exigences respectées",2,0))</f>
        <v>0</v>
      </c>
      <c r="N52" t="s" s="791">
        <f>VLOOKUP(VLOOKUP(E52,'BDD'!$A$2:$P$428,15,FALSE),'Suppl'!$D$64:$E$68,2,FALSE)</f>
        <v>1751</v>
      </c>
      <c r="O52" s="795"/>
      <c r="P52" s="796"/>
      <c r="Q52" s="796"/>
      <c r="R52" s="796"/>
      <c r="S52" s="797">
        <f>IF(N52='Suppl'!$E$65,0,IF(N52='Suppl'!$E$66,1/2/(_xlfn.COUNTIFS($D1:$D82,D52,$N1:$N82,"Exigences"&amp;"*",G1:G82,"&lt;&gt;0")+_xlfn.COUNTIFS($D1:$D82,D52,$N1:$N82,"Non"&amp;"*",G1:G82,"&lt;&gt;0")),IF(N52='Suppl'!$E$67,1/(_xlfn.COUNTIFS($D1:$D82,D52,$N1:$N82,"Exigences"&amp;"*",G1:G82,"&lt;&gt;0")+_xlfn.COUNTIFS($D1:$D82,D52,$N1:$N82,"Non"&amp;"*",G1:G82,"&lt;&gt;0")),0)))</f>
        <v>0</v>
      </c>
      <c r="T52" s="797"/>
      <c r="U52" s="797"/>
      <c r="V52" s="798"/>
      <c r="W52" s="789">
        <f>_xlfn.IFERROR(IF(N52='Suppl'!$E$65,0,IF(N52='Suppl'!$E$66,1/2/(_xlfn.COUNTIFS($N1:$N82,"Exigences"&amp;"*")+_xlfn.COUNTIFS($N1:$N82,"Non"&amp;"*")),IF(N52='Suppl'!$E$67,1/(_xlfn.COUNTIFS($N1:$N82,"Exigences"&amp;"*")+_xlfn.COUNTIFS($N1:$N82,"Non"&amp;"*")),0))),0)</f>
        <v>0</v>
      </c>
      <c r="X52" s="586"/>
      <c r="Y52" s="586"/>
      <c r="Z52" s="586"/>
      <c r="AA52" s="586"/>
      <c r="AB52" s="586"/>
      <c r="AC52" s="586"/>
      <c r="AD52" s="586"/>
      <c r="AE52" s="586"/>
      <c r="AF52" s="586"/>
      <c r="AG52" s="586"/>
      <c r="AH52" s="505"/>
      <c r="AI52" s="585"/>
    </row>
    <row r="53" ht="30" customHeight="1">
      <c r="A53" s="504"/>
      <c r="B53" s="753"/>
      <c r="C53" t="s" s="754">
        <f>IF(LEFT(RIGHT($B$1,2),1)=" ",RIGHT($B$1,1),RIGHT($B$1,2))</f>
        <v>1854</v>
      </c>
      <c r="D53" s="755">
        <f>IF(LEFT(F53,5)="Bonne",D51+1,D52)</f>
        <v>5</v>
      </c>
      <c r="E53" t="s" s="778">
        <f>C53&amp;D53&amp;RIGHT(F53,1)</f>
        <v>1904</v>
      </c>
      <c r="F53" t="s" s="779">
        <v>1774</v>
      </c>
      <c r="G53" t="s" s="780">
        <f>VLOOKUP(E53,'BDD'!$A$2:$N$567,MATCH(G$24,'BDD'!$A$1:$P$1,0),FALSE)</f>
        <v>470</v>
      </c>
      <c r="H53" s="781"/>
      <c r="I53" s="782"/>
      <c r="J53" t="s" s="792">
        <v>271</v>
      </c>
      <c r="K53" s="782"/>
      <c r="L53" s="793"/>
      <c r="M53" s="794">
        <f>IF(N53="Exigences partiellement respectées",1,IF(N53="Exigences respectées",2,0))</f>
        <v>0</v>
      </c>
      <c r="N53" t="s" s="780">
        <f>VLOOKUP(VLOOKUP(E53,'BDD'!$A$2:$P$428,15,FALSE),'Suppl'!$D$64:$E$68,2,FALSE)</f>
        <v>1751</v>
      </c>
      <c r="O53" s="795"/>
      <c r="P53" s="796"/>
      <c r="Q53" s="796"/>
      <c r="R53" s="796"/>
      <c r="S53" s="797">
        <f>IF(N53='Suppl'!$E$65,0,IF(N53='Suppl'!$E$66,1/2/(_xlfn.COUNTIFS($D1:$D82,D53,$N1:$N82,"Exigences"&amp;"*",G1:G82,"&lt;&gt;0")+_xlfn.COUNTIFS($D1:$D82,D53,$N1:$N82,"Non"&amp;"*",G1:G82,"&lt;&gt;0")),IF(N53='Suppl'!$E$67,1/(_xlfn.COUNTIFS($D1:$D82,D53,$N1:$N82,"Exigences"&amp;"*",G1:G82,"&lt;&gt;0")+_xlfn.COUNTIFS($D1:$D82,D53,$N1:$N82,"Non"&amp;"*",G1:G82,"&lt;&gt;0")),0)))</f>
        <v>0</v>
      </c>
      <c r="T53" s="797"/>
      <c r="U53" s="797"/>
      <c r="V53" s="798"/>
      <c r="W53" s="789">
        <f>_xlfn.IFERROR(IF(N53='Suppl'!$E$65,0,IF(N53='Suppl'!$E$66,1/2/(_xlfn.COUNTIFS($N1:$N82,"Exigences"&amp;"*")+_xlfn.COUNTIFS($N1:$N82,"Non"&amp;"*")),IF(N53='Suppl'!$E$67,1/(_xlfn.COUNTIFS($N1:$N82,"Exigences"&amp;"*")+_xlfn.COUNTIFS($N1:$N82,"Non"&amp;"*")),0))),0)</f>
        <v>0</v>
      </c>
      <c r="X53" s="586"/>
      <c r="Y53" s="586"/>
      <c r="Z53" s="586"/>
      <c r="AA53" s="586"/>
      <c r="AB53" s="586"/>
      <c r="AC53" s="586"/>
      <c r="AD53" s="586"/>
      <c r="AE53" s="586"/>
      <c r="AF53" s="586"/>
      <c r="AG53" s="586"/>
      <c r="AH53" s="505"/>
      <c r="AI53" s="585"/>
    </row>
    <row r="54" ht="30" customHeight="1">
      <c r="A54" s="504"/>
      <c r="B54" s="753"/>
      <c r="C54" t="s" s="754">
        <f>IF(LEFT(RIGHT($B$1,2),1)=" ",RIGHT($B$1,1),RIGHT($B$1,2))</f>
        <v>1854</v>
      </c>
      <c r="D54" s="755">
        <f>IF(LEFT(F54,5)="Bonne",D52+1,D53)</f>
        <v>5</v>
      </c>
      <c r="E54" t="s" s="778">
        <f>C54&amp;D54&amp;RIGHT(F54,1)</f>
        <v>1905</v>
      </c>
      <c r="F54" t="s" s="790">
        <v>1776</v>
      </c>
      <c r="G54" t="s" s="791">
        <f>VLOOKUP(E54,'BDD'!$A$2:$N$567,MATCH(G$24,'BDD'!$A$1:$P$1,0),FALSE)</f>
        <v>472</v>
      </c>
      <c r="H54" s="781"/>
      <c r="I54" s="782"/>
      <c r="J54" s="782"/>
      <c r="K54" s="782"/>
      <c r="L54" t="s" s="783">
        <v>256</v>
      </c>
      <c r="M54" s="800">
        <f>IF(N54="Exigences partiellement respectées",1,IF(N54="Exigences respectées",2,0))</f>
        <v>0</v>
      </c>
      <c r="N54" t="s" s="791">
        <f>VLOOKUP(VLOOKUP(E54,'BDD'!$A$2:$P$428,15,FALSE),'Suppl'!$D$64:$E$68,2,FALSE)</f>
        <v>1751</v>
      </c>
      <c r="O54" s="801"/>
      <c r="P54" s="802"/>
      <c r="Q54" s="802"/>
      <c r="R54" s="802"/>
      <c r="S54" s="803">
        <f>IF(N54='Suppl'!$E$65,0,IF(N54='Suppl'!$E$66,1/2/(_xlfn.COUNTIFS($D1:$D82,D54,$N1:$N82,"Exigences"&amp;"*",G1:G82,"&lt;&gt;0")+_xlfn.COUNTIFS($D1:$D82,D54,$N1:$N82,"Non"&amp;"*",G1:G82,"&lt;&gt;0")),IF(N54='Suppl'!$E$67,1/(_xlfn.COUNTIFS($D1:$D82,D54,$N1:$N82,"Exigences"&amp;"*",G1:G82,"&lt;&gt;0")+_xlfn.COUNTIFS($D1:$D82,D54,$N1:$N82,"Non"&amp;"*",G1:G82,"&lt;&gt;0")),0)))</f>
        <v>0</v>
      </c>
      <c r="T54" s="803"/>
      <c r="U54" s="803"/>
      <c r="V54" s="804"/>
      <c r="W54" s="789">
        <f>_xlfn.IFERROR(IF(N54='Suppl'!$E$65,0,IF(N54='Suppl'!$E$66,1/2/(_xlfn.COUNTIFS($N1:$N82,"Exigences"&amp;"*")+_xlfn.COUNTIFS($N1:$N82,"Non"&amp;"*")),IF(N54='Suppl'!$E$67,1/(_xlfn.COUNTIFS($N1:$N82,"Exigences"&amp;"*")+_xlfn.COUNTIFS($N1:$N82,"Non"&amp;"*")),0))),0)</f>
        <v>0</v>
      </c>
      <c r="X54" s="586"/>
      <c r="Y54" s="586"/>
      <c r="Z54" s="586"/>
      <c r="AA54" s="586"/>
      <c r="AB54" s="586"/>
      <c r="AC54" s="586"/>
      <c r="AD54" s="586"/>
      <c r="AE54" s="586"/>
      <c r="AF54" s="586"/>
      <c r="AG54" s="586"/>
      <c r="AH54" s="505"/>
      <c r="AI54" s="585"/>
    </row>
    <row r="55" ht="30" customHeight="1">
      <c r="A55" s="504"/>
      <c r="B55" s="753"/>
      <c r="C55" t="s" s="754">
        <f>IF(LEFT(RIGHT($B$1,2),1)=" ",RIGHT($B$1,1),RIGHT($B$1,2))</f>
        <v>1854</v>
      </c>
      <c r="D55" s="755">
        <f>IF(LEFT(F55,5)="Bonne",D53+1,D54)</f>
        <v>6</v>
      </c>
      <c r="E55" t="s" s="778">
        <f>C55&amp;D55&amp;RIGHT(F55,1)</f>
        <v>1906</v>
      </c>
      <c r="F55" t="s" s="757">
        <v>1887</v>
      </c>
      <c r="G55" t="s" s="758">
        <f>VLOOKUP(E57,'BDD'!$A$2:$N$567,6,FALSE)</f>
        <v>320</v>
      </c>
      <c r="H55" s="759"/>
      <c r="I55" s="760"/>
      <c r="J55" s="760"/>
      <c r="K55" s="760"/>
      <c r="L55" s="761"/>
      <c r="M55" s="762"/>
      <c r="N55" s="763"/>
      <c r="O55" s="764">
        <v>0</v>
      </c>
      <c r="P55" s="764"/>
      <c r="Q55" s="764"/>
      <c r="R55" s="764"/>
      <c r="S55" s="765">
        <f>_xlfn.SUMIFS(S1:S82,$D1:$D82,D55,$N1:$N82,"Exigences"&amp;"*")</f>
      </c>
      <c r="T55" s="765"/>
      <c r="U55" s="765"/>
      <c r="V55" s="766"/>
      <c r="W55" s="789">
        <f>_xlfn.IFERROR(IF(N55='Suppl'!$E$65,0,IF(N55='Suppl'!$E$66,1/2/(_xlfn.COUNTIFS($N1:$N82,"Exigences"&amp;"*")+_xlfn.COUNTIFS($N1:$N82,"Non"&amp;"*")),IF(N55='Suppl'!$E$67,1/(_xlfn.COUNTIFS($N1:$N82,"Exigences"&amp;"*")+_xlfn.COUNTIFS($N1:$N82,"Non"&amp;"*")),0))),0)</f>
        <v>0</v>
      </c>
      <c r="X55" s="586"/>
      <c r="Y55" s="586"/>
      <c r="Z55" s="586"/>
      <c r="AA55" s="586"/>
      <c r="AB55" s="586"/>
      <c r="AC55" s="586"/>
      <c r="AD55" s="586"/>
      <c r="AE55" s="586"/>
      <c r="AF55" s="586"/>
      <c r="AG55" s="586"/>
      <c r="AH55" s="505"/>
      <c r="AI55" s="585"/>
    </row>
    <row r="56" ht="30" customHeight="1">
      <c r="A56" s="504"/>
      <c r="B56" s="753"/>
      <c r="C56" t="s" s="754">
        <f>IF(LEFT(RIGHT($B$1,2),1)=" ",RIGHT($B$1,1),RIGHT($B$1,2))</f>
        <v>1854</v>
      </c>
      <c r="D56" s="755">
        <f>IF(LEFT(F56,5)="Bonne",D54+1,D55)</f>
        <v>6</v>
      </c>
      <c r="E56" t="s" s="778">
        <f>C56&amp;D56&amp;RIGHT(F56,1)</f>
        <v>1907</v>
      </c>
      <c r="F56" t="s" s="769">
        <v>1835</v>
      </c>
      <c r="G56" t="s" s="770">
        <f>VLOOKUP(E58,'BDD'!$A$2:$N$567,7,FALSE)</f>
        <v>1908</v>
      </c>
      <c r="H56" s="771"/>
      <c r="I56" s="771"/>
      <c r="J56" s="771"/>
      <c r="K56" s="771"/>
      <c r="L56" s="772"/>
      <c r="M56" s="773"/>
      <c r="N56" s="774"/>
      <c r="O56" s="775"/>
      <c r="P56" s="775"/>
      <c r="Q56" s="775"/>
      <c r="R56" s="775"/>
      <c r="S56" s="776"/>
      <c r="T56" s="776"/>
      <c r="U56" s="776"/>
      <c r="V56" s="777"/>
      <c r="W56" s="789">
        <f>_xlfn.IFERROR(IF(N56='Suppl'!$E$65,0,IF(N56='Suppl'!$E$66,1/2/(_xlfn.COUNTIFS($N1:$N82,"Exigences"&amp;"*")+_xlfn.COUNTIFS($N1:$N82,"Non"&amp;"*")),IF(N56='Suppl'!$E$67,1/(_xlfn.COUNTIFS($N1:$N82,"Exigences"&amp;"*")+_xlfn.COUNTIFS($N1:$N82,"Non"&amp;"*")),0))),0)</f>
        <v>0</v>
      </c>
      <c r="X56" s="586"/>
      <c r="Y56" s="586"/>
      <c r="Z56" s="586"/>
      <c r="AA56" s="586"/>
      <c r="AB56" s="586"/>
      <c r="AC56" s="586"/>
      <c r="AD56" s="586"/>
      <c r="AE56" s="586"/>
      <c r="AF56" s="586"/>
      <c r="AG56" s="586"/>
      <c r="AH56" s="505"/>
      <c r="AI56" s="585"/>
    </row>
    <row r="57" ht="30" customHeight="1">
      <c r="A57" s="504"/>
      <c r="B57" s="753"/>
      <c r="C57" t="s" s="754">
        <f>IF(LEFT(RIGHT($B$1,2),1)=" ",RIGHT($B$1,1),RIGHT($B$1,2))</f>
        <v>1854</v>
      </c>
      <c r="D57" s="755">
        <f>IF(LEFT(F57,5)="Bonne",D55+1,D56)</f>
        <v>6</v>
      </c>
      <c r="E57" t="s" s="778">
        <f>C57&amp;D57&amp;RIGHT(F57,1)</f>
        <v>1907</v>
      </c>
      <c r="F57" t="s" s="779">
        <v>1769</v>
      </c>
      <c r="G57" t="s" s="780">
        <f>VLOOKUP(E57,'BDD'!$A$2:$N$567,MATCH(G$24,'BDD'!$A$1:$P$1,0),FALSE)</f>
        <v>478</v>
      </c>
      <c r="H57" s="781"/>
      <c r="I57" t="s" s="792">
        <v>263</v>
      </c>
      <c r="J57" s="782"/>
      <c r="K57" s="782"/>
      <c r="L57" s="793"/>
      <c r="M57" s="784">
        <f>IF(N57="Exigences partiellement respectées",1,IF(N57="Exigences respectées",2,0))</f>
        <v>0</v>
      </c>
      <c r="N57" t="s" s="780">
        <f>VLOOKUP(VLOOKUP(E57,'BDD'!$A$2:$P$428,15,FALSE),'Suppl'!$D$64:$E$68,2,FALSE)</f>
        <v>1751</v>
      </c>
      <c r="O57" s="785"/>
      <c r="P57" s="786"/>
      <c r="Q57" s="786"/>
      <c r="R57" s="786"/>
      <c r="S57" s="787">
        <f>IF(N57='Suppl'!$E$65,0,IF(N57='Suppl'!$E$66,1/2/(_xlfn.COUNTIFS($D1:$D82,D57,$N1:$N82,"Exigences"&amp;"*",G1:G82,"&lt;&gt;0")+_xlfn.COUNTIFS($D1:$D82,D57,$N1:$N82,"Non"&amp;"*",G1:G82,"&lt;&gt;0")),IF(N57='Suppl'!$E$67,1/(_xlfn.COUNTIFS($D1:$D82,D57,$N1:$N82,"Exigences"&amp;"*",G1:G82,"&lt;&gt;0")+_xlfn.COUNTIFS($D1:$D82,D57,$N1:$N82,"Non"&amp;"*",G1:G82,"&lt;&gt;0")),0)))</f>
        <v>0</v>
      </c>
      <c r="T57" s="787"/>
      <c r="U57" s="787"/>
      <c r="V57" s="788"/>
      <c r="W57" s="789">
        <f>_xlfn.IFERROR(IF(N57='Suppl'!$E$65,0,IF(N57='Suppl'!$E$66,1/2/(_xlfn.COUNTIFS($N1:$N82,"Exigences"&amp;"*")+_xlfn.COUNTIFS($N1:$N82,"Non"&amp;"*")),IF(N57='Suppl'!$E$67,1/(_xlfn.COUNTIFS($N1:$N82,"Exigences"&amp;"*")+_xlfn.COUNTIFS($N1:$N82,"Non"&amp;"*")),0))),0)</f>
        <v>0</v>
      </c>
      <c r="X57" s="586"/>
      <c r="Y57" s="586"/>
      <c r="Z57" s="586"/>
      <c r="AA57" s="586"/>
      <c r="AB57" s="586"/>
      <c r="AC57" s="586"/>
      <c r="AD57" s="586"/>
      <c r="AE57" s="586"/>
      <c r="AF57" s="586"/>
      <c r="AG57" s="586"/>
      <c r="AH57" s="505"/>
      <c r="AI57" s="585"/>
    </row>
    <row r="58" ht="41.4" customHeight="1">
      <c r="A58" s="504"/>
      <c r="B58" s="753"/>
      <c r="C58" t="s" s="754">
        <f>IF(LEFT(RIGHT($B$1,2),1)=" ",RIGHT($B$1,1),RIGHT($B$1,2))</f>
        <v>1854</v>
      </c>
      <c r="D58" s="755">
        <f>IF(LEFT(F58,5)="Bonne",D56+1,D57)</f>
        <v>6</v>
      </c>
      <c r="E58" t="s" s="778">
        <f>C58&amp;D58&amp;RIGHT(F58,1)</f>
        <v>1909</v>
      </c>
      <c r="F58" t="s" s="790">
        <v>1837</v>
      </c>
      <c r="G58" t="s" s="791">
        <f>VLOOKUP(E58,'BDD'!$A$2:$N$567,MATCH(G$24,'BDD'!$A$1:$P$1,0),FALSE)</f>
        <v>481</v>
      </c>
      <c r="H58" s="781"/>
      <c r="I58" s="782"/>
      <c r="J58" t="s" s="792">
        <v>271</v>
      </c>
      <c r="K58" s="782"/>
      <c r="L58" s="793"/>
      <c r="M58" s="794">
        <f>IF(N58="Exigences partiellement respectées",1,IF(N58="Exigences respectées",2,0))</f>
        <v>0</v>
      </c>
      <c r="N58" t="s" s="791">
        <f>VLOOKUP(VLOOKUP(E58,'BDD'!$A$2:$P$428,15,FALSE),'Suppl'!$D$64:$E$68,2,FALSE)</f>
        <v>1751</v>
      </c>
      <c r="O58" s="795"/>
      <c r="P58" s="796"/>
      <c r="Q58" s="796"/>
      <c r="R58" s="796"/>
      <c r="S58" s="797">
        <f>IF(N58='Suppl'!$E$65,0,IF(N58='Suppl'!$E$66,1/2/(_xlfn.COUNTIFS($D1:$D82,D58,$N1:$N82,"Exigences"&amp;"*",G1:G82,"&lt;&gt;0")+_xlfn.COUNTIFS($D1:$D82,D58,$N1:$N82,"Non"&amp;"*",G1:G82,"&lt;&gt;0")),IF(N58='Suppl'!$E$67,1/(_xlfn.COUNTIFS($D1:$D82,D58,$N1:$N82,"Exigences"&amp;"*",G1:G82,"&lt;&gt;0")+_xlfn.COUNTIFS($D1:$D82,D58,$N1:$N82,"Non"&amp;"*",G1:G82,"&lt;&gt;0")),0)))</f>
        <v>0</v>
      </c>
      <c r="T58" s="797"/>
      <c r="U58" s="797"/>
      <c r="V58" s="798"/>
      <c r="W58" s="789">
        <f>_xlfn.IFERROR(IF(N58='Suppl'!$E$65,0,IF(N58='Suppl'!$E$66,1/2/(_xlfn.COUNTIFS($N1:$N82,"Exigences"&amp;"*")+_xlfn.COUNTIFS($N1:$N82,"Non"&amp;"*")),IF(N58='Suppl'!$E$67,1/(_xlfn.COUNTIFS($N1:$N82,"Exigences"&amp;"*")+_xlfn.COUNTIFS($N1:$N82,"Non"&amp;"*")),0))),0)</f>
        <v>0</v>
      </c>
      <c r="X58" s="586"/>
      <c r="Y58" s="586"/>
      <c r="Z58" s="586"/>
      <c r="AA58" s="586"/>
      <c r="AB58" s="586"/>
      <c r="AC58" s="586"/>
      <c r="AD58" s="586"/>
      <c r="AE58" s="586"/>
      <c r="AF58" s="586"/>
      <c r="AG58" s="586"/>
      <c r="AH58" s="505"/>
      <c r="AI58" s="585"/>
    </row>
    <row r="59" ht="30" customHeight="1">
      <c r="A59" s="504"/>
      <c r="B59" s="753"/>
      <c r="C59" t="s" s="754">
        <f>IF(LEFT(RIGHT($B$1,2),1)=" ",RIGHT($B$1,1),RIGHT($B$1,2))</f>
        <v>1854</v>
      </c>
      <c r="D59" s="755">
        <f>IF(LEFT(F59,5)="Bonne",D57+1,D58)</f>
        <v>6</v>
      </c>
      <c r="E59" t="s" s="778">
        <f>C59&amp;D59&amp;RIGHT(F59,1)</f>
        <v>1910</v>
      </c>
      <c r="F59" t="s" s="779">
        <v>1774</v>
      </c>
      <c r="G59" t="s" s="780">
        <f>VLOOKUP(E59,'BDD'!$A$2:$N$567,MATCH(G$24,'BDD'!$A$1:$P$1,0),FALSE)</f>
        <v>485</v>
      </c>
      <c r="H59" s="781"/>
      <c r="I59" s="782"/>
      <c r="J59" s="782"/>
      <c r="K59" t="s" s="792">
        <v>291</v>
      </c>
      <c r="L59" s="793"/>
      <c r="M59" s="794">
        <f>IF(N59="Exigences partiellement respectées",1,IF(N59="Exigences respectées",2,0))</f>
        <v>0</v>
      </c>
      <c r="N59" t="s" s="780">
        <f>VLOOKUP(VLOOKUP(E59,'BDD'!$A$2:$P$428,15,FALSE),'Suppl'!$D$64:$E$68,2,FALSE)</f>
        <v>1751</v>
      </c>
      <c r="O59" s="795"/>
      <c r="P59" s="796"/>
      <c r="Q59" s="796"/>
      <c r="R59" s="796"/>
      <c r="S59" s="797">
        <f>IF(N59='Suppl'!$E$65,0,IF(N59='Suppl'!$E$66,1/2/(_xlfn.COUNTIFS($D1:$D82,D59,$N1:$N82,"Exigences"&amp;"*",G1:G82,"&lt;&gt;0")+_xlfn.COUNTIFS($D1:$D82,D59,$N1:$N82,"Non"&amp;"*",G1:G82,"&lt;&gt;0")),IF(N59='Suppl'!$E$67,1/(_xlfn.COUNTIFS($D1:$D82,D59,$N1:$N82,"Exigences"&amp;"*",G1:G82,"&lt;&gt;0")+_xlfn.COUNTIFS($D1:$D82,D59,$N1:$N82,"Non"&amp;"*",G1:G82,"&lt;&gt;0")),0)))</f>
        <v>0</v>
      </c>
      <c r="T59" s="797"/>
      <c r="U59" s="797"/>
      <c r="V59" s="798"/>
      <c r="W59" s="789">
        <f>_xlfn.IFERROR(IF(N59='Suppl'!$E$65,0,IF(N59='Suppl'!$E$66,1/2/(_xlfn.COUNTIFS($N1:$N82,"Exigences"&amp;"*")+_xlfn.COUNTIFS($N1:$N82,"Non"&amp;"*")),IF(N59='Suppl'!$E$67,1/(_xlfn.COUNTIFS($N1:$N82,"Exigences"&amp;"*")+_xlfn.COUNTIFS($N1:$N82,"Non"&amp;"*")),0))),0)</f>
        <v>0</v>
      </c>
      <c r="X59" s="586"/>
      <c r="Y59" s="586"/>
      <c r="Z59" s="586"/>
      <c r="AA59" s="586"/>
      <c r="AB59" s="586"/>
      <c r="AC59" s="586"/>
      <c r="AD59" s="586"/>
      <c r="AE59" s="586"/>
      <c r="AF59" s="586"/>
      <c r="AG59" s="586"/>
      <c r="AH59" s="505"/>
      <c r="AI59" s="585"/>
    </row>
    <row r="60" ht="30" customHeight="1">
      <c r="A60" s="504"/>
      <c r="B60" s="753"/>
      <c r="C60" t="s" s="754">
        <f>IF(LEFT(RIGHT($B$1,2),1)=" ",RIGHT($B$1,1),RIGHT($B$1,2))</f>
        <v>1854</v>
      </c>
      <c r="D60" s="755">
        <f>IF(LEFT(F60,5)="Bonne",D58+1,D59)</f>
        <v>6</v>
      </c>
      <c r="E60" t="s" s="778">
        <f>C60&amp;D60&amp;RIGHT(F60,1)</f>
        <v>1911</v>
      </c>
      <c r="F60" t="s" s="790">
        <v>1776</v>
      </c>
      <c r="G60" t="s" s="791">
        <f>VLOOKUP(E60,'BDD'!$A$2:$N$567,MATCH(G$24,'BDD'!$A$1:$P$1,0),FALSE)</f>
        <v>489</v>
      </c>
      <c r="H60" s="781"/>
      <c r="I60" s="782"/>
      <c r="J60" s="782"/>
      <c r="K60" s="782"/>
      <c r="L60" t="s" s="783">
        <v>256</v>
      </c>
      <c r="M60" s="794">
        <f>IF(N60="Exigences partiellement respectées",1,IF(N60="Exigences respectées",2,0))</f>
        <v>0</v>
      </c>
      <c r="N60" t="s" s="791">
        <f>VLOOKUP(VLOOKUP(E60,'BDD'!$A$2:$P$428,15,FALSE),'Suppl'!$D$64:$E$68,2,FALSE)</f>
        <v>1751</v>
      </c>
      <c r="O60" s="863"/>
      <c r="P60" s="864"/>
      <c r="Q60" s="864"/>
      <c r="R60" s="864"/>
      <c r="S60" s="815">
        <f>IF(N60='Suppl'!$E$65,0,IF(N60='Suppl'!$E$66,1/2/(_xlfn.COUNTIFS($D1:$D82,D60,$N1:$N82,"Exigences"&amp;"*",G1:G82,"&lt;&gt;0")+_xlfn.COUNTIFS($D1:$D82,D60,$N1:$N82,"Non"&amp;"*",G1:G82,"&lt;&gt;0")),IF(N60='Suppl'!$E$67,1/(_xlfn.COUNTIFS($D1:$D82,D60,$N1:$N82,"Exigences"&amp;"*",G1:G82,"&lt;&gt;0")+_xlfn.COUNTIFS($D1:$D82,D60,$N1:$N82,"Non"&amp;"*",G1:G82,"&lt;&gt;0")),0)))</f>
        <v>0</v>
      </c>
      <c r="T60" s="815"/>
      <c r="U60" s="815"/>
      <c r="V60" s="816"/>
      <c r="W60" s="789">
        <f>_xlfn.IFERROR(IF(N60='Suppl'!$E$65,0,IF(N60='Suppl'!$E$66,1/2/(_xlfn.COUNTIFS($N1:$N82,"Exigences"&amp;"*")+_xlfn.COUNTIFS($N1:$N82,"Non"&amp;"*")),IF(N60='Suppl'!$E$67,1/(_xlfn.COUNTIFS($N1:$N82,"Exigences"&amp;"*")+_xlfn.COUNTIFS($N1:$N82,"Non"&amp;"*")),0))),0)</f>
        <v>0</v>
      </c>
      <c r="X60" s="586"/>
      <c r="Y60" s="586"/>
      <c r="Z60" s="586"/>
      <c r="AA60" s="586"/>
      <c r="AB60" s="586"/>
      <c r="AC60" s="586"/>
      <c r="AD60" s="586"/>
      <c r="AE60" s="586"/>
      <c r="AF60" s="586"/>
      <c r="AG60" s="586"/>
      <c r="AH60" s="505"/>
      <c r="AI60" s="585"/>
    </row>
    <row r="61" ht="30" customHeight="1">
      <c r="A61" s="504"/>
      <c r="B61" s="586"/>
      <c r="C61" s="586"/>
      <c r="D61" s="587"/>
      <c r="E61" s="587"/>
      <c r="F61" s="817"/>
      <c r="G61" s="818"/>
      <c r="H61" s="818"/>
      <c r="I61" s="818"/>
      <c r="J61" s="818"/>
      <c r="K61" s="818"/>
      <c r="L61" s="818"/>
      <c r="M61" s="102"/>
      <c r="N61" s="817"/>
      <c r="O61" s="819"/>
      <c r="P61" s="819"/>
      <c r="Q61" s="819"/>
      <c r="R61" s="819"/>
      <c r="S61" s="819"/>
      <c r="T61" s="819"/>
      <c r="U61" s="819"/>
      <c r="V61" s="819"/>
      <c r="W61" s="588"/>
      <c r="X61" s="586"/>
      <c r="Y61" s="586"/>
      <c r="Z61" s="586"/>
      <c r="AA61" s="586"/>
      <c r="AB61" s="586"/>
      <c r="AC61" s="586"/>
      <c r="AD61" s="586"/>
      <c r="AE61" s="586"/>
      <c r="AF61" s="586"/>
      <c r="AG61" s="586"/>
      <c r="AH61" s="505"/>
      <c r="AI61" s="585"/>
    </row>
    <row r="62" ht="30" customHeight="1">
      <c r="A62" t="s" s="820">
        <v>171</v>
      </c>
      <c r="B62" s="505"/>
      <c r="C62" s="505"/>
      <c r="D62" s="505"/>
      <c r="E62" s="505"/>
      <c r="F62" s="505"/>
      <c r="G62" s="616"/>
      <c r="H62" s="616"/>
      <c r="I62" s="616"/>
      <c r="J62" s="616"/>
      <c r="K62" s="616"/>
      <c r="L62" s="616"/>
      <c r="M62" s="616"/>
      <c r="N62" s="505"/>
      <c r="O62" s="505"/>
      <c r="P62" s="505"/>
      <c r="Q62" s="505"/>
      <c r="R62" s="505"/>
      <c r="S62" s="505"/>
      <c r="T62" s="505"/>
      <c r="U62" s="505"/>
      <c r="V62" s="505"/>
      <c r="W62" s="821"/>
      <c r="X62" s="505"/>
      <c r="Y62" s="505"/>
      <c r="Z62" s="505"/>
      <c r="AA62" s="505"/>
      <c r="AB62" s="505"/>
      <c r="AC62" s="505"/>
      <c r="AD62" s="505"/>
      <c r="AE62" s="505"/>
      <c r="AF62" s="505"/>
      <c r="AG62" s="505"/>
      <c r="AH62" t="s" s="735">
        <v>171</v>
      </c>
      <c r="AI62" s="585"/>
    </row>
    <row r="63" ht="14.4" customHeight="1">
      <c r="A63" s="822"/>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823"/>
    </row>
    <row r="64" ht="14.4" customHeight="1">
      <c r="A64" s="822"/>
      <c r="B64" s="25"/>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823"/>
    </row>
    <row r="65" ht="14.4" customHeight="1">
      <c r="A65" s="822"/>
      <c r="B65" s="25"/>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823"/>
    </row>
    <row r="66" ht="14.4" customHeight="1">
      <c r="A66" s="822"/>
      <c r="B66" s="25"/>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823"/>
    </row>
    <row r="67" ht="14.4" customHeight="1">
      <c r="A67" s="822"/>
      <c r="B67" s="25"/>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823"/>
    </row>
    <row r="68" ht="14.4" customHeight="1">
      <c r="A68" s="822"/>
      <c r="B68" s="25"/>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823"/>
    </row>
    <row r="69" ht="14.4" customHeight="1">
      <c r="A69" s="822"/>
      <c r="B69" s="25"/>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823"/>
    </row>
    <row r="70" ht="14.4" customHeight="1">
      <c r="A70" s="822"/>
      <c r="B70" s="25"/>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823"/>
    </row>
    <row r="71" ht="14.4" customHeight="1">
      <c r="A71" s="822"/>
      <c r="B71" s="25"/>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823"/>
    </row>
    <row r="72" ht="14.4" customHeight="1">
      <c r="A72" s="822"/>
      <c r="B72" s="25"/>
      <c r="C72" s="25"/>
      <c r="D72" s="25"/>
      <c r="E72" s="25"/>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823"/>
    </row>
    <row r="73" ht="14.4" customHeight="1">
      <c r="A73" s="822"/>
      <c r="B73" s="25"/>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823"/>
    </row>
    <row r="74" ht="14.4" customHeight="1">
      <c r="A74" s="822"/>
      <c r="B74" s="25"/>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823"/>
    </row>
    <row r="75" ht="14.4" customHeight="1">
      <c r="A75" s="822"/>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823"/>
    </row>
    <row r="76" ht="14.4" customHeight="1">
      <c r="A76" s="822"/>
      <c r="B76" s="25"/>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823"/>
    </row>
    <row r="77" ht="14.4" customHeight="1">
      <c r="A77" s="822"/>
      <c r="B77" s="25"/>
      <c r="C77" s="25"/>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823"/>
    </row>
    <row r="78" ht="14.4" customHeight="1">
      <c r="A78" s="822"/>
      <c r="B78" s="25"/>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823"/>
    </row>
    <row r="79" ht="14.4" customHeight="1">
      <c r="A79" s="822"/>
      <c r="B79" s="25"/>
      <c r="C79" s="25"/>
      <c r="D79" s="25"/>
      <c r="E79" s="25"/>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823"/>
    </row>
    <row r="80" ht="14.4" customHeight="1">
      <c r="A80" s="822"/>
      <c r="B80" s="25"/>
      <c r="C80" s="25"/>
      <c r="D80" s="25"/>
      <c r="E80" s="25"/>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823"/>
    </row>
    <row r="81" ht="14.4" customHeight="1">
      <c r="A81" s="822"/>
      <c r="B81" s="25"/>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823"/>
    </row>
    <row r="82" ht="14.4" customHeight="1">
      <c r="A82" s="824"/>
      <c r="B82" s="825"/>
      <c r="C82" s="825"/>
      <c r="D82" s="825"/>
      <c r="E82" s="825"/>
      <c r="F82" s="825"/>
      <c r="G82" s="825"/>
      <c r="H82" s="825"/>
      <c r="I82" s="825"/>
      <c r="J82" s="825"/>
      <c r="K82" s="825"/>
      <c r="L82" s="825"/>
      <c r="M82" s="825"/>
      <c r="N82" s="825"/>
      <c r="O82" s="825"/>
      <c r="P82" s="825"/>
      <c r="Q82" s="825"/>
      <c r="R82" s="825"/>
      <c r="S82" s="825"/>
      <c r="T82" s="825"/>
      <c r="U82" s="825"/>
      <c r="V82" s="825"/>
      <c r="W82" s="825"/>
      <c r="X82" s="825"/>
      <c r="Y82" s="825"/>
      <c r="Z82" s="825"/>
      <c r="AA82" s="825"/>
      <c r="AB82" s="825"/>
      <c r="AC82" s="825"/>
      <c r="AD82" s="825"/>
      <c r="AE82" s="825"/>
      <c r="AF82" s="825"/>
      <c r="AG82" s="825"/>
      <c r="AH82" s="825"/>
      <c r="AI82" s="826"/>
    </row>
  </sheetData>
  <mergeCells count="66">
    <mergeCell ref="O60:R60"/>
    <mergeCell ref="S60:V60"/>
    <mergeCell ref="O57:R57"/>
    <mergeCell ref="S57:V57"/>
    <mergeCell ref="O58:R58"/>
    <mergeCell ref="S58:V58"/>
    <mergeCell ref="O59:R59"/>
    <mergeCell ref="S59:V59"/>
    <mergeCell ref="O49:R50"/>
    <mergeCell ref="S49:V50"/>
    <mergeCell ref="O51:R51"/>
    <mergeCell ref="S51:V51"/>
    <mergeCell ref="O55:R56"/>
    <mergeCell ref="S55:V56"/>
    <mergeCell ref="O52:R52"/>
    <mergeCell ref="S52:V52"/>
    <mergeCell ref="O53:R53"/>
    <mergeCell ref="S53:V53"/>
    <mergeCell ref="O54:R54"/>
    <mergeCell ref="S54:V54"/>
    <mergeCell ref="O48:R48"/>
    <mergeCell ref="S48:V48"/>
    <mergeCell ref="O45:R45"/>
    <mergeCell ref="S45:V45"/>
    <mergeCell ref="O46:R46"/>
    <mergeCell ref="S46:V46"/>
    <mergeCell ref="O47:R47"/>
    <mergeCell ref="S47:V47"/>
    <mergeCell ref="O35:R35"/>
    <mergeCell ref="S35:V35"/>
    <mergeCell ref="O36:R36"/>
    <mergeCell ref="S36:V36"/>
    <mergeCell ref="O43:R44"/>
    <mergeCell ref="S43:V44"/>
    <mergeCell ref="O41:R41"/>
    <mergeCell ref="S41:V41"/>
    <mergeCell ref="O42:R42"/>
    <mergeCell ref="S42:V42"/>
    <mergeCell ref="O37:R38"/>
    <mergeCell ref="S37:V38"/>
    <mergeCell ref="O39:R39"/>
    <mergeCell ref="S39:V39"/>
    <mergeCell ref="O40:R40"/>
    <mergeCell ref="S40:V40"/>
    <mergeCell ref="O33:R33"/>
    <mergeCell ref="S33:V33"/>
    <mergeCell ref="O34:R34"/>
    <mergeCell ref="S34:V34"/>
    <mergeCell ref="O29:R30"/>
    <mergeCell ref="S29:V30"/>
    <mergeCell ref="O31:R31"/>
    <mergeCell ref="S31:V31"/>
    <mergeCell ref="O27:R27"/>
    <mergeCell ref="S27:V27"/>
    <mergeCell ref="O28:R28"/>
    <mergeCell ref="S28:V28"/>
    <mergeCell ref="O32:R32"/>
    <mergeCell ref="S32:V32"/>
    <mergeCell ref="O25:R26"/>
    <mergeCell ref="S25:V26"/>
    <mergeCell ref="AD7:AD10"/>
    <mergeCell ref="O21:R21"/>
    <mergeCell ref="O22:R22"/>
    <mergeCell ref="O24:R24"/>
    <mergeCell ref="S24:V24"/>
    <mergeCell ref="O20:R20"/>
  </mergeCells>
  <conditionalFormatting sqref="O8:U13">
    <cfRule type="cellIs" dxfId="6" priority="1" operator="equal" stopIfTrue="1">
      <formula>3</formula>
    </cfRule>
    <cfRule type="cellIs" dxfId="7" priority="2" operator="equal" stopIfTrue="1">
      <formula>2</formula>
    </cfRule>
    <cfRule type="cellIs" dxfId="8" priority="3" operator="equal" stopIfTrue="1">
      <formula>1</formula>
    </cfRule>
  </conditionalFormatting>
  <dataValidations count="1">
    <dataValidation type="list" allowBlank="1" showInputMessage="1" showErrorMessage="1" sqref="W8:W13 W16">
      <formula1>"Exigences non respectées,Exigences partiellement respectées,Exigences respectées,Non évalué,N/A"</formula1>
    </dataValidation>
  </dataValidations>
  <pageMargins left="0.7" right="0.7" top="0.75" bottom="0.75" header="0.3" footer="0.3"/>
  <pageSetup firstPageNumber="1" fitToHeight="1" fitToWidth="1" scale="100" useFirstPageNumber="0" orientation="portrait" pageOrder="downThenOver"/>
  <headerFooter>
    <oddFooter>&amp;C&amp;"Helvetica Neue,Regular"&amp;12&amp;K000000&amp;P</oddFooter>
  </headerFooter>
  <drawing r:id="rId1"/>
</worksheet>
</file>

<file path=xl/worksheets/sheet12.xml><?xml version="1.0" encoding="utf-8"?>
<worksheet xmlns:r="http://schemas.openxmlformats.org/officeDocument/2006/relationships" xmlns="http://schemas.openxmlformats.org/spreadsheetml/2006/main">
  <dimension ref="A1:P135"/>
  <sheetViews>
    <sheetView workbookViewId="0" showGridLines="0" defaultGridColor="1"/>
  </sheetViews>
  <sheetFormatPr defaultColWidth="10.8333" defaultRowHeight="14.4" customHeight="1" outlineLevelRow="0" outlineLevelCol="0"/>
  <cols>
    <col min="1" max="1" width="2.85156" style="865" customWidth="1"/>
    <col min="2" max="2" width="4" style="865" customWidth="1"/>
    <col min="3" max="5" hidden="1" width="10.8333" style="865" customWidth="1"/>
    <col min="6" max="6" width="10.8516" style="865" customWidth="1"/>
    <col min="7" max="7" width="40.6719" style="865" customWidth="1"/>
    <col min="8" max="8" width="28.5" style="865" customWidth="1"/>
    <col min="9" max="9" width="17.6719" style="865" customWidth="1"/>
    <col min="10" max="10" width="66.8516" style="865" customWidth="1"/>
    <col min="11" max="11" width="80.8516" style="865" customWidth="1"/>
    <col min="12" max="12" width="10.8516" style="865" customWidth="1"/>
    <col min="13" max="13" width="28" style="865" customWidth="1"/>
    <col min="14" max="14" width="16.5" style="865" customWidth="1"/>
    <col min="15" max="16" width="4" style="865" customWidth="1"/>
    <col min="17" max="16384" width="10.8516" style="865" customWidth="1"/>
  </cols>
  <sheetData>
    <row r="1" ht="45" customHeight="1">
      <c r="A1" s="497"/>
      <c r="B1" t="s" s="498">
        <v>1912</v>
      </c>
      <c r="C1" s="499"/>
      <c r="D1" s="499"/>
      <c r="E1" s="499"/>
      <c r="F1" s="499"/>
      <c r="G1" s="500"/>
      <c r="H1" s="501"/>
      <c r="I1" s="501"/>
      <c r="J1" t="s" s="502">
        <f>VLOOKUP($E$12,'BDD'!$A$2:$N$567,3,FALSE)</f>
        <v>226</v>
      </c>
      <c r="K1" s="501"/>
      <c r="L1" s="500"/>
      <c r="M1" s="500"/>
      <c r="N1" s="500"/>
      <c r="O1" s="500"/>
      <c r="P1" s="503"/>
    </row>
    <row r="2" ht="45" customHeight="1">
      <c r="A2" s="504"/>
      <c r="B2" s="505"/>
      <c r="C2" s="505"/>
      <c r="D2" s="505"/>
      <c r="E2" s="505"/>
      <c r="F2" s="505"/>
      <c r="G2" s="505"/>
      <c r="H2" s="505"/>
      <c r="I2" s="505"/>
      <c r="J2" t="s" s="506">
        <f>VLOOKUP($E$12,'BDD'!$A$2:$N$567,4,FALSE)</f>
        <v>497</v>
      </c>
      <c r="K2" s="505"/>
      <c r="L2" s="505"/>
      <c r="M2" s="505"/>
      <c r="N2" s="505"/>
      <c r="O2" s="505"/>
      <c r="P2" s="507"/>
    </row>
    <row r="3" ht="18" customHeight="1">
      <c r="A3" s="504"/>
      <c r="B3" s="61"/>
      <c r="C3" s="61"/>
      <c r="D3" s="61"/>
      <c r="E3" s="61"/>
      <c r="F3" s="61"/>
      <c r="G3" t="s" s="508">
        <f>IF('Suppl'!B64=2,"Le vecteur n'est pas utilisé","")</f>
      </c>
      <c r="H3" s="509"/>
      <c r="I3" s="509"/>
      <c r="J3" s="509"/>
      <c r="K3" s="509"/>
      <c r="L3" s="510"/>
      <c r="M3" s="61"/>
      <c r="N3" s="61"/>
      <c r="O3" s="61"/>
      <c r="P3" s="507"/>
    </row>
    <row r="4" ht="14.4" customHeight="1">
      <c r="A4" s="504"/>
      <c r="B4" s="61"/>
      <c r="C4" s="61"/>
      <c r="D4" s="61"/>
      <c r="E4" s="61"/>
      <c r="F4" s="61"/>
      <c r="G4" s="61"/>
      <c r="H4" s="61"/>
      <c r="I4" s="61"/>
      <c r="J4" s="61"/>
      <c r="K4" s="61"/>
      <c r="L4" s="61"/>
      <c r="M4" s="61"/>
      <c r="N4" s="61"/>
      <c r="O4" s="61"/>
      <c r="P4" s="507"/>
    </row>
    <row r="5" ht="25.8" customHeight="1">
      <c r="A5" s="511"/>
      <c r="B5" s="512"/>
      <c r="C5" t="s" s="513">
        <f>IF(LEFT(RIGHT($B$1,2),1)=" ",RIGHT($B$1,1),RIGHT($B$1,2))</f>
        <v>1913</v>
      </c>
      <c r="D5" s="514">
        <f>IF(LEFT(F5,14)="Bonne pratique",D4+1,D4)</f>
        <v>1</v>
      </c>
      <c r="E5" s="515"/>
      <c r="F5" t="s" s="516">
        <v>1762</v>
      </c>
      <c r="G5" s="517"/>
      <c r="H5" s="518"/>
      <c r="I5" s="519"/>
      <c r="J5" t="s" s="520">
        <f>VLOOKUP(E12,'BDD'!$A$2:$N$567,6,FALSE)</f>
        <v>498</v>
      </c>
      <c r="K5" s="521"/>
      <c r="L5" s="517"/>
      <c r="M5" s="517"/>
      <c r="N5" s="517"/>
      <c r="O5" s="512"/>
      <c r="P5" s="522"/>
    </row>
    <row r="6" ht="14.4" customHeight="1">
      <c r="A6" s="504"/>
      <c r="B6" s="61"/>
      <c r="C6" t="s" s="513">
        <f>IF(LEFT(RIGHT($B$1,2),1)=" ",RIGHT($B$1,1),RIGHT($B$1,2))</f>
        <v>1913</v>
      </c>
      <c r="D6" s="514">
        <f>IF(LEFT(F6,14)="Bonne pratique",D5+1,D5)</f>
        <v>1</v>
      </c>
      <c r="E6" s="61"/>
      <c r="F6" s="61"/>
      <c r="G6" s="61"/>
      <c r="H6" s="61"/>
      <c r="I6" s="61"/>
      <c r="J6" s="61"/>
      <c r="K6" s="61"/>
      <c r="L6" s="61"/>
      <c r="M6" s="61"/>
      <c r="N6" s="61"/>
      <c r="O6" s="61"/>
      <c r="P6" s="507"/>
    </row>
    <row r="7" ht="23.4" customHeight="1">
      <c r="A7" s="523"/>
      <c r="B7" s="524"/>
      <c r="C7" t="s" s="513">
        <f>IF(LEFT(RIGHT($B$1,2),1)=" ",RIGHT($B$1,1),RIGHT($B$1,2))</f>
        <v>1913</v>
      </c>
      <c r="D7" s="514">
        <f>IF(LEFT(F7,14)="Bonne pratique",D6+1,D6)</f>
        <v>1</v>
      </c>
      <c r="E7" s="524"/>
      <c r="F7" s="524"/>
      <c r="G7" s="524"/>
      <c r="H7" s="524"/>
      <c r="I7" s="525"/>
      <c r="J7" t="s" s="526">
        <v>1914</v>
      </c>
      <c r="K7" s="525"/>
      <c r="L7" s="524"/>
      <c r="M7" s="524"/>
      <c r="N7" s="524"/>
      <c r="O7" s="524"/>
      <c r="P7" s="527"/>
    </row>
    <row r="8" ht="18" customHeight="1">
      <c r="A8" s="504"/>
      <c r="B8" s="61"/>
      <c r="C8" t="s" s="513">
        <f>IF(LEFT(RIGHT($B$1,2),1)=" ",RIGHT($B$1,1),RIGHT($B$1,2))</f>
        <v>1913</v>
      </c>
      <c r="D8" s="514">
        <f>IF(LEFT(F8,14)="Bonne pratique",D7+1,D7)</f>
        <v>1</v>
      </c>
      <c r="E8" s="61"/>
      <c r="F8" s="61"/>
      <c r="G8" s="61"/>
      <c r="H8" s="61"/>
      <c r="I8" s="61"/>
      <c r="J8" t="s" s="526">
        <v>1915</v>
      </c>
      <c r="K8" s="61"/>
      <c r="L8" s="61"/>
      <c r="M8" s="529"/>
      <c r="N8" s="529"/>
      <c r="O8" s="61"/>
      <c r="P8" s="507"/>
    </row>
    <row r="9" ht="14.4" customHeight="1">
      <c r="A9" s="504"/>
      <c r="B9" s="61"/>
      <c r="C9" t="s" s="513">
        <f>IF(LEFT(RIGHT($B$1,2),1)=" ",RIGHT($B$1,1),RIGHT($B$1,2))</f>
        <v>1913</v>
      </c>
      <c r="D9" s="514">
        <f>IF(LEFT(F9,14)="Bonne pratique",D8+1,D8)</f>
        <v>1</v>
      </c>
      <c r="E9" s="61"/>
      <c r="F9" s="61"/>
      <c r="G9" s="530"/>
      <c r="H9" s="530"/>
      <c r="I9" s="530"/>
      <c r="J9" s="530"/>
      <c r="K9" s="530"/>
      <c r="L9" s="531"/>
      <c r="M9" t="s" s="532">
        <v>1763</v>
      </c>
      <c r="N9" s="533"/>
      <c r="O9" s="534"/>
      <c r="P9" s="507"/>
    </row>
    <row r="10" ht="33" customHeight="1">
      <c r="A10" s="504"/>
      <c r="B10" s="61"/>
      <c r="C10" t="s" s="513">
        <f>IF(LEFT(RIGHT($B$1,2),1)=" ",RIGHT($B$1,1),RIGHT($B$1,2))</f>
        <v>1913</v>
      </c>
      <c r="D10" s="514">
        <f>IF(LEFT(F10,14)="Bonne pratique",D9+1,D9)</f>
        <v>1</v>
      </c>
      <c r="E10" s="61"/>
      <c r="F10" s="535"/>
      <c r="G10" t="s" s="536">
        <v>244</v>
      </c>
      <c r="H10" t="s" s="536">
        <v>1764</v>
      </c>
      <c r="I10" t="s" s="537">
        <v>245</v>
      </c>
      <c r="J10" t="s" s="536">
        <v>1765</v>
      </c>
      <c r="K10" t="s" s="536">
        <v>246</v>
      </c>
      <c r="L10" s="538"/>
      <c r="M10" t="s" s="539">
        <v>1766</v>
      </c>
      <c r="N10" t="s" s="540">
        <v>1767</v>
      </c>
      <c r="O10" s="534"/>
      <c r="P10" s="507"/>
    </row>
    <row r="11" ht="14.4" customHeight="1">
      <c r="A11" s="504"/>
      <c r="B11" s="61"/>
      <c r="C11" t="s" s="513">
        <f>IF(LEFT(RIGHT($B$1,2),1)=" ",RIGHT($B$1,1),RIGHT($B$1,2))</f>
        <v>1913</v>
      </c>
      <c r="D11" s="514">
        <f>IF(LEFT(F11,14)="Bonne pratique",D10+1,D10)</f>
        <v>1</v>
      </c>
      <c r="E11" s="61"/>
      <c r="F11" s="529"/>
      <c r="G11" s="541"/>
      <c r="H11" s="541"/>
      <c r="I11" s="541"/>
      <c r="J11" s="541"/>
      <c r="K11" s="541"/>
      <c r="L11" s="61"/>
      <c r="M11" s="541"/>
      <c r="N11" s="541"/>
      <c r="O11" s="61"/>
      <c r="P11" s="507"/>
    </row>
    <row r="12" ht="130.05" customHeight="1">
      <c r="A12" s="504"/>
      <c r="B12" s="542"/>
      <c r="C12" t="s" s="543">
        <f>IF(LEFT(RIGHT($B$1,2),1)=" ",RIGHT($B$1,1),RIGHT($B$1,2))</f>
        <v>1913</v>
      </c>
      <c r="D12" s="544">
        <f>IF(LEFT(F12,14)="Bonne pratique",D11+1,D11)</f>
        <v>1</v>
      </c>
      <c r="E12" t="s" s="545">
        <f>C12&amp;D12&amp;RIGHT(F12,1)</f>
        <v>1916</v>
      </c>
      <c r="F12" t="s" s="546">
        <v>1769</v>
      </c>
      <c r="G12" t="s" s="547">
        <f>_xlfn.IFERROR(IF(VLOOKUP($E12,'BDD'!$A$1:$S$567,MATCH(G$10,'BDD'!$A$1:$P$1,0),FALSE)=0,"",VLOOKUP($E12,'BDD'!$A$1:$S$567,MATCH(G$10,'BDD'!$A$1:$P$1,0),FALSE)),"")</f>
        <v>500</v>
      </c>
      <c r="H12" t="s" s="548">
        <f>IF(VLOOKUP(E12,'BDD'!$A$1:$S$567,15,FALSE)=0,"Critère non évalué","")</f>
        <v>1770</v>
      </c>
      <c r="I12" t="s" s="546">
        <f>_xlfn.IFERROR(IF(VLOOKUP($E12,'BDD'!$A$1:$S$567,MATCH(I$10,'BDD'!$A$1:$P$1,0),FALSE)=0,"",VLOOKUP($E12,'BDD'!$A$1:$S$567,MATCH(I$10,'BDD'!$A$1:$P$1,0),FALSE)),"")</f>
        <v>283</v>
      </c>
      <c r="J12" s="549"/>
      <c r="K12" t="s" s="547">
        <f>_xlfn.IFERROR(IF(VLOOKUP($E12,'BDD'!$A$1:$S$567,MATCH(K$10,'BDD'!$A$1:$P$1,0),FALSE)=0,"",VLOOKUP($E12,'BDD'!$A$1:$S$567,MATCH(K$10,'BDD'!$A$1:$P$1,0),FALSE)),"")</f>
        <v>501</v>
      </c>
      <c r="L12" s="550"/>
      <c r="M12" s="551"/>
      <c r="N12" s="551"/>
      <c r="O12" s="534"/>
      <c r="P12" s="507"/>
    </row>
    <row r="13" ht="155.4" customHeight="1">
      <c r="A13" s="504"/>
      <c r="B13" s="542"/>
      <c r="C13" t="s" s="543">
        <f>IF(LEFT(RIGHT($B$1,2),1)=" ",RIGHT($B$1,1),RIGHT($B$1,2))</f>
        <v>1913</v>
      </c>
      <c r="D13" s="544">
        <f>IF(LEFT(F13,14)="Bonne pratique",D12+1,D12)</f>
        <v>1</v>
      </c>
      <c r="E13" t="s" s="545">
        <f>C13&amp;D13&amp;RIGHT(F13,1)</f>
        <v>1917</v>
      </c>
      <c r="F13" t="s" s="552">
        <v>1772</v>
      </c>
      <c r="G13" t="s" s="540">
        <f>_xlfn.IFERROR(IF(VLOOKUP($E13,'BDD'!$A$1:$S$567,MATCH(G$10,'BDD'!$A$1:$P$1,0),FALSE)=0,"",VLOOKUP($E13,'BDD'!$A$1:$S$567,MATCH(G$10,'BDD'!$A$1:$P$1,0),FALSE)),"")</f>
        <v>505</v>
      </c>
      <c r="H13" t="s" s="553">
        <f>IF(VLOOKUP(E13,'BDD'!$A$1:$S$567,15,FALSE)=0,"Critère non évalué","")</f>
        <v>1770</v>
      </c>
      <c r="I13" t="s" s="552">
        <f>_xlfn.IFERROR(IF(VLOOKUP($E13,'BDD'!$A$1:$S$567,MATCH(I$10,'BDD'!$A$1:$P$1,0),FALSE)=0,"",VLOOKUP($E13,'BDD'!$A$1:$S$567,MATCH(I$10,'BDD'!$A$1:$P$1,0),FALSE)),"")</f>
        <v>271</v>
      </c>
      <c r="J13" s="554"/>
      <c r="K13" t="s" s="540">
        <f>_xlfn.IFERROR(IF(VLOOKUP($E13,'BDD'!$A$1:$S$567,MATCH(K$10,'BDD'!$A$1:$P$1,0),FALSE)=0,"",VLOOKUP($E13,'BDD'!$A$1:$S$567,MATCH(K$10,'BDD'!$A$1:$P$1,0),FALSE)),"")</f>
        <v>506</v>
      </c>
      <c r="L13" s="550"/>
      <c r="M13" s="555"/>
      <c r="N13" s="555"/>
      <c r="O13" s="534"/>
      <c r="P13" s="507"/>
    </row>
    <row r="14" ht="129.6" customHeight="1">
      <c r="A14" s="504"/>
      <c r="B14" s="542"/>
      <c r="C14" t="s" s="543">
        <f>IF(LEFT(RIGHT($B$1,2),1)=" ",RIGHT($B$1,1),RIGHT($B$1,2))</f>
        <v>1913</v>
      </c>
      <c r="D14" s="544">
        <f>IF(LEFT(F14,14)="Bonne pratique",D13+1,D13)</f>
        <v>1</v>
      </c>
      <c r="E14" t="s" s="545">
        <f>C14&amp;D14&amp;RIGHT(F14,1)</f>
        <v>1918</v>
      </c>
      <c r="F14" t="s" s="546">
        <v>1774</v>
      </c>
      <c r="G14" t="s" s="547">
        <f>_xlfn.IFERROR(IF(VLOOKUP($E14,'BDD'!$A$1:$S$567,MATCH(G$10,'BDD'!$A$1:$P$1,0),FALSE)=0,"",VLOOKUP($E14,'BDD'!$A$1:$S$567,MATCH(G$10,'BDD'!$A$1:$P$1,0),FALSE)),"")</f>
        <v>511</v>
      </c>
      <c r="H14" t="s" s="548">
        <f>IF(VLOOKUP(E14,'BDD'!$A$1:$S$567,15,FALSE)=0,"Critère non évalué","")</f>
        <v>1770</v>
      </c>
      <c r="I14" t="s" s="546">
        <f>_xlfn.IFERROR(IF(VLOOKUP($E14,'BDD'!$A$1:$S$567,MATCH(I$10,'BDD'!$A$1:$P$1,0),FALSE)=0,"",VLOOKUP($E14,'BDD'!$A$1:$S$567,MATCH(I$10,'BDD'!$A$1:$P$1,0),FALSE)),"")</f>
        <v>291</v>
      </c>
      <c r="J14" s="549"/>
      <c r="K14" t="s" s="547">
        <f>_xlfn.IFERROR(IF(VLOOKUP($E14,'BDD'!$A$1:$S$567,MATCH(K$10,'BDD'!$A$1:$P$1,0),FALSE)=0,"",VLOOKUP($E14,'BDD'!$A$1:$S$567,MATCH(K$10,'BDD'!$A$1:$P$1,0),FALSE)),"")</f>
        <v>512</v>
      </c>
      <c r="L14" s="550"/>
      <c r="M14" s="551"/>
      <c r="N14" s="551"/>
      <c r="O14" s="534"/>
      <c r="P14" s="507"/>
    </row>
    <row r="15" ht="145.2" customHeight="1">
      <c r="A15" s="504"/>
      <c r="B15" s="542"/>
      <c r="C15" t="s" s="543">
        <f>IF(LEFT(RIGHT($B$1,2),1)=" ",RIGHT($B$1,1),RIGHT($B$1,2))</f>
        <v>1913</v>
      </c>
      <c r="D15" s="544">
        <f>IF(LEFT(F15,14)="Bonne pratique",D14+1,D14)</f>
        <v>1</v>
      </c>
      <c r="E15" t="s" s="545">
        <f>C15&amp;D15&amp;RIGHT(F15,1)</f>
        <v>1919</v>
      </c>
      <c r="F15" t="s" s="552">
        <v>1776</v>
      </c>
      <c r="G15" t="s" s="540">
        <f>_xlfn.IFERROR(IF(VLOOKUP($E15,'BDD'!$A$1:$S$567,MATCH(G$10,'BDD'!$A$1:$P$1,0),FALSE)=0,"",VLOOKUP($E15,'BDD'!$A$1:$S$567,MATCH(G$10,'BDD'!$A$1:$P$1,0),FALSE)),"")</f>
        <v>516</v>
      </c>
      <c r="H15" t="s" s="553">
        <f>IF(VLOOKUP(E15,'BDD'!$A$1:$S$567,15,FALSE)=0,"Critère non évalué","")</f>
        <v>1770</v>
      </c>
      <c r="I15" t="s" s="552">
        <f>_xlfn.IFERROR(IF(VLOOKUP($E15,'BDD'!$A$1:$S$567,MATCH(I$10,'BDD'!$A$1:$P$1,0),FALSE)=0,"",VLOOKUP($E15,'BDD'!$A$1:$S$567,MATCH(I$10,'BDD'!$A$1:$P$1,0),FALSE)),"")</f>
        <v>263</v>
      </c>
      <c r="J15" s="556"/>
      <c r="K15" t="s" s="540">
        <f>_xlfn.IFERROR(IF(VLOOKUP($E15,'BDD'!$A$1:$S$567,MATCH(K$10,'BDD'!$A$1:$P$1,0),FALSE)=0,"",VLOOKUP($E15,'BDD'!$A$1:$S$567,MATCH(K$10,'BDD'!$A$1:$P$1,0),FALSE)),"")</f>
        <v>517</v>
      </c>
      <c r="L15" s="550"/>
      <c r="M15" s="555"/>
      <c r="N15" s="555"/>
      <c r="O15" s="534"/>
      <c r="P15" s="507"/>
    </row>
    <row r="16" ht="130.05" customHeight="1">
      <c r="A16" s="504"/>
      <c r="B16" s="542"/>
      <c r="C16" t="s" s="543">
        <f>IF(LEFT(RIGHT($B$1,2),1)=" ",RIGHT($B$1,1),RIGHT($B$1,2))</f>
        <v>1913</v>
      </c>
      <c r="D16" s="544">
        <f>IF(LEFT(F16,14)="Bonne pratique",D15+1,D15)</f>
        <v>1</v>
      </c>
      <c r="E16" t="s" s="545">
        <f>C16&amp;D16&amp;RIGHT(F16,1)</f>
        <v>1920</v>
      </c>
      <c r="F16" t="s" s="546">
        <v>1778</v>
      </c>
      <c r="G16" t="s" s="547">
        <f>_xlfn.IFERROR(IF(VLOOKUP($E16,'BDD'!$A$1:$S$567,MATCH(G$10,'BDD'!$A$1:$P$1,0),FALSE)=0,"",VLOOKUP($E16,'BDD'!$A$1:$S$567,MATCH(G$10,'BDD'!$A$1:$P$1,0),FALSE)),"")</f>
        <v>521</v>
      </c>
      <c r="H16" t="s" s="548">
        <f>IF(VLOOKUP(E16,'BDD'!$A$1:$S$567,15,FALSE)=0,"Critère non évalué","")</f>
        <v>1770</v>
      </c>
      <c r="I16" t="s" s="546">
        <f>_xlfn.IFERROR(IF(VLOOKUP($E16,'BDD'!$A$1:$S$567,MATCH(I$10,'BDD'!$A$1:$P$1,0),FALSE)=0,"",VLOOKUP($E16,'BDD'!$A$1:$S$567,MATCH(I$10,'BDD'!$A$1:$P$1,0),FALSE)),"")</f>
        <v>271</v>
      </c>
      <c r="J16" s="549"/>
      <c r="K16" t="s" s="547">
        <f>_xlfn.IFERROR(IF(VLOOKUP($E16,'BDD'!$A$1:$S$567,MATCH(K$10,'BDD'!$A$1:$P$1,0),FALSE)=0,"",VLOOKUP($E16,'BDD'!$A$1:$S$567,MATCH(K$10,'BDD'!$A$1:$P$1,0),FALSE)),"")</f>
        <v>522</v>
      </c>
      <c r="L16" s="550"/>
      <c r="M16" s="557"/>
      <c r="N16" s="557"/>
      <c r="O16" s="534"/>
      <c r="P16" s="507"/>
    </row>
    <row r="17" ht="147" customHeight="1">
      <c r="A17" s="504"/>
      <c r="B17" s="542"/>
      <c r="C17" t="s" s="543">
        <f>IF(LEFT(RIGHT($B$1,2),1)=" ",RIGHT($B$1,1),RIGHT($B$1,2))</f>
        <v>1913</v>
      </c>
      <c r="D17" s="544">
        <f>IF(LEFT(F17,14)="Bonne pratique",D16+1,D16)</f>
        <v>1</v>
      </c>
      <c r="E17" t="s" s="545">
        <f>C17&amp;D17&amp;RIGHT(F17,1)</f>
        <v>1921</v>
      </c>
      <c r="F17" t="s" s="552">
        <v>1780</v>
      </c>
      <c r="G17" t="s" s="540">
        <f>_xlfn.IFERROR(IF(VLOOKUP($E17,'BDD'!$A$1:$S$567,MATCH(G$10,'BDD'!$A$1:$P$1,0),FALSE)=0,"",VLOOKUP($E17,'BDD'!$A$1:$S$567,MATCH(G$10,'BDD'!$A$1:$P$1,0),FALSE)),"")</f>
        <v>526</v>
      </c>
      <c r="H17" t="s" s="553">
        <f>IF(VLOOKUP(E17,'BDD'!$A$1:$S$567,15,FALSE)=0,"Critère non évalué","")</f>
        <v>1770</v>
      </c>
      <c r="I17" t="s" s="552">
        <f>_xlfn.IFERROR(IF(VLOOKUP($E17,'BDD'!$A$1:$S$567,MATCH(I$10,'BDD'!$A$1:$P$1,0),FALSE)=0,"",VLOOKUP($E17,'BDD'!$A$1:$S$567,MATCH(I$10,'BDD'!$A$1:$P$1,0),FALSE)),"")</f>
        <v>263</v>
      </c>
      <c r="J17" s="554"/>
      <c r="K17" t="s" s="540">
        <f>_xlfn.IFERROR(IF(VLOOKUP($E17,'BDD'!$A$1:$S$567,MATCH(K$10,'BDD'!$A$1:$P$1,0),FALSE)=0,"",VLOOKUP($E17,'BDD'!$A$1:$S$567,MATCH(K$10,'BDD'!$A$1:$P$1,0),FALSE)),"")</f>
        <v>527</v>
      </c>
      <c r="L17" s="550"/>
      <c r="M17" s="555"/>
      <c r="N17" s="555"/>
      <c r="O17" s="534"/>
      <c r="P17" s="507"/>
    </row>
    <row r="18" ht="130.05" customHeight="1">
      <c r="A18" s="504"/>
      <c r="B18" s="542"/>
      <c r="C18" t="s" s="543">
        <f>IF(LEFT(RIGHT($B$1,2),1)=" ",RIGHT($B$1,1),RIGHT($B$1,2))</f>
        <v>1913</v>
      </c>
      <c r="D18" s="544">
        <f>IF(LEFT(F18,14)="Bonne pratique",D17+1,D17)</f>
        <v>1</v>
      </c>
      <c r="E18" t="s" s="545">
        <f>C18&amp;D18&amp;RIGHT(F18,1)</f>
        <v>1922</v>
      </c>
      <c r="F18" t="s" s="546">
        <v>1782</v>
      </c>
      <c r="G18" t="s" s="547">
        <f>_xlfn.IFERROR(IF(VLOOKUP($E18,'BDD'!$A$1:$S$567,MATCH(G$10,'BDD'!$A$1:$P$1,0),FALSE)=0,"",VLOOKUP($E18,'BDD'!$A$1:$S$567,MATCH(G$10,'BDD'!$A$1:$P$1,0),FALSE)),"")</f>
        <v>530</v>
      </c>
      <c r="H18" t="s" s="548">
        <f>IF(VLOOKUP(E18,'BDD'!$A$1:$S$567,15,FALSE)=0,"Critère non évalué","")</f>
        <v>1770</v>
      </c>
      <c r="I18" t="s" s="546">
        <f>_xlfn.IFERROR(IF(VLOOKUP($E18,'BDD'!$A$1:$S$567,MATCH(I$10,'BDD'!$A$1:$P$1,0),FALSE)=0,"",VLOOKUP($E18,'BDD'!$A$1:$S$567,MATCH(I$10,'BDD'!$A$1:$P$1,0),FALSE)),"")</f>
        <v>271</v>
      </c>
      <c r="J18" s="549"/>
      <c r="K18" t="s" s="547">
        <f>_xlfn.IFERROR(IF(VLOOKUP($E18,'BDD'!$A$1:$S$567,MATCH(K$10,'BDD'!$A$1:$P$1,0),FALSE)=0,"",VLOOKUP($E18,'BDD'!$A$1:$S$567,MATCH(K$10,'BDD'!$A$1:$P$1,0),FALSE)),"")</f>
      </c>
      <c r="L18" s="550"/>
      <c r="M18" s="557"/>
      <c r="N18" s="557"/>
      <c r="O18" s="534"/>
      <c r="P18" s="507"/>
    </row>
    <row r="19" ht="18" customHeight="1">
      <c r="A19" s="504"/>
      <c r="B19" s="61"/>
      <c r="C19" t="s" s="513">
        <f>IF(LEFT(RIGHT($B$1,2),1)=" ",RIGHT($B$1,1),RIGHT($B$1,2))</f>
        <v>1913</v>
      </c>
      <c r="D19" s="514">
        <f>IF(LEFT(F19,14)="Bonne pratique",D18+1,D18)</f>
        <v>1</v>
      </c>
      <c r="E19" t="s" s="558">
        <f>C19&amp;D19&amp;RIGHT(F19,1)</f>
        <v>1923</v>
      </c>
      <c r="F19" s="559"/>
      <c r="G19" t="s" s="560">
        <f>IF('Suppl'!B80=2,"Le vecteur n'est pas utilisé","")</f>
      </c>
      <c r="H19" s="561"/>
      <c r="I19" s="561"/>
      <c r="J19" s="561"/>
      <c r="K19" s="561"/>
      <c r="L19" s="510"/>
      <c r="M19" s="559"/>
      <c r="N19" s="559"/>
      <c r="O19" s="61"/>
      <c r="P19" s="507"/>
    </row>
    <row r="20" ht="15" customHeight="1">
      <c r="A20" s="504"/>
      <c r="B20" s="61"/>
      <c r="C20" t="s" s="513">
        <f>IF(LEFT(RIGHT($B$1,2),1)=" ",RIGHT($B$1,1),RIGHT($B$1,2))</f>
        <v>1913</v>
      </c>
      <c r="D20" s="514">
        <f>IF(LEFT(F20,14)="Bonne pratique",D19+1,D19)</f>
        <v>1</v>
      </c>
      <c r="E20" t="s" s="558">
        <f>C20&amp;D20&amp;RIGHT(F20,1)</f>
        <v>1923</v>
      </c>
      <c r="F20" s="61"/>
      <c r="G20" s="61"/>
      <c r="H20" s="61"/>
      <c r="I20" s="61"/>
      <c r="J20" s="61"/>
      <c r="K20" s="61"/>
      <c r="L20" s="61"/>
      <c r="M20" s="61"/>
      <c r="N20" s="61"/>
      <c r="O20" s="61"/>
      <c r="P20" s="507"/>
    </row>
    <row r="21" ht="25.8" customHeight="1">
      <c r="A21" s="511"/>
      <c r="B21" s="512"/>
      <c r="C21" t="s" s="513">
        <f>IF(LEFT(RIGHT($B$1,2),1)=" ",RIGHT($B$1,1),RIGHT($B$1,2))</f>
        <v>1913</v>
      </c>
      <c r="D21" s="514">
        <f>IF(LEFT(F21,14)="Bonne pratique",D20+1,D20)</f>
        <v>2</v>
      </c>
      <c r="E21" t="s" s="558">
        <f>C21&amp;D21&amp;RIGHT(F21,1)</f>
        <v>1924</v>
      </c>
      <c r="F21" t="s" s="516">
        <v>1785</v>
      </c>
      <c r="G21" s="517"/>
      <c r="H21" s="518"/>
      <c r="I21" s="519"/>
      <c r="J21" t="s" s="520">
        <f>VLOOKUP(E28,'BDD'!$A$2:$N$567,6,FALSE)</f>
        <v>531</v>
      </c>
      <c r="K21" s="521"/>
      <c r="L21" s="517"/>
      <c r="M21" s="517"/>
      <c r="N21" s="517"/>
      <c r="O21" s="512"/>
      <c r="P21" s="522"/>
    </row>
    <row r="22" ht="15" customHeight="1">
      <c r="A22" s="504"/>
      <c r="B22" s="61"/>
      <c r="C22" t="s" s="513">
        <f>IF(LEFT(RIGHT($B$1,2),1)=" ",RIGHT($B$1,1),RIGHT($B$1,2))</f>
        <v>1913</v>
      </c>
      <c r="D22" s="514">
        <f>IF(LEFT(F22,14)="Bonne pratique",D21+1,D21)</f>
        <v>2</v>
      </c>
      <c r="E22" t="s" s="558">
        <f>C22&amp;D22&amp;RIGHT(F22,1)</f>
        <v>1925</v>
      </c>
      <c r="F22" s="61"/>
      <c r="G22" s="61"/>
      <c r="H22" s="61"/>
      <c r="I22" s="61"/>
      <c r="J22" s="61"/>
      <c r="K22" s="61"/>
      <c r="L22" s="61"/>
      <c r="M22" s="61"/>
      <c r="N22" s="61"/>
      <c r="O22" s="61"/>
      <c r="P22" s="507"/>
    </row>
    <row r="23" ht="18" customHeight="1">
      <c r="A23" s="523"/>
      <c r="B23" s="524"/>
      <c r="C23" t="s" s="513">
        <f>IF(LEFT(RIGHT($B$1,2),1)=" ",RIGHT($B$1,1),RIGHT($B$1,2))</f>
        <v>1913</v>
      </c>
      <c r="D23" s="514">
        <f>IF(LEFT(F23,14)="Bonne pratique",D22+1,D22)</f>
        <v>2</v>
      </c>
      <c r="E23" t="s" s="558">
        <f>C23&amp;D23&amp;RIGHT(F23,1)</f>
        <v>1925</v>
      </c>
      <c r="F23" s="524"/>
      <c r="G23" s="524"/>
      <c r="H23" s="524"/>
      <c r="I23" s="525"/>
      <c r="J23" t="s" s="526">
        <v>1926</v>
      </c>
      <c r="K23" s="525"/>
      <c r="L23" s="524"/>
      <c r="M23" s="524"/>
      <c r="N23" s="524"/>
      <c r="O23" s="524"/>
      <c r="P23" s="527"/>
    </row>
    <row r="24" ht="18" customHeight="1">
      <c r="A24" s="504"/>
      <c r="B24" s="61"/>
      <c r="C24" t="s" s="513">
        <f>IF(LEFT(RIGHT($B$1,2),1)=" ",RIGHT($B$1,1),RIGHT($B$1,2))</f>
        <v>1913</v>
      </c>
      <c r="D24" s="514">
        <f>IF(LEFT(F24,14)="Bonne pratique",D23+1,D23)</f>
        <v>2</v>
      </c>
      <c r="E24" t="s" s="558">
        <f>C24&amp;D24&amp;RIGHT(F24,1)</f>
        <v>1925</v>
      </c>
      <c r="F24" s="61"/>
      <c r="G24" s="61"/>
      <c r="H24" s="61"/>
      <c r="I24" s="61"/>
      <c r="J24" t="s" s="526">
        <v>1927</v>
      </c>
      <c r="K24" s="61"/>
      <c r="L24" s="61"/>
      <c r="M24" s="529"/>
      <c r="N24" s="529"/>
      <c r="O24" s="61"/>
      <c r="P24" s="507"/>
    </row>
    <row r="25" ht="15" customHeight="1">
      <c r="A25" s="504"/>
      <c r="B25" s="61"/>
      <c r="C25" t="s" s="513">
        <f>IF(LEFT(RIGHT($B$1,2),1)=" ",RIGHT($B$1,1),RIGHT($B$1,2))</f>
        <v>1913</v>
      </c>
      <c r="D25" s="514">
        <f>IF(LEFT(F25,14)="Bonne pratique",D24+1,D24)</f>
        <v>2</v>
      </c>
      <c r="E25" t="s" s="558">
        <f>C25&amp;D25&amp;RIGHT(F25,1)</f>
        <v>1925</v>
      </c>
      <c r="F25" s="61"/>
      <c r="G25" s="529"/>
      <c r="H25" s="529"/>
      <c r="I25" s="529"/>
      <c r="J25" s="530"/>
      <c r="K25" s="529"/>
      <c r="L25" s="542"/>
      <c r="M25" t="s" s="562">
        <v>1763</v>
      </c>
      <c r="N25" s="563"/>
      <c r="O25" s="534"/>
      <c r="P25" s="507"/>
    </row>
    <row r="26" ht="33" customHeight="1">
      <c r="A26" s="504"/>
      <c r="B26" s="61"/>
      <c r="C26" t="s" s="513">
        <f>IF(LEFT(RIGHT($B$1,2),1)=" ",RIGHT($B$1,1),RIGHT($B$1,2))</f>
        <v>1913</v>
      </c>
      <c r="D26" s="514">
        <f>IF(LEFT(F26,14)="Bonne pratique",D25+1,D25)</f>
        <v>2</v>
      </c>
      <c r="E26" t="s" s="558">
        <f>C26&amp;D26&amp;RIGHT(F26,1)</f>
        <v>1925</v>
      </c>
      <c r="F26" s="564"/>
      <c r="G26" t="s" s="536">
        <v>244</v>
      </c>
      <c r="H26" t="s" s="536">
        <v>1764</v>
      </c>
      <c r="I26" t="s" s="536">
        <v>1787</v>
      </c>
      <c r="J26" t="s" s="536">
        <v>1765</v>
      </c>
      <c r="K26" t="s" s="536">
        <v>1788</v>
      </c>
      <c r="L26" s="538"/>
      <c r="M26" t="s" s="539">
        <v>1766</v>
      </c>
      <c r="N26" t="s" s="540">
        <v>1767</v>
      </c>
      <c r="O26" s="534"/>
      <c r="P26" s="507"/>
    </row>
    <row r="27" ht="15" customHeight="1">
      <c r="A27" s="504"/>
      <c r="B27" s="61"/>
      <c r="C27" t="s" s="513">
        <f>IF(LEFT(RIGHT($B$1,2),1)=" ",RIGHT($B$1,1),RIGHT($B$1,2))</f>
        <v>1913</v>
      </c>
      <c r="D27" s="514">
        <f>IF(LEFT(F27,14)="Bonne pratique",D26+1,D26)</f>
        <v>2</v>
      </c>
      <c r="E27" t="s" s="558">
        <f>C27&amp;D27&amp;RIGHT(F27,1)</f>
        <v>1925</v>
      </c>
      <c r="F27" s="529"/>
      <c r="G27" s="541"/>
      <c r="H27" s="541"/>
      <c r="I27" s="541"/>
      <c r="J27" s="541"/>
      <c r="K27" s="541"/>
      <c r="L27" s="61"/>
      <c r="M27" s="541"/>
      <c r="N27" s="541"/>
      <c r="O27" s="61"/>
      <c r="P27" s="507"/>
    </row>
    <row r="28" ht="130.05" customHeight="1">
      <c r="A28" s="504"/>
      <c r="B28" s="542"/>
      <c r="C28" t="s" s="543">
        <f>IF(LEFT(RIGHT($B$1,2),1)=" ",RIGHT($B$1,1),RIGHT($B$1,2))</f>
        <v>1913</v>
      </c>
      <c r="D28" s="544">
        <f>IF(LEFT(F28,14)="Bonne pratique",D27+1,D27)</f>
        <v>2</v>
      </c>
      <c r="E28" t="s" s="545">
        <f>C28&amp;D28&amp;RIGHT(F28,1)</f>
        <v>1928</v>
      </c>
      <c r="F28" t="s" s="546">
        <v>1769</v>
      </c>
      <c r="G28" t="s" s="547">
        <f>_xlfn.IFERROR(IF(VLOOKUP($E28,'BDD'!$A$1:$S$567,MATCH(G$10,'BDD'!$A$1:$P$1,0),FALSE)=0,"",VLOOKUP($E28,'BDD'!$A$1:$S$567,MATCH(G$10,'BDD'!$A$1:$P$1,0),FALSE)),"")</f>
        <v>533</v>
      </c>
      <c r="H28" t="s" s="548">
        <f>IF(VLOOKUP(E28,'BDD'!$A$1:$S$567,15,FALSE)=0,"Critère non évalué","")</f>
        <v>1770</v>
      </c>
      <c r="I28" t="s" s="546">
        <f>_xlfn.IFERROR(IF(VLOOKUP($E28,'BDD'!$A$1:$S$567,MATCH(I$10,'BDD'!$A$1:$P$1,0),FALSE)=0,"",VLOOKUP($E28,'BDD'!$A$1:$S$567,MATCH(I$10,'BDD'!$A$1:$P$1,0),FALSE)),"")</f>
        <v>283</v>
      </c>
      <c r="J28" s="549"/>
      <c r="K28" t="s" s="547">
        <f>_xlfn.IFERROR(IF(VLOOKUP($E28,'BDD'!$A$1:$S$567,MATCH(K$10,'BDD'!$A$1:$P$1,0),FALSE)=0,"",VLOOKUP($E28,'BDD'!$A$1:$S$567,MATCH(K$10,'BDD'!$A$1:$P$1,0),FALSE)),"")</f>
        <v>1929</v>
      </c>
      <c r="L28" s="550"/>
      <c r="M28" s="551"/>
      <c r="N28" s="551"/>
      <c r="O28" s="534"/>
      <c r="P28" s="507"/>
    </row>
    <row r="29" ht="130.05" customHeight="1">
      <c r="A29" s="504"/>
      <c r="B29" s="542"/>
      <c r="C29" t="s" s="543">
        <f>IF(LEFT(RIGHT($B$1,2),1)=" ",RIGHT($B$1,1),RIGHT($B$1,2))</f>
        <v>1913</v>
      </c>
      <c r="D29" s="544">
        <f>IF(LEFT(F29,14)="Bonne pratique",D28+1,D28)</f>
        <v>2</v>
      </c>
      <c r="E29" t="s" s="545">
        <f>C29&amp;D29&amp;RIGHT(F29,1)</f>
        <v>1924</v>
      </c>
      <c r="F29" t="s" s="552">
        <v>1772</v>
      </c>
      <c r="G29" t="s" s="540">
        <f>_xlfn.IFERROR(IF(VLOOKUP($E29,'BDD'!$A$1:$S$567,MATCH(G$10,'BDD'!$A$1:$P$1,0),FALSE)=0,"",VLOOKUP($E29,'BDD'!$A$1:$S$567,MATCH(G$10,'BDD'!$A$1:$P$1,0),FALSE)),"")</f>
        <v>536</v>
      </c>
      <c r="H29" t="s" s="553">
        <f>IF(VLOOKUP(E29,'BDD'!$A$1:$S$567,15,FALSE)=0,"Critère non évalué","")</f>
        <v>1770</v>
      </c>
      <c r="I29" t="s" s="552">
        <f>_xlfn.IFERROR(IF(VLOOKUP($E29,'BDD'!$A$1:$S$567,MATCH(I$10,'BDD'!$A$1:$P$1,0),FALSE)=0,"",VLOOKUP($E29,'BDD'!$A$1:$S$567,MATCH(I$10,'BDD'!$A$1:$P$1,0),FALSE)),"")</f>
        <v>263</v>
      </c>
      <c r="J29" s="554"/>
      <c r="K29" t="s" s="540">
        <f>_xlfn.IFERROR(IF(VLOOKUP($E29,'BDD'!$A$1:$S$567,MATCH(K$10,'BDD'!$A$1:$P$1,0),FALSE)=0,"",VLOOKUP($E29,'BDD'!$A$1:$S$567,MATCH(K$10,'BDD'!$A$1:$P$1,0),FALSE)),"")</f>
        <v>537</v>
      </c>
      <c r="L29" s="550"/>
      <c r="M29" s="555"/>
      <c r="N29" s="555"/>
      <c r="O29" s="534"/>
      <c r="P29" s="507"/>
    </row>
    <row r="30" ht="130.05" customHeight="1">
      <c r="A30" s="504"/>
      <c r="B30" s="542"/>
      <c r="C30" t="s" s="543">
        <f>IF(LEFT(RIGHT($B$1,2),1)=" ",RIGHT($B$1,1),RIGHT($B$1,2))</f>
        <v>1913</v>
      </c>
      <c r="D30" s="544">
        <f>IF(LEFT(F30,14)="Bonne pratique",D29+1,D29)</f>
        <v>2</v>
      </c>
      <c r="E30" t="s" s="545">
        <f>C30&amp;D30&amp;RIGHT(F30,1)</f>
        <v>1930</v>
      </c>
      <c r="F30" t="s" s="546">
        <v>1774</v>
      </c>
      <c r="G30" t="s" s="547">
        <f>_xlfn.IFERROR(IF(VLOOKUP($E30,'BDD'!$A$1:$S$567,MATCH(G$10,'BDD'!$A$1:$P$1,0),FALSE)=0,"",VLOOKUP($E30,'BDD'!$A$1:$S$567,MATCH(G$10,'BDD'!$A$1:$P$1,0),FALSE)),"")</f>
        <v>539</v>
      </c>
      <c r="H30" t="s" s="548">
        <f>IF(VLOOKUP(E30,'BDD'!$A$1:$S$567,15,FALSE)=0,"Critère non évalué","")</f>
        <v>1770</v>
      </c>
      <c r="I30" t="s" s="546">
        <f>_xlfn.IFERROR(IF(VLOOKUP($E30,'BDD'!$A$1:$S$567,MATCH(I$10,'BDD'!$A$1:$P$1,0),FALSE)=0,"",VLOOKUP($E30,'BDD'!$A$1:$S$567,MATCH(I$10,'BDD'!$A$1:$P$1,0),FALSE)),"")</f>
        <v>263</v>
      </c>
      <c r="J30" s="549"/>
      <c r="K30" t="s" s="547">
        <f>_xlfn.IFERROR(IF(VLOOKUP($E30,'BDD'!$A$1:$S$567,MATCH(K$10,'BDD'!$A$1:$P$1,0),FALSE)=0,"",VLOOKUP($E30,'BDD'!$A$1:$S$567,MATCH(K$10,'BDD'!$A$1:$P$1,0),FALSE)),"")</f>
        <v>540</v>
      </c>
      <c r="L30" s="550"/>
      <c r="M30" s="551"/>
      <c r="N30" s="551"/>
      <c r="O30" s="534"/>
      <c r="P30" s="507"/>
    </row>
    <row r="31" ht="182.4" customHeight="1">
      <c r="A31" s="504"/>
      <c r="B31" s="542"/>
      <c r="C31" t="s" s="543">
        <f>IF(LEFT(RIGHT($B$1,2),1)=" ",RIGHT($B$1,1),RIGHT($B$1,2))</f>
        <v>1913</v>
      </c>
      <c r="D31" s="544">
        <f>IF(LEFT(F31,14)="Bonne pratique",D30+1,D30)</f>
        <v>2</v>
      </c>
      <c r="E31" t="s" s="545">
        <f>C31&amp;D31&amp;RIGHT(F31,1)</f>
        <v>1931</v>
      </c>
      <c r="F31" t="s" s="552">
        <v>1776</v>
      </c>
      <c r="G31" t="s" s="540">
        <f>_xlfn.IFERROR(IF(VLOOKUP($E31,'BDD'!$A$1:$S$567,MATCH(G$10,'BDD'!$A$1:$P$1,0),FALSE)=0,"",VLOOKUP($E31,'BDD'!$A$1:$S$567,MATCH(G$10,'BDD'!$A$1:$P$1,0),FALSE)),"")</f>
        <v>542</v>
      </c>
      <c r="H31" t="s" s="553">
        <f>IF(VLOOKUP(E31,'BDD'!$A$1:$S$567,15,FALSE)=0,"Critère non évalué","")</f>
        <v>1770</v>
      </c>
      <c r="I31" t="s" s="552">
        <f>_xlfn.IFERROR(IF(VLOOKUP($E31,'BDD'!$A$1:$S$567,MATCH(I$10,'BDD'!$A$1:$P$1,0),FALSE)=0,"",VLOOKUP($E31,'BDD'!$A$1:$S$567,MATCH(I$10,'BDD'!$A$1:$P$1,0),FALSE)),"")</f>
        <v>271</v>
      </c>
      <c r="J31" s="556"/>
      <c r="K31" t="s" s="540">
        <f>_xlfn.IFERROR(IF(VLOOKUP($E31,'BDD'!$A$1:$S$567,MATCH(K$10,'BDD'!$A$1:$P$1,0),FALSE)=0,"",VLOOKUP($E31,'BDD'!$A$1:$S$567,MATCH(K$10,'BDD'!$A$1:$P$1,0),FALSE)),"")</f>
        <v>543</v>
      </c>
      <c r="L31" s="550"/>
      <c r="M31" s="555"/>
      <c r="N31" s="555"/>
      <c r="O31" s="534"/>
      <c r="P31" s="507"/>
    </row>
    <row r="32" ht="130.05" customHeight="1">
      <c r="A32" s="504"/>
      <c r="B32" s="542"/>
      <c r="C32" t="s" s="543">
        <f>IF(LEFT(RIGHT($B$1,2),1)=" ",RIGHT($B$1,1),RIGHT($B$1,2))</f>
        <v>1913</v>
      </c>
      <c r="D32" s="544">
        <f>IF(LEFT(F32,14)="Bonne pratique",D31+1,D31)</f>
        <v>2</v>
      </c>
      <c r="E32" t="s" s="545">
        <f>C32&amp;D32&amp;RIGHT(F32,1)</f>
        <v>1932</v>
      </c>
      <c r="F32" t="s" s="546">
        <v>1778</v>
      </c>
      <c r="G32" t="s" s="547">
        <f>_xlfn.IFERROR(IF(VLOOKUP($E32,'BDD'!$A$1:$S$567,MATCH(G$10,'BDD'!$A$1:$P$1,0),FALSE)=0,"",VLOOKUP($E32,'BDD'!$A$1:$S$567,MATCH(G$10,'BDD'!$A$1:$P$1,0),FALSE)),"")</f>
        <v>545</v>
      </c>
      <c r="H32" t="s" s="548">
        <f>IF(VLOOKUP(E32,'BDD'!$A$1:$S$567,15,FALSE)=0,"Critère non évalué","")</f>
        <v>1770</v>
      </c>
      <c r="I32" t="s" s="546">
        <f>_xlfn.IFERROR(IF(VLOOKUP($E32,'BDD'!$A$1:$S$567,MATCH(I$10,'BDD'!$A$1:$P$1,0),FALSE)=0,"",VLOOKUP($E32,'BDD'!$A$1:$S$567,MATCH(I$10,'BDD'!$A$1:$P$1,0),FALSE)),"")</f>
        <v>263</v>
      </c>
      <c r="J32" s="549"/>
      <c r="K32" t="s" s="547">
        <f>_xlfn.IFERROR(IF(VLOOKUP($E32,'BDD'!$A$1:$S$567,MATCH(K$10,'BDD'!$A$1:$P$1,0),FALSE)=0,"",VLOOKUP($E32,'BDD'!$A$1:$S$567,MATCH(K$10,'BDD'!$A$1:$P$1,0),FALSE)),"")</f>
        <v>546</v>
      </c>
      <c r="L32" s="550"/>
      <c r="M32" s="557"/>
      <c r="N32" s="557"/>
      <c r="O32" s="534"/>
      <c r="P32" s="507"/>
    </row>
    <row r="33" ht="130.05" customHeight="1">
      <c r="A33" s="504"/>
      <c r="B33" s="542"/>
      <c r="C33" t="s" s="543">
        <f>IF(LEFT(RIGHT($B$1,2),1)=" ",RIGHT($B$1,1),RIGHT($B$1,2))</f>
        <v>1913</v>
      </c>
      <c r="D33" s="544">
        <f>IF(LEFT(F33,14)="Bonne pratique",D32+1,D32)</f>
        <v>2</v>
      </c>
      <c r="E33" t="s" s="545">
        <f>C33&amp;D33&amp;RIGHT(F33,1)</f>
        <v>1933</v>
      </c>
      <c r="F33" t="s" s="552">
        <v>1780</v>
      </c>
      <c r="G33" t="s" s="540">
        <f>_xlfn.IFERROR(IF(VLOOKUP($E33,'BDD'!$A$1:$S$567,MATCH(G$10,'BDD'!$A$1:$P$1,0),FALSE)=0,"",VLOOKUP($E33,'BDD'!$A$1:$S$567,MATCH(G$10,'BDD'!$A$1:$P$1,0),FALSE)),"")</f>
        <v>548</v>
      </c>
      <c r="H33" t="s" s="553">
        <f>IF(VLOOKUP(E33,'BDD'!$A$1:$S$567,15,FALSE)=0,"Critère non évalué","")</f>
        <v>1770</v>
      </c>
      <c r="I33" t="s" s="552">
        <f>_xlfn.IFERROR(IF(VLOOKUP($E33,'BDD'!$A$1:$S$567,MATCH(I$10,'BDD'!$A$1:$P$1,0),FALSE)=0,"",VLOOKUP($E33,'BDD'!$A$1:$S$567,MATCH(I$10,'BDD'!$A$1:$P$1,0),FALSE)),"")</f>
        <v>283</v>
      </c>
      <c r="J33" s="554"/>
      <c r="K33" t="s" s="540">
        <f>_xlfn.IFERROR(IF(VLOOKUP($E33,'BDD'!$A$1:$S$567,MATCH(K$10,'BDD'!$A$1:$P$1,0),FALSE)=0,"",VLOOKUP($E33,'BDD'!$A$1:$S$567,MATCH(K$10,'BDD'!$A$1:$P$1,0),FALSE)),"")</f>
        <v>549</v>
      </c>
      <c r="L33" s="550"/>
      <c r="M33" s="555"/>
      <c r="N33" s="555"/>
      <c r="O33" s="534"/>
      <c r="P33" s="507"/>
    </row>
    <row r="34" ht="130.05" customHeight="1">
      <c r="A34" s="504"/>
      <c r="B34" s="542"/>
      <c r="C34" t="s" s="543">
        <f>IF(LEFT(RIGHT($B$1,2),1)=" ",RIGHT($B$1,1),RIGHT($B$1,2))</f>
        <v>1913</v>
      </c>
      <c r="D34" s="544">
        <f>IF(LEFT(F34,14)="Bonne pratique",D33+1,D33)</f>
        <v>2</v>
      </c>
      <c r="E34" t="s" s="545">
        <f>C34&amp;D34&amp;RIGHT(F34,1)</f>
        <v>1934</v>
      </c>
      <c r="F34" t="s" s="546">
        <v>1782</v>
      </c>
      <c r="G34" t="s" s="547">
        <f>_xlfn.IFERROR(IF(VLOOKUP($E34,'BDD'!$A$1:$S$567,MATCH(G$10,'BDD'!$A$1:$P$1,0),FALSE)=0,"",VLOOKUP($E34,'BDD'!$A$1:$S$567,MATCH(G$10,'BDD'!$A$1:$P$1,0),FALSE)),"")</f>
        <v>551</v>
      </c>
      <c r="H34" t="s" s="548">
        <f>IF(VLOOKUP(E34,'BDD'!$A$1:$S$567,15,FALSE)=0,"Critère non évalué","")</f>
        <v>1770</v>
      </c>
      <c r="I34" t="s" s="546">
        <f>_xlfn.IFERROR(IF(VLOOKUP($E34,'BDD'!$A$1:$S$567,MATCH(I$10,'BDD'!$A$1:$P$1,0),FALSE)=0,"",VLOOKUP($E34,'BDD'!$A$1:$S$567,MATCH(I$10,'BDD'!$A$1:$P$1,0),FALSE)),"")</f>
        <v>291</v>
      </c>
      <c r="J34" s="549"/>
      <c r="K34" t="s" s="547">
        <f>_xlfn.IFERROR(IF(VLOOKUP($E34,'BDD'!$A$1:$S$567,MATCH(K$10,'BDD'!$A$1:$P$1,0),FALSE)=0,"",VLOOKUP($E34,'BDD'!$A$1:$S$567,MATCH(K$10,'BDD'!$A$1:$P$1,0),FALSE)),"")</f>
        <v>552</v>
      </c>
      <c r="L34" s="550"/>
      <c r="M34" s="557"/>
      <c r="N34" s="557"/>
      <c r="O34" s="534"/>
      <c r="P34" s="507"/>
    </row>
    <row r="35" ht="18" customHeight="1">
      <c r="A35" s="504"/>
      <c r="B35" s="61"/>
      <c r="C35" t="s" s="513">
        <f>IF(LEFT(RIGHT($B$1,2),1)=" ",RIGHT($B$1,1),RIGHT($B$1,2))</f>
        <v>1913</v>
      </c>
      <c r="D35" s="514">
        <f>IF(LEFT(F35,14)="Bonne pratique",D34+1,D34)</f>
        <v>2</v>
      </c>
      <c r="E35" t="s" s="558">
        <f>C35&amp;D35&amp;RIGHT(F35,1)</f>
        <v>1925</v>
      </c>
      <c r="F35" s="559"/>
      <c r="G35" t="s" s="560">
        <f>IF('Suppl'!B96=2,"Le vecteur n'est pas utilisé","")</f>
      </c>
      <c r="H35" s="561"/>
      <c r="I35" s="559"/>
      <c r="J35" s="561"/>
      <c r="K35" s="561"/>
      <c r="L35" s="510"/>
      <c r="M35" s="559"/>
      <c r="N35" s="559"/>
      <c r="O35" s="61"/>
      <c r="P35" s="507"/>
    </row>
    <row r="36" ht="15" customHeight="1">
      <c r="A36" s="504"/>
      <c r="B36" s="61"/>
      <c r="C36" t="s" s="513">
        <f>IF(LEFT(RIGHT($B$1,2),1)=" ",RIGHT($B$1,1),RIGHT($B$1,2))</f>
        <v>1913</v>
      </c>
      <c r="D36" s="514">
        <f>IF(LEFT(F36,14)="Bonne pratique",D35+1,D35)</f>
        <v>2</v>
      </c>
      <c r="E36" t="s" s="558">
        <f>C36&amp;D36&amp;RIGHT(F36,1)</f>
        <v>1925</v>
      </c>
      <c r="F36" s="61"/>
      <c r="G36" s="61"/>
      <c r="H36" s="61"/>
      <c r="I36" s="61"/>
      <c r="J36" s="61"/>
      <c r="K36" s="61"/>
      <c r="L36" s="61"/>
      <c r="M36" s="61"/>
      <c r="N36" s="61"/>
      <c r="O36" s="61"/>
      <c r="P36" s="507"/>
    </row>
    <row r="37" ht="25.8" customHeight="1">
      <c r="A37" s="511"/>
      <c r="B37" s="512"/>
      <c r="C37" t="s" s="513">
        <f>IF(LEFT(RIGHT($B$1,2),1)=" ",RIGHT($B$1,1),RIGHT($B$1,2))</f>
        <v>1913</v>
      </c>
      <c r="D37" s="514">
        <f>IF(LEFT(F37,14)="Bonne pratique",D36+1,D36)</f>
        <v>3</v>
      </c>
      <c r="E37" t="s" s="558">
        <f>C37&amp;D37&amp;RIGHT(F37,1)</f>
        <v>1935</v>
      </c>
      <c r="F37" t="s" s="516">
        <v>1797</v>
      </c>
      <c r="G37" s="517"/>
      <c r="H37" s="518"/>
      <c r="I37" s="519"/>
      <c r="J37" t="s" s="520">
        <f>VLOOKUP(E44,'BDD'!$A$2:$N$567,6,FALSE)</f>
        <v>553</v>
      </c>
      <c r="K37" s="521"/>
      <c r="L37" s="517"/>
      <c r="M37" s="517"/>
      <c r="N37" s="517"/>
      <c r="O37" s="512"/>
      <c r="P37" s="522"/>
    </row>
    <row r="38" ht="15" customHeight="1">
      <c r="A38" s="504"/>
      <c r="B38" s="61"/>
      <c r="C38" t="s" s="513">
        <f>IF(LEFT(RIGHT($B$1,2),1)=" ",RIGHT($B$1,1),RIGHT($B$1,2))</f>
        <v>1913</v>
      </c>
      <c r="D38" s="514">
        <f>IF(LEFT(F38,14)="Bonne pratique",D37+1,D37)</f>
        <v>3</v>
      </c>
      <c r="E38" t="s" s="558">
        <f>C38&amp;D38&amp;RIGHT(F38,1)</f>
        <v>1936</v>
      </c>
      <c r="F38" s="61"/>
      <c r="G38" s="61"/>
      <c r="H38" s="61"/>
      <c r="I38" s="61"/>
      <c r="J38" s="61"/>
      <c r="K38" s="61"/>
      <c r="L38" s="61"/>
      <c r="M38" s="61"/>
      <c r="N38" s="61"/>
      <c r="O38" s="61"/>
      <c r="P38" s="507"/>
    </row>
    <row r="39" ht="18" customHeight="1">
      <c r="A39" s="523"/>
      <c r="B39" s="524"/>
      <c r="C39" t="s" s="513">
        <f>IF(LEFT(RIGHT($B$1,2),1)=" ",RIGHT($B$1,1),RIGHT($B$1,2))</f>
        <v>1913</v>
      </c>
      <c r="D39" s="514">
        <f>IF(LEFT(F39,14)="Bonne pratique",D38+1,D38)</f>
        <v>3</v>
      </c>
      <c r="E39" t="s" s="558">
        <f>C39&amp;D39&amp;RIGHT(F39,1)</f>
        <v>1936</v>
      </c>
      <c r="F39" s="524"/>
      <c r="G39" s="524"/>
      <c r="H39" s="524"/>
      <c r="I39" s="525"/>
      <c r="J39" t="s" s="526">
        <v>1937</v>
      </c>
      <c r="K39" s="525"/>
      <c r="L39" s="524"/>
      <c r="M39" s="524"/>
      <c r="N39" s="524"/>
      <c r="O39" s="524"/>
      <c r="P39" s="527"/>
    </row>
    <row r="40" ht="18" customHeight="1">
      <c r="A40" s="504"/>
      <c r="B40" s="61"/>
      <c r="C40" t="s" s="513">
        <f>IF(LEFT(RIGHT($B$1,2),1)=" ",RIGHT($B$1,1),RIGHT($B$1,2))</f>
        <v>1913</v>
      </c>
      <c r="D40" s="514">
        <f>IF(LEFT(F40,14)="Bonne pratique",D39+1,D39)</f>
        <v>3</v>
      </c>
      <c r="E40" t="s" s="558">
        <f>C40&amp;D40&amp;RIGHT(F40,1)</f>
        <v>1936</v>
      </c>
      <c r="F40" s="61"/>
      <c r="G40" s="61"/>
      <c r="H40" s="61"/>
      <c r="I40" s="61"/>
      <c r="J40" t="s" s="526">
        <v>1938</v>
      </c>
      <c r="K40" s="61"/>
      <c r="L40" s="61"/>
      <c r="M40" s="529"/>
      <c r="N40" s="529"/>
      <c r="O40" s="61"/>
      <c r="P40" s="507"/>
    </row>
    <row r="41" ht="15" customHeight="1">
      <c r="A41" s="504"/>
      <c r="B41" s="61"/>
      <c r="C41" t="s" s="513">
        <f>IF(LEFT(RIGHT($B$1,2),1)=" ",RIGHT($B$1,1),RIGHT($B$1,2))</f>
        <v>1913</v>
      </c>
      <c r="D41" s="514">
        <f>IF(LEFT(F41,14)="Bonne pratique",D40+1,D40)</f>
        <v>3</v>
      </c>
      <c r="E41" t="s" s="558">
        <f>C41&amp;D41&amp;RIGHT(F41,1)</f>
        <v>1936</v>
      </c>
      <c r="F41" s="61"/>
      <c r="G41" s="529"/>
      <c r="H41" s="529"/>
      <c r="I41" s="529"/>
      <c r="J41" s="530"/>
      <c r="K41" s="529"/>
      <c r="L41" s="542"/>
      <c r="M41" t="s" s="562">
        <v>1763</v>
      </c>
      <c r="N41" s="563"/>
      <c r="O41" s="534"/>
      <c r="P41" s="507"/>
    </row>
    <row r="42" ht="33" customHeight="1">
      <c r="A42" s="504"/>
      <c r="B42" s="61"/>
      <c r="C42" t="s" s="513">
        <f>IF(LEFT(RIGHT($B$1,2),1)=" ",RIGHT($B$1,1),RIGHT($B$1,2))</f>
        <v>1913</v>
      </c>
      <c r="D42" s="514">
        <f>IF(LEFT(F42,14)="Bonne pratique",D41+1,D41)</f>
        <v>3</v>
      </c>
      <c r="E42" t="s" s="558">
        <f>C42&amp;D42&amp;RIGHT(F42,1)</f>
        <v>1936</v>
      </c>
      <c r="F42" s="535"/>
      <c r="G42" t="s" s="536">
        <v>244</v>
      </c>
      <c r="H42" t="s" s="536">
        <v>1764</v>
      </c>
      <c r="I42" t="s" s="536">
        <v>1787</v>
      </c>
      <c r="J42" t="s" s="536">
        <v>1765</v>
      </c>
      <c r="K42" t="s" s="536">
        <v>1788</v>
      </c>
      <c r="L42" s="538"/>
      <c r="M42" t="s" s="539">
        <v>1766</v>
      </c>
      <c r="N42" t="s" s="540">
        <v>1767</v>
      </c>
      <c r="O42" s="534"/>
      <c r="P42" s="507"/>
    </row>
    <row r="43" ht="15" customHeight="1">
      <c r="A43" s="504"/>
      <c r="B43" s="61"/>
      <c r="C43" t="s" s="513">
        <f>IF(LEFT(RIGHT($B$1,2),1)=" ",RIGHT($B$1,1),RIGHT($B$1,2))</f>
        <v>1913</v>
      </c>
      <c r="D43" s="514">
        <f>IF(LEFT(F43,14)="Bonne pratique",D42+1,D42)</f>
        <v>3</v>
      </c>
      <c r="E43" t="s" s="558">
        <f>C43&amp;D43&amp;RIGHT(F43,1)</f>
        <v>1936</v>
      </c>
      <c r="F43" s="529"/>
      <c r="G43" s="541"/>
      <c r="H43" s="541"/>
      <c r="I43" s="541"/>
      <c r="J43" s="541"/>
      <c r="K43" s="541"/>
      <c r="L43" s="61"/>
      <c r="M43" s="541"/>
      <c r="N43" s="541"/>
      <c r="O43" s="61"/>
      <c r="P43" s="507"/>
    </row>
    <row r="44" ht="130.05" customHeight="1">
      <c r="A44" s="504"/>
      <c r="B44" s="542"/>
      <c r="C44" t="s" s="543">
        <f>IF(LEFT(RIGHT($B$1,2),1)=" ",RIGHT($B$1,1),RIGHT($B$1,2))</f>
        <v>1913</v>
      </c>
      <c r="D44" s="544">
        <f>IF(LEFT(F44,14)="Bonne pratique",D43+1,D43)</f>
        <v>3</v>
      </c>
      <c r="E44" t="s" s="545">
        <f>C44&amp;D44&amp;RIGHT(F44,1)</f>
        <v>1939</v>
      </c>
      <c r="F44" t="s" s="546">
        <v>1769</v>
      </c>
      <c r="G44" t="s" s="547">
        <f>_xlfn.IFERROR(IF(VLOOKUP($E44,'BDD'!$A$1:$S$567,MATCH(G$10,'BDD'!$A$1:$P$1,0),FALSE)=0,"",VLOOKUP($E44,'BDD'!$A$1:$S$567,MATCH(G$10,'BDD'!$A$1:$P$1,0),FALSE)),"")</f>
        <v>555</v>
      </c>
      <c r="H44" t="s" s="548">
        <f>IF(VLOOKUP(E44,'BDD'!$A$1:$S$567,15,FALSE)=0,"Critère non évalué","")</f>
        <v>1770</v>
      </c>
      <c r="I44" t="s" s="546">
        <f>_xlfn.IFERROR(IF(VLOOKUP($E44,'BDD'!$A$1:$S$567,MATCH(I$10,'BDD'!$A$1:$P$1,0),FALSE)=0,"",VLOOKUP($E44,'BDD'!$A$1:$S$567,MATCH(I$10,'BDD'!$A$1:$P$1,0),FALSE)),"")</f>
        <v>291</v>
      </c>
      <c r="J44" s="549"/>
      <c r="K44" t="s" s="547">
        <f>_xlfn.IFERROR(IF(VLOOKUP($E44,'BDD'!$A$1:$S$567,MATCH(K$10,'BDD'!$A$1:$P$1,0),FALSE)=0,"",VLOOKUP($E44,'BDD'!$A$1:$S$567,MATCH(K$10,'BDD'!$A$1:$P$1,0),FALSE)),"")</f>
        <v>556</v>
      </c>
      <c r="L44" s="550"/>
      <c r="M44" s="551"/>
      <c r="N44" s="551"/>
      <c r="O44" s="534"/>
      <c r="P44" s="507"/>
    </row>
    <row r="45" ht="150" customHeight="1">
      <c r="A45" s="504"/>
      <c r="B45" s="542"/>
      <c r="C45" t="s" s="543">
        <f>IF(LEFT(RIGHT($B$1,2),1)=" ",RIGHT($B$1,1),RIGHT($B$1,2))</f>
        <v>1913</v>
      </c>
      <c r="D45" s="544">
        <f>IF(LEFT(F45,14)="Bonne pratique",D44+1,D44)</f>
        <v>3</v>
      </c>
      <c r="E45" t="s" s="545">
        <f>C45&amp;D45&amp;RIGHT(F45,1)</f>
        <v>1940</v>
      </c>
      <c r="F45" t="s" s="552">
        <v>1772</v>
      </c>
      <c r="G45" t="s" s="540">
        <f>_xlfn.IFERROR(IF(VLOOKUP($E45,'BDD'!$A$1:$S$567,MATCH(G$10,'BDD'!$A$1:$P$1,0),FALSE)=0,"",VLOOKUP($E45,'BDD'!$A$1:$S$567,MATCH(G$10,'BDD'!$A$1:$P$1,0),FALSE)),"")</f>
        <v>558</v>
      </c>
      <c r="H45" t="s" s="553">
        <f>IF(VLOOKUP(E45,'BDD'!$A$1:$S$567,15,FALSE)=0,"Critère non évalué","")</f>
        <v>1770</v>
      </c>
      <c r="I45" t="s" s="552">
        <f>_xlfn.IFERROR(IF(VLOOKUP($E45,'BDD'!$A$1:$S$567,MATCH(I$10,'BDD'!$A$1:$P$1,0),FALSE)=0,"",VLOOKUP($E45,'BDD'!$A$1:$S$567,MATCH(I$10,'BDD'!$A$1:$P$1,0),FALSE)),"")</f>
        <v>291</v>
      </c>
      <c r="J45" s="554"/>
      <c r="K45" t="s" s="540">
        <f>_xlfn.IFERROR(IF(VLOOKUP($E45,'BDD'!$A$1:$S$567,MATCH(K$10,'BDD'!$A$1:$P$1,0),FALSE)=0,"",VLOOKUP($E45,'BDD'!$A$1:$S$567,MATCH(K$10,'BDD'!$A$1:$P$1,0),FALSE)),"")</f>
        <v>559</v>
      </c>
      <c r="L45" s="550"/>
      <c r="M45" s="555"/>
      <c r="N45" s="555"/>
      <c r="O45" s="534"/>
      <c r="P45" s="507"/>
    </row>
    <row r="46" ht="130.05" customHeight="1">
      <c r="A46" s="504"/>
      <c r="B46" s="542"/>
      <c r="C46" t="s" s="543">
        <f>IF(LEFT(RIGHT($B$1,2),1)=" ",RIGHT($B$1,1),RIGHT($B$1,2))</f>
        <v>1913</v>
      </c>
      <c r="D46" s="544">
        <f>IF(LEFT(F46,14)="Bonne pratique",D45+1,D45)</f>
        <v>3</v>
      </c>
      <c r="E46" t="s" s="545">
        <f>C46&amp;D46&amp;RIGHT(F46,1)</f>
        <v>1935</v>
      </c>
      <c r="F46" t="s" s="546">
        <v>1774</v>
      </c>
      <c r="G46" t="s" s="547">
        <f>_xlfn.IFERROR(IF(VLOOKUP($E46,'BDD'!$A$1:$S$567,MATCH(G$10,'BDD'!$A$1:$P$1,0),FALSE)=0,"",VLOOKUP($E46,'BDD'!$A$1:$S$567,MATCH(G$10,'BDD'!$A$1:$P$1,0),FALSE)),"")</f>
        <v>561</v>
      </c>
      <c r="H46" t="s" s="548">
        <f>IF(VLOOKUP(E46,'BDD'!$A$1:$S$567,15,FALSE)=0,"Critère non évalué","")</f>
        <v>1770</v>
      </c>
      <c r="I46" t="s" s="546">
        <v>283</v>
      </c>
      <c r="J46" s="549"/>
      <c r="K46" t="s" s="547">
        <f>_xlfn.IFERROR(IF(VLOOKUP($E46,'BDD'!$A$1:$S$567,MATCH(K$10,'BDD'!$A$1:$P$1,0),FALSE)=0,"",VLOOKUP($E46,'BDD'!$A$1:$S$567,MATCH(K$10,'BDD'!$A$1:$P$1,0),FALSE)),"")</f>
      </c>
      <c r="L46" s="550"/>
      <c r="M46" s="551"/>
      <c r="N46" s="551"/>
      <c r="O46" s="534"/>
      <c r="P46" s="507"/>
    </row>
    <row r="47" ht="120" customHeight="1" hidden="1">
      <c r="A47" s="504"/>
      <c r="B47" s="542"/>
      <c r="C47" t="s" s="543">
        <f>IF(LEFT(RIGHT($B$1,2),1)=" ",RIGHT($B$1,1),RIGHT($B$1,2))</f>
        <v>1913</v>
      </c>
      <c r="D47" s="544">
        <f>IF(LEFT(F47,14)="Bonne pratique",D46+1,D46)</f>
        <v>3</v>
      </c>
      <c r="E47" t="s" s="545">
        <f>C47&amp;D47&amp;RIGHT(F47,1)</f>
        <v>1941</v>
      </c>
      <c r="F47" t="s" s="552">
        <v>1776</v>
      </c>
      <c r="G47" t="s" s="540">
        <f>_xlfn.IFERROR(IF(VLOOKUP($E47,'BDD'!$A$1:$S$567,MATCH(G$10,'BDD'!$A$1:$P$1,0),FALSE)=0,"",VLOOKUP($E47,'BDD'!$A$1:$S$567,MATCH(G$10,'BDD'!$A$1:$P$1,0),FALSE)),"")</f>
      </c>
      <c r="H47" t="s" s="553">
        <f>IF(VLOOKUP(E47,'BDD'!$A$1:$S$567,15,FALSE)=0,"Critère non évalué","")</f>
        <v>1770</v>
      </c>
      <c r="I47" t="s" s="552">
        <v>256</v>
      </c>
      <c r="J47" s="556"/>
      <c r="K47" t="s" s="540">
        <f>_xlfn.IFERROR(IF(VLOOKUP($E47,'BDD'!$A$1:$S$567,MATCH(K$10,'BDD'!$A$1:$P$1,0),FALSE)=0,"",VLOOKUP($E47,'BDD'!$A$1:$S$567,MATCH(K$10,'BDD'!$A$1:$P$1,0),FALSE)),"")</f>
      </c>
      <c r="L47" s="550"/>
      <c r="M47" s="555"/>
      <c r="N47" s="555"/>
      <c r="O47" s="534"/>
      <c r="P47" s="507"/>
    </row>
    <row r="48" ht="130.05" customHeight="1" hidden="1">
      <c r="A48" s="504"/>
      <c r="B48" s="542"/>
      <c r="C48" t="s" s="543">
        <f>IF(LEFT(RIGHT($B$1,2),1)=" ",RIGHT($B$1,1),RIGHT($B$1,2))</f>
        <v>1913</v>
      </c>
      <c r="D48" s="544">
        <f>IF(LEFT(F48,14)="Bonne pratique",D47+1,D47)</f>
        <v>3</v>
      </c>
      <c r="E48" t="s" s="545">
        <f>C48&amp;D48&amp;RIGHT(F48,1)</f>
        <v>1942</v>
      </c>
      <c r="F48" t="s" s="546">
        <v>1778</v>
      </c>
      <c r="G48" t="s" s="547">
        <f>_xlfn.IFERROR(IF(VLOOKUP($E48,'BDD'!$A$1:$S$567,MATCH(G$10,'BDD'!$A$1:$P$1,0),FALSE)=0,"",VLOOKUP($E48,'BDD'!$A$1:$S$567,MATCH(G$10,'BDD'!$A$1:$P$1,0),FALSE)),"")</f>
      </c>
      <c r="H48" t="s" s="548">
        <f>IF(VLOOKUP(E48,'BDD'!$A$1:$S$567,15,FALSE)=0,"Critère non évalué","")</f>
        <v>1770</v>
      </c>
      <c r="I48" t="s" s="546">
        <v>283</v>
      </c>
      <c r="J48" s="549"/>
      <c r="K48" t="s" s="547">
        <f>_xlfn.IFERROR(IF(VLOOKUP($E48,'BDD'!$A$1:$S$567,MATCH(K$10,'BDD'!$A$1:$P$1,0),FALSE)=0,"",VLOOKUP($E48,'BDD'!$A$1:$S$567,MATCH(K$10,'BDD'!$A$1:$P$1,0),FALSE)),"")</f>
      </c>
      <c r="L48" s="550"/>
      <c r="M48" s="551"/>
      <c r="N48" s="551"/>
      <c r="O48" s="534"/>
      <c r="P48" s="507"/>
    </row>
    <row r="49" ht="120" customHeight="1" hidden="1">
      <c r="A49" s="504"/>
      <c r="B49" s="542"/>
      <c r="C49" t="s" s="543">
        <f>IF(LEFT(RIGHT($B$1,2),1)=" ",RIGHT($B$1,1),RIGHT($B$1,2))</f>
        <v>1913</v>
      </c>
      <c r="D49" s="544">
        <f>IF(LEFT(F49,14)="Bonne pratique",D48+1,D48)</f>
        <v>3</v>
      </c>
      <c r="E49" t="s" s="545">
        <f>C49&amp;D49&amp;RIGHT(F49,1)</f>
        <v>1943</v>
      </c>
      <c r="F49" t="s" s="552">
        <v>1780</v>
      </c>
      <c r="G49" t="s" s="540">
        <f>_xlfn.IFERROR(IF(VLOOKUP($E49,'BDD'!$A$1:$S$567,MATCH(G$10,'BDD'!$A$1:$P$1,0),FALSE)=0,"",VLOOKUP($E49,'BDD'!$A$1:$S$567,MATCH(G$10,'BDD'!$A$1:$P$1,0),FALSE)),"")</f>
      </c>
      <c r="H49" t="s" s="553">
        <f>IF(VLOOKUP(E49,'BDD'!$A$1:$S$567,15,FALSE)=0,"Critère non évalué","")</f>
        <v>1770</v>
      </c>
      <c r="I49" t="s" s="552">
        <v>256</v>
      </c>
      <c r="J49" s="556"/>
      <c r="K49" t="s" s="540">
        <f>_xlfn.IFERROR(IF(VLOOKUP($E49,'BDD'!$A$1:$S$567,MATCH(K$10,'BDD'!$A$1:$P$1,0),FALSE)=0,"",VLOOKUP($E49,'BDD'!$A$1:$S$567,MATCH(K$10,'BDD'!$A$1:$P$1,0),FALSE)),"")</f>
      </c>
      <c r="L49" s="550"/>
      <c r="M49" s="555"/>
      <c r="N49" s="555"/>
      <c r="O49" s="534"/>
      <c r="P49" s="507"/>
    </row>
    <row r="50" ht="130.05" customHeight="1" hidden="1">
      <c r="A50" s="504"/>
      <c r="B50" s="542"/>
      <c r="C50" t="s" s="543">
        <f>IF(LEFT(RIGHT($B$1,2),1)=" ",RIGHT($B$1,1),RIGHT($B$1,2))</f>
        <v>1913</v>
      </c>
      <c r="D50" s="544">
        <f>IF(LEFT(F50,14)="Bonne pratique",D49+1,D49)</f>
        <v>3</v>
      </c>
      <c r="E50" t="s" s="545">
        <f>C50&amp;D50&amp;RIGHT(F50,1)</f>
        <v>1944</v>
      </c>
      <c r="F50" t="s" s="546">
        <v>1782</v>
      </c>
      <c r="G50" t="s" s="547">
        <f>_xlfn.IFERROR(IF(VLOOKUP($E50,'BDD'!$A$1:$S$567,MATCH(G$10,'BDD'!$A$1:$P$1,0),FALSE)=0,"",VLOOKUP($E50,'BDD'!$A$1:$S$567,MATCH(G$10,'BDD'!$A$1:$P$1,0),FALSE)),"")</f>
      </c>
      <c r="H50" t="s" s="548">
        <f>IF(VLOOKUP(E50,'BDD'!$A$1:$S$567,15,FALSE)=0,"Critère non évalué","")</f>
        <v>1770</v>
      </c>
      <c r="I50" t="s" s="546">
        <v>283</v>
      </c>
      <c r="J50" s="549"/>
      <c r="K50" t="s" s="547">
        <f>_xlfn.IFERROR(IF(VLOOKUP($E50,'BDD'!$A$1:$S$567,MATCH(K$10,'BDD'!$A$1:$P$1,0),FALSE)=0,"",VLOOKUP($E50,'BDD'!$A$1:$S$567,MATCH(K$10,'BDD'!$A$1:$P$1,0),FALSE)),"")</f>
      </c>
      <c r="L50" s="550"/>
      <c r="M50" s="551"/>
      <c r="N50" s="551"/>
      <c r="O50" s="534"/>
      <c r="P50" s="507"/>
    </row>
    <row r="51" ht="18" customHeight="1">
      <c r="A51" s="504"/>
      <c r="B51" s="61"/>
      <c r="C51" t="s" s="513">
        <f>IF(LEFT(RIGHT($B$1,2),1)=" ",RIGHT($B$1,1),RIGHT($B$1,2))</f>
        <v>1913</v>
      </c>
      <c r="D51" s="61"/>
      <c r="E51" s="565"/>
      <c r="F51" s="559"/>
      <c r="G51" s="561"/>
      <c r="H51" s="561"/>
      <c r="I51" s="561"/>
      <c r="J51" s="561"/>
      <c r="K51" s="561"/>
      <c r="L51" s="510"/>
      <c r="M51" s="559"/>
      <c r="N51" s="559"/>
      <c r="O51" s="61"/>
      <c r="P51" s="507"/>
    </row>
    <row r="52" ht="15" customHeight="1">
      <c r="A52" s="504"/>
      <c r="B52" s="61"/>
      <c r="C52" t="s" s="513">
        <f>IF(LEFT(RIGHT($B$1,2),1)=" ",RIGHT($B$1,1),RIGHT($B$1,2))</f>
        <v>1913</v>
      </c>
      <c r="D52" s="514">
        <f>IF(LEFT(F52,14)="Bonne pratique",D48+1,D48)</f>
        <v>3</v>
      </c>
      <c r="E52" t="s" s="558">
        <f>C52&amp;D52&amp;RIGHT(F52,1)</f>
        <v>1936</v>
      </c>
      <c r="F52" s="61"/>
      <c r="G52" s="61"/>
      <c r="H52" s="61"/>
      <c r="I52" s="61"/>
      <c r="J52" s="61"/>
      <c r="K52" s="61"/>
      <c r="L52" s="61"/>
      <c r="M52" s="61"/>
      <c r="N52" s="61"/>
      <c r="O52" s="61"/>
      <c r="P52" s="507"/>
    </row>
    <row r="53" ht="25.8" customHeight="1">
      <c r="A53" s="511"/>
      <c r="B53" s="512"/>
      <c r="C53" t="s" s="513">
        <f>IF(LEFT(RIGHT($B$1,2),1)=" ",RIGHT($B$1,1),RIGHT($B$1,2))</f>
        <v>1913</v>
      </c>
      <c r="D53" s="514">
        <f>IF(LEFT(F53,14)="Bonne pratique",D52+1,D52)</f>
        <v>4</v>
      </c>
      <c r="E53" t="s" s="558">
        <f>C53&amp;D53&amp;RIGHT(F53,1)</f>
        <v>1945</v>
      </c>
      <c r="F53" t="s" s="516">
        <v>1806</v>
      </c>
      <c r="G53" s="517"/>
      <c r="H53" s="518"/>
      <c r="I53" s="519"/>
      <c r="J53" t="s" s="520">
        <f>VLOOKUP(E60,'BDD'!$A$2:$N$567,6,FALSE)</f>
        <v>566</v>
      </c>
      <c r="K53" s="521"/>
      <c r="L53" s="517"/>
      <c r="M53" s="517"/>
      <c r="N53" s="517"/>
      <c r="O53" s="512"/>
      <c r="P53" s="522"/>
    </row>
    <row r="54" ht="15" customHeight="1">
      <c r="A54" s="504"/>
      <c r="B54" s="61"/>
      <c r="C54" t="s" s="513">
        <f>IF(LEFT(RIGHT($B$1,2),1)=" ",RIGHT($B$1,1),RIGHT($B$1,2))</f>
        <v>1913</v>
      </c>
      <c r="D54" s="514">
        <f>IF(LEFT(F54,14)="Bonne pratique",D53+1,D53)</f>
        <v>4</v>
      </c>
      <c r="E54" t="s" s="558">
        <f>C54&amp;D54&amp;RIGHT(F54,1)</f>
        <v>1946</v>
      </c>
      <c r="F54" s="61"/>
      <c r="G54" s="61"/>
      <c r="H54" s="61"/>
      <c r="I54" s="61"/>
      <c r="J54" s="61"/>
      <c r="K54" s="61"/>
      <c r="L54" s="61"/>
      <c r="M54" s="61"/>
      <c r="N54" s="61"/>
      <c r="O54" s="61"/>
      <c r="P54" s="507"/>
    </row>
    <row r="55" ht="18" customHeight="1">
      <c r="A55" s="523"/>
      <c r="B55" s="524"/>
      <c r="C55" t="s" s="513">
        <f>IF(LEFT(RIGHT($B$1,2),1)=" ",RIGHT($B$1,1),RIGHT($B$1,2))</f>
        <v>1913</v>
      </c>
      <c r="D55" s="514">
        <f>IF(LEFT(F55,14)="Bonne pratique",D54+1,D54)</f>
        <v>4</v>
      </c>
      <c r="E55" t="s" s="558">
        <f>C55&amp;D55&amp;RIGHT(F55,1)</f>
        <v>1946</v>
      </c>
      <c r="F55" s="524"/>
      <c r="G55" s="524"/>
      <c r="H55" s="524"/>
      <c r="I55" s="525"/>
      <c r="J55" t="s" s="526">
        <v>567</v>
      </c>
      <c r="K55" s="525"/>
      <c r="L55" s="524"/>
      <c r="M55" s="524"/>
      <c r="N55" s="524"/>
      <c r="O55" s="524"/>
      <c r="P55" s="527"/>
    </row>
    <row r="56" ht="18" customHeight="1">
      <c r="A56" s="504"/>
      <c r="B56" s="61"/>
      <c r="C56" t="s" s="513">
        <f>IF(LEFT(RIGHT($B$1,2),1)=" ",RIGHT($B$1,1),RIGHT($B$1,2))</f>
        <v>1913</v>
      </c>
      <c r="D56" s="514">
        <f>IF(LEFT(F56,14)="Bonne pratique",D55+1,D55)</f>
        <v>4</v>
      </c>
      <c r="E56" t="s" s="558">
        <f>C56&amp;D56&amp;RIGHT(F56,1)</f>
        <v>1946</v>
      </c>
      <c r="F56" s="61"/>
      <c r="G56" s="61"/>
      <c r="H56" s="61"/>
      <c r="I56" s="61"/>
      <c r="J56" s="528"/>
      <c r="K56" s="61"/>
      <c r="L56" s="61"/>
      <c r="M56" s="529"/>
      <c r="N56" s="529"/>
      <c r="O56" s="61"/>
      <c r="P56" s="507"/>
    </row>
    <row r="57" ht="15" customHeight="1">
      <c r="A57" s="504"/>
      <c r="B57" s="61"/>
      <c r="C57" t="s" s="513">
        <f>IF(LEFT(RIGHT($B$1,2),1)=" ",RIGHT($B$1,1),RIGHT($B$1,2))</f>
        <v>1913</v>
      </c>
      <c r="D57" s="514">
        <f>IF(LEFT(F57,14)="Bonne pratique",D56+1,D56)</f>
        <v>4</v>
      </c>
      <c r="E57" t="s" s="558">
        <f>C57&amp;D57&amp;RIGHT(F57,1)</f>
        <v>1946</v>
      </c>
      <c r="F57" s="61"/>
      <c r="G57" s="529"/>
      <c r="H57" s="529"/>
      <c r="I57" s="529"/>
      <c r="J57" s="530"/>
      <c r="K57" s="529"/>
      <c r="L57" s="542"/>
      <c r="M57" t="s" s="562">
        <v>1763</v>
      </c>
      <c r="N57" s="563"/>
      <c r="O57" s="534"/>
      <c r="P57" s="507"/>
    </row>
    <row r="58" ht="33" customHeight="1">
      <c r="A58" s="504"/>
      <c r="B58" s="61"/>
      <c r="C58" t="s" s="513">
        <f>IF(LEFT(RIGHT($B$1,2),1)=" ",RIGHT($B$1,1),RIGHT($B$1,2))</f>
        <v>1913</v>
      </c>
      <c r="D58" s="514">
        <f>IF(LEFT(F58,14)="Bonne pratique",D57+1,D57)</f>
        <v>4</v>
      </c>
      <c r="E58" t="s" s="558">
        <f>C58&amp;D58&amp;RIGHT(F58,1)</f>
        <v>1946</v>
      </c>
      <c r="F58" s="535"/>
      <c r="G58" t="s" s="536">
        <v>244</v>
      </c>
      <c r="H58" t="s" s="536">
        <v>1764</v>
      </c>
      <c r="I58" t="s" s="536">
        <v>1787</v>
      </c>
      <c r="J58" t="s" s="536">
        <v>1765</v>
      </c>
      <c r="K58" t="s" s="536">
        <v>1788</v>
      </c>
      <c r="L58" s="538"/>
      <c r="M58" t="s" s="539">
        <v>1766</v>
      </c>
      <c r="N58" t="s" s="540">
        <v>1767</v>
      </c>
      <c r="O58" s="534"/>
      <c r="P58" s="507"/>
    </row>
    <row r="59" ht="15" customHeight="1">
      <c r="A59" s="504"/>
      <c r="B59" s="61"/>
      <c r="C59" t="s" s="513">
        <f>IF(LEFT(RIGHT($B$1,2),1)=" ",RIGHT($B$1,1),RIGHT($B$1,2))</f>
        <v>1913</v>
      </c>
      <c r="D59" s="514">
        <f>IF(LEFT(F59,14)="Bonne pratique",D58+1,D58)</f>
        <v>4</v>
      </c>
      <c r="E59" t="s" s="558">
        <f>C59&amp;D59&amp;RIGHT(F59,1)</f>
        <v>1946</v>
      </c>
      <c r="F59" s="529"/>
      <c r="G59" s="541"/>
      <c r="H59" s="541"/>
      <c r="I59" s="541"/>
      <c r="J59" s="541"/>
      <c r="K59" s="541"/>
      <c r="L59" s="61"/>
      <c r="M59" s="541"/>
      <c r="N59" s="541"/>
      <c r="O59" s="61"/>
      <c r="P59" s="507"/>
    </row>
    <row r="60" ht="130.05" customHeight="1">
      <c r="A60" s="504"/>
      <c r="B60" s="542"/>
      <c r="C60" t="s" s="543">
        <f>IF(LEFT(RIGHT($B$1,2),1)=" ",RIGHT($B$1,1),RIGHT($B$1,2))</f>
        <v>1913</v>
      </c>
      <c r="D60" s="544">
        <f>IF(LEFT(F60,14)="Bonne pratique",D59+1,D59)</f>
        <v>4</v>
      </c>
      <c r="E60" t="s" s="545">
        <f>C60&amp;D60&amp;RIGHT(F60,1)</f>
        <v>1947</v>
      </c>
      <c r="F60" t="s" s="546">
        <v>1769</v>
      </c>
      <c r="G60" t="s" s="547">
        <f>_xlfn.IFERROR(IF(VLOOKUP($E60,'BDD'!$A$1:$S$567,MATCH(G$10,'BDD'!$A$1:$P$1,0),FALSE)=0,"",VLOOKUP($E60,'BDD'!$A$1:$S$567,MATCH(G$10,'BDD'!$A$1:$P$1,0),FALSE)),"")</f>
        <v>568</v>
      </c>
      <c r="H60" t="s" s="548">
        <f>IF(VLOOKUP(E60,'BDD'!$A$1:$S$567,15,FALSE)=0,"Critère non évalué","")</f>
        <v>1770</v>
      </c>
      <c r="I60" t="s" s="546">
        <f>_xlfn.IFERROR(IF(VLOOKUP($E60,'BDD'!$A$1:$S$567,MATCH(I$10,'BDD'!$A$1:$P$1,0),FALSE)=0,"",VLOOKUP($E60,'BDD'!$A$1:$S$567,MATCH(I$10,'BDD'!$A$1:$P$1,0),FALSE)),"")</f>
        <v>283</v>
      </c>
      <c r="J60" s="549"/>
      <c r="K60" t="s" s="547">
        <f>_xlfn.IFERROR(IF(VLOOKUP($E60,'BDD'!$A$1:$S$567,MATCH(K$10,'BDD'!$A$1:$P$1,0),FALSE)=0,"",VLOOKUP($E60,'BDD'!$A$1:$S$567,MATCH(K$10,'BDD'!$A$1:$P$1,0),FALSE)),"")</f>
      </c>
      <c r="L60" s="550"/>
      <c r="M60" s="551"/>
      <c r="N60" s="551"/>
      <c r="O60" s="534"/>
      <c r="P60" s="507"/>
    </row>
    <row r="61" ht="130.05" customHeight="1">
      <c r="A61" s="504"/>
      <c r="B61" s="542"/>
      <c r="C61" t="s" s="543">
        <f>IF(LEFT(RIGHT($B$1,2),1)=" ",RIGHT($B$1,1),RIGHT($B$1,2))</f>
        <v>1913</v>
      </c>
      <c r="D61" s="544">
        <f>IF(LEFT(F61,14)="Bonne pratique",D60+1,D60)</f>
        <v>4</v>
      </c>
      <c r="E61" t="s" s="545">
        <f>C61&amp;D61&amp;RIGHT(F61,1)</f>
        <v>1948</v>
      </c>
      <c r="F61" t="s" s="552">
        <v>1772</v>
      </c>
      <c r="G61" t="s" s="540">
        <f>_xlfn.IFERROR(IF(VLOOKUP($E61,'BDD'!$A$1:$S$567,MATCH(G$10,'BDD'!$A$1:$P$1,0),FALSE)=0,"",VLOOKUP($E61,'BDD'!$A$1:$S$567,MATCH(G$10,'BDD'!$A$1:$P$1,0),FALSE)),"")</f>
        <v>570</v>
      </c>
      <c r="H61" t="s" s="553">
        <f>IF(VLOOKUP(E61,'BDD'!$A$1:$S$567,15,FALSE)=0,"Critère non évalué","")</f>
        <v>1770</v>
      </c>
      <c r="I61" t="s" s="552">
        <f>_xlfn.IFERROR(IF(VLOOKUP($E61,'BDD'!$A$1:$S$567,MATCH(I$10,'BDD'!$A$1:$P$1,0),FALSE)=0,"",VLOOKUP($E61,'BDD'!$A$1:$S$567,MATCH(I$10,'BDD'!$A$1:$P$1,0),FALSE)),"")</f>
        <v>283</v>
      </c>
      <c r="J61" s="554"/>
      <c r="K61" t="s" s="540">
        <f>_xlfn.IFERROR(IF(VLOOKUP($E61,'BDD'!$A$1:$S$567,MATCH(K$10,'BDD'!$A$1:$P$1,0),FALSE)=0,"",VLOOKUP($E61,'BDD'!$A$1:$S$567,MATCH(K$10,'BDD'!$A$1:$P$1,0),FALSE)),"")</f>
        <v>571</v>
      </c>
      <c r="L61" s="550"/>
      <c r="M61" s="555"/>
      <c r="N61" s="555"/>
      <c r="O61" s="534"/>
      <c r="P61" s="507"/>
    </row>
    <row r="62" ht="130.05" customHeight="1">
      <c r="A62" s="504"/>
      <c r="B62" s="542"/>
      <c r="C62" t="s" s="543">
        <f>IF(LEFT(RIGHT($B$1,2),1)=" ",RIGHT($B$1,1),RIGHT($B$1,2))</f>
        <v>1913</v>
      </c>
      <c r="D62" s="544">
        <f>IF(LEFT(F62,14)="Bonne pratique",D61+1,D61)</f>
        <v>4</v>
      </c>
      <c r="E62" t="s" s="545">
        <f>C62&amp;D62&amp;RIGHT(F62,1)</f>
        <v>1949</v>
      </c>
      <c r="F62" t="s" s="546">
        <v>1774</v>
      </c>
      <c r="G62" t="s" s="547">
        <f>_xlfn.IFERROR(IF(VLOOKUP($E62,'BDD'!$A$1:$S$567,MATCH(G$10,'BDD'!$A$1:$P$1,0),FALSE)=0,"",VLOOKUP($E62,'BDD'!$A$1:$S$567,MATCH(G$10,'BDD'!$A$1:$P$1,0),FALSE)),"")</f>
        <v>573</v>
      </c>
      <c r="H62" t="s" s="548">
        <f>IF(VLOOKUP(E62,'BDD'!$A$1:$S$567,15,FALSE)=0,"Critère non évalué","")</f>
        <v>1770</v>
      </c>
      <c r="I62" t="s" s="546">
        <f>_xlfn.IFERROR(IF(VLOOKUP($E62,'BDD'!$A$1:$S$567,MATCH(I$10,'BDD'!$A$1:$P$1,0),FALSE)=0,"",VLOOKUP($E62,'BDD'!$A$1:$S$567,MATCH(I$10,'BDD'!$A$1:$P$1,0),FALSE)),"")</f>
        <v>283</v>
      </c>
      <c r="J62" s="549"/>
      <c r="K62" t="s" s="547">
        <f>_xlfn.IFERROR(IF(VLOOKUP($E62,'BDD'!$A$1:$S$567,MATCH(K$10,'BDD'!$A$1:$P$1,0),FALSE)=0,"",VLOOKUP($E62,'BDD'!$A$1:$S$567,MATCH(K$10,'BDD'!$A$1:$P$1,0),FALSE)),"")</f>
        <v>574</v>
      </c>
      <c r="L62" s="550"/>
      <c r="M62" s="551"/>
      <c r="N62" s="551"/>
      <c r="O62" s="534"/>
      <c r="P62" s="507"/>
    </row>
    <row r="63" ht="130.05" customHeight="1">
      <c r="A63" s="504"/>
      <c r="B63" s="542"/>
      <c r="C63" t="s" s="543">
        <f>IF(LEFT(RIGHT($B$1,2),1)=" ",RIGHT($B$1,1),RIGHT($B$1,2))</f>
        <v>1913</v>
      </c>
      <c r="D63" s="544">
        <f>IF(LEFT(F63,14)="Bonne pratique",D62+1,D62)</f>
        <v>4</v>
      </c>
      <c r="E63" t="s" s="545">
        <f>C63&amp;D63&amp;RIGHT(F63,1)</f>
        <v>1945</v>
      </c>
      <c r="F63" t="s" s="552">
        <v>1776</v>
      </c>
      <c r="G63" t="s" s="540">
        <f>_xlfn.IFERROR(IF(VLOOKUP($E63,'BDD'!$A$1:$S$567,MATCH(G$10,'BDD'!$A$1:$P$1,0),FALSE)=0,"",VLOOKUP($E63,'BDD'!$A$1:$S$567,MATCH(G$10,'BDD'!$A$1:$P$1,0),FALSE)),"")</f>
        <v>576</v>
      </c>
      <c r="H63" t="s" s="553">
        <f>IF(VLOOKUP(E63,'BDD'!$A$1:$S$567,15,FALSE)=0,"Critère non évalué","")</f>
        <v>1770</v>
      </c>
      <c r="I63" t="s" s="552">
        <f>_xlfn.IFERROR(IF(VLOOKUP($E63,'BDD'!$A$1:$S$567,MATCH(I$10,'BDD'!$A$1:$P$1,0),FALSE)=0,"",VLOOKUP($E63,'BDD'!$A$1:$S$567,MATCH(I$10,'BDD'!$A$1:$P$1,0),FALSE)),"")</f>
        <v>263</v>
      </c>
      <c r="J63" s="556"/>
      <c r="K63" t="s" s="540">
        <f>_xlfn.IFERROR(IF(VLOOKUP($E63,'BDD'!$A$1:$S$567,MATCH(K$10,'BDD'!$A$1:$P$1,0),FALSE)=0,"",VLOOKUP($E63,'BDD'!$A$1:$S$567,MATCH(K$10,'BDD'!$A$1:$P$1,0),FALSE)),"")</f>
        <v>577</v>
      </c>
      <c r="L63" s="550"/>
      <c r="M63" s="555"/>
      <c r="N63" s="555"/>
      <c r="O63" s="534"/>
      <c r="P63" s="507"/>
    </row>
    <row r="64" ht="130.05" customHeight="1">
      <c r="A64" s="504"/>
      <c r="B64" s="542"/>
      <c r="C64" t="s" s="543">
        <f>IF(LEFT(RIGHT($B$1,2),1)=" ",RIGHT($B$1,1),RIGHT($B$1,2))</f>
        <v>1913</v>
      </c>
      <c r="D64" s="544">
        <f>IF(LEFT(F64,14)="Bonne pratique",D63+1,D63)</f>
        <v>4</v>
      </c>
      <c r="E64" t="s" s="545">
        <f>C64&amp;D64&amp;RIGHT(F64,1)</f>
        <v>1950</v>
      </c>
      <c r="F64" t="s" s="546">
        <v>1778</v>
      </c>
      <c r="G64" t="s" s="547">
        <f>_xlfn.IFERROR(IF(VLOOKUP($E64,'BDD'!$A$1:$S$567,MATCH(G$10,'BDD'!$A$1:$P$1,0),FALSE)=0,"",VLOOKUP($E64,'BDD'!$A$1:$S$567,MATCH(G$10,'BDD'!$A$1:$P$1,0),FALSE)),"")</f>
        <v>579</v>
      </c>
      <c r="H64" t="s" s="548">
        <f>IF(VLOOKUP(E64,'BDD'!$A$1:$S$567,15,FALSE)=0,"Critère non évalué","")</f>
        <v>1770</v>
      </c>
      <c r="I64" t="s" s="546">
        <f>_xlfn.IFERROR(IF(VLOOKUP($E64,'BDD'!$A$1:$S$567,MATCH(I$10,'BDD'!$A$1:$P$1,0),FALSE)=0,"",VLOOKUP($E64,'BDD'!$A$1:$S$567,MATCH(I$10,'BDD'!$A$1:$P$1,0),FALSE)),"")</f>
        <v>291</v>
      </c>
      <c r="J64" s="549"/>
      <c r="K64" t="s" s="547">
        <f>_xlfn.IFERROR(IF(VLOOKUP($E64,'BDD'!$A$1:$S$567,MATCH(K$10,'BDD'!$A$1:$P$1,0),FALSE)=0,"",VLOOKUP($E64,'BDD'!$A$1:$S$567,MATCH(K$10,'BDD'!$A$1:$P$1,0),FALSE)),"")</f>
      </c>
      <c r="L64" s="550"/>
      <c r="M64" s="557"/>
      <c r="N64" s="557"/>
      <c r="O64" s="534"/>
      <c r="P64" s="507"/>
    </row>
    <row r="65" ht="130.05" customHeight="1">
      <c r="A65" s="504"/>
      <c r="B65" s="542"/>
      <c r="C65" t="s" s="543">
        <f>IF(LEFT(RIGHT($B$1,2),1)=" ",RIGHT($B$1,1),RIGHT($B$1,2))</f>
        <v>1913</v>
      </c>
      <c r="D65" s="544">
        <f>IF(LEFT(F65,14)="Bonne pratique",D64+1,D64)</f>
        <v>4</v>
      </c>
      <c r="E65" t="s" s="545">
        <f>C65&amp;D65&amp;RIGHT(F65,1)</f>
        <v>1951</v>
      </c>
      <c r="F65" t="s" s="552">
        <v>1780</v>
      </c>
      <c r="G65" s="557">
        <f>_xlfn.IFERROR(IF(VLOOKUP($E65,'BDD'!$A$1:$S$567,MATCH(G$10,'BDD'!$A$1:$P$1,0),FALSE)=0,"",VLOOKUP($E65,'BDD'!$A$1:$S$567,MATCH(G$10,'BDD'!$A$1:$P$1,0),FALSE)),"")</f>
      </c>
      <c r="H65" s="570">
        <f>IF(VLOOKUP(E65,'BDD'!$A$1:$S$567,15,FALSE)=0,"Critère non évalué","")</f>
      </c>
      <c r="I65" s="571">
        <f>_xlfn.IFERROR(IF(VLOOKUP($E65,'BDD'!$A$1:$S$567,MATCH(I$10,'BDD'!$A$1:$P$1,0),FALSE)=0,"",VLOOKUP($E65,'BDD'!$A$1:$S$567,MATCH(I$10,'BDD'!$A$1:$P$1,0),FALSE)),"")</f>
      </c>
      <c r="J65" s="554"/>
      <c r="K65" s="557">
        <f>_xlfn.IFERROR(IF(VLOOKUP($E65,'BDD'!$A$1:$S$567,MATCH(K$10,'BDD'!$A$1:$P$1,0),FALSE)=0,"",VLOOKUP($E65,'BDD'!$A$1:$S$567,MATCH(K$10,'BDD'!$A$1:$P$1,0),FALSE)),"")</f>
      </c>
      <c r="L65" s="550"/>
      <c r="M65" s="555"/>
      <c r="N65" s="555"/>
      <c r="O65" s="534"/>
      <c r="P65" s="507"/>
    </row>
    <row r="66" ht="130.05" customHeight="1" hidden="1">
      <c r="A66" s="504"/>
      <c r="B66" s="542"/>
      <c r="C66" t="s" s="543">
        <f>IF(LEFT(RIGHT($B$1,2),1)=" ",RIGHT($B$1,1),RIGHT($B$1,2))</f>
        <v>1913</v>
      </c>
      <c r="D66" s="544">
        <f>IF(LEFT(F66,14)="Bonne pratique",D65+1,D65)</f>
        <v>4</v>
      </c>
      <c r="E66" s="566">
        <f>C66&amp;D66&amp;RIGHT(F66,1)</f>
      </c>
      <c r="F66" t="s" s="546">
        <v>1782</v>
      </c>
      <c r="G66" s="567">
        <f>_xlfn.IFERROR(IF(VLOOKUP($E66,'BDD'!$A$1:$S$567,MATCH(G$10,'BDD'!$A$1:$P$1,0),FALSE)=0,"",VLOOKUP($E66,'BDD'!$A$1:$S$567,MATCH(G$10,'BDD'!$A$1:$P$1,0),FALSE)),"")</f>
      </c>
      <c r="H66" s="568">
        <f>IF(VLOOKUP(E66,'BDD'!$A$1:$S$567,15,FALSE)=0,"Critère non évalué","")</f>
      </c>
      <c r="I66" s="569">
        <f>_xlfn.IFERROR(IF(VLOOKUP($E66,'BDD'!$A$1:$S$567,MATCH(I$10,'BDD'!$A$1:$P$1,0),FALSE)=0,"",VLOOKUP($E66,'BDD'!$A$1:$S$567,MATCH(I$10,'BDD'!$A$1:$P$1,0),FALSE)),"")</f>
      </c>
      <c r="J66" s="549"/>
      <c r="K66" s="567">
        <f>_xlfn.IFERROR(IF(VLOOKUP($E66,'BDD'!$A$1:$S$567,MATCH(K$10,'BDD'!$A$1:$P$1,0),FALSE)=0,"",VLOOKUP($E66,'BDD'!$A$1:$S$567,MATCH(K$10,'BDD'!$A$1:$P$1,0),FALSE)),"")</f>
      </c>
      <c r="L66" s="550"/>
      <c r="M66" s="557"/>
      <c r="N66" s="557"/>
      <c r="O66" s="534"/>
      <c r="P66" s="507"/>
    </row>
    <row r="67" ht="15" customHeight="1">
      <c r="A67" s="504"/>
      <c r="B67" s="61"/>
      <c r="C67" t="s" s="513">
        <f>IF(LEFT(RIGHT($B$1,2),1)=" ",RIGHT($B$1,1),RIGHT($B$1,2))</f>
        <v>1913</v>
      </c>
      <c r="D67" s="61">
        <f>IF(LEFT(F67,14)="Bonne pratique",D66+1,D66)</f>
      </c>
      <c r="E67" s="565">
        <f>C67&amp;D67&amp;RIGHT(F67,1)</f>
      </c>
      <c r="F67" s="559"/>
      <c r="G67" s="559"/>
      <c r="H67" s="559"/>
      <c r="I67" s="559"/>
      <c r="J67" s="559"/>
      <c r="K67" s="559"/>
      <c r="L67" s="61"/>
      <c r="M67" s="559"/>
      <c r="N67" s="559"/>
      <c r="O67" s="61"/>
      <c r="P67" s="507"/>
    </row>
    <row r="68" ht="14.4" customHeight="1">
      <c r="A68" s="504"/>
      <c r="B68" s="61"/>
      <c r="C68" t="s" s="513">
        <f>IF(LEFT(RIGHT($B$1,2),1)=" ",RIGHT($B$1,1),RIGHT($B$1,2))</f>
        <v>1913</v>
      </c>
      <c r="D68" s="61"/>
      <c r="E68" s="565"/>
      <c r="F68" s="61"/>
      <c r="G68" s="61"/>
      <c r="H68" s="61"/>
      <c r="I68" s="61"/>
      <c r="J68" s="61"/>
      <c r="K68" s="61"/>
      <c r="L68" s="61"/>
      <c r="M68" s="61"/>
      <c r="N68" s="61"/>
      <c r="O68" s="61"/>
      <c r="P68" s="507"/>
    </row>
    <row r="69" ht="14.4" customHeight="1">
      <c r="A69" s="504"/>
      <c r="B69" s="61"/>
      <c r="C69" t="s" s="513">
        <f>IF(LEFT(RIGHT($B$1,2),1)=" ",RIGHT($B$1,1),RIGHT($B$1,2))</f>
        <v>1913</v>
      </c>
      <c r="D69" s="61"/>
      <c r="E69" s="565"/>
      <c r="F69" s="61"/>
      <c r="G69" s="61"/>
      <c r="H69" s="61"/>
      <c r="I69" s="61"/>
      <c r="J69" s="61"/>
      <c r="K69" s="61"/>
      <c r="L69" s="61"/>
      <c r="M69" s="61"/>
      <c r="N69" s="61"/>
      <c r="O69" s="61"/>
      <c r="P69" s="507"/>
    </row>
    <row r="70" ht="14.4" customHeight="1">
      <c r="A70" s="504"/>
      <c r="B70" s="61"/>
      <c r="C70" t="s" s="513">
        <f>IF(LEFT(RIGHT($B$1,2),1)=" ",RIGHT($B$1,1),RIGHT($B$1,2))</f>
        <v>1913</v>
      </c>
      <c r="D70" s="61"/>
      <c r="E70" s="565"/>
      <c r="F70" s="61"/>
      <c r="G70" s="61"/>
      <c r="H70" s="61"/>
      <c r="I70" s="61"/>
      <c r="J70" s="61"/>
      <c r="K70" s="61"/>
      <c r="L70" s="61"/>
      <c r="M70" s="61"/>
      <c r="N70" s="61"/>
      <c r="O70" s="61"/>
      <c r="P70" s="507"/>
    </row>
    <row r="71" ht="25.8" customHeight="1">
      <c r="A71" s="511"/>
      <c r="B71" s="512"/>
      <c r="C71" t="s" s="513">
        <f>IF(LEFT(RIGHT($B$1,2),1)=" ",RIGHT($B$1,1),RIGHT($B$1,2))</f>
        <v>1913</v>
      </c>
      <c r="D71" s="61">
        <f>IF(LEFT(F71,14)="Bonne pratique",D67+1,D67)</f>
      </c>
      <c r="E71" s="565">
        <f>C71&amp;D71&amp;RIGHT(F71,1)</f>
      </c>
      <c r="F71" t="s" s="516">
        <v>1814</v>
      </c>
      <c r="G71" s="517"/>
      <c r="H71" s="518"/>
      <c r="I71" s="519"/>
      <c r="J71" s="519">
        <f>VLOOKUP(E78,'BDD'!$A$2:$N$567,6,FALSE)</f>
      </c>
      <c r="K71" s="521"/>
      <c r="L71" s="517"/>
      <c r="M71" s="517"/>
      <c r="N71" s="517"/>
      <c r="O71" s="512"/>
      <c r="P71" s="522"/>
    </row>
    <row r="72" ht="15" customHeight="1">
      <c r="A72" s="504"/>
      <c r="B72" s="61"/>
      <c r="C72" t="s" s="513">
        <f>IF(LEFT(RIGHT($B$1,2),1)=" ",RIGHT($B$1,1),RIGHT($B$1,2))</f>
        <v>1913</v>
      </c>
      <c r="D72" s="61">
        <f>IF(LEFT(F72,14)="Bonne pratique",D71+1,D71)</f>
      </c>
      <c r="E72" s="565">
        <f>C72&amp;D72&amp;RIGHT(F72,1)</f>
      </c>
      <c r="F72" s="61"/>
      <c r="G72" s="61"/>
      <c r="H72" s="61"/>
      <c r="I72" s="61"/>
      <c r="J72" s="61"/>
      <c r="K72" s="61"/>
      <c r="L72" s="61"/>
      <c r="M72" s="61"/>
      <c r="N72" s="61"/>
      <c r="O72" s="61"/>
      <c r="P72" s="507"/>
    </row>
    <row r="73" ht="18" customHeight="1">
      <c r="A73" s="523"/>
      <c r="B73" s="524"/>
      <c r="C73" t="s" s="513">
        <f>IF(LEFT(RIGHT($B$1,2),1)=" ",RIGHT($B$1,1),RIGHT($B$1,2))</f>
        <v>1913</v>
      </c>
      <c r="D73" s="61">
        <f>IF(LEFT(F73,14)="Bonne pratique",D72+1,D72)</f>
      </c>
      <c r="E73" s="565">
        <f>C73&amp;D73&amp;RIGHT(F73,1)</f>
      </c>
      <c r="F73" s="524"/>
      <c r="G73" s="524"/>
      <c r="H73" s="524"/>
      <c r="I73" s="525"/>
      <c r="J73" t="s" s="526">
        <v>585</v>
      </c>
      <c r="K73" s="525"/>
      <c r="L73" s="524"/>
      <c r="M73" s="524"/>
      <c r="N73" s="524"/>
      <c r="O73" s="524"/>
      <c r="P73" s="527"/>
    </row>
    <row r="74" ht="18" customHeight="1">
      <c r="A74" s="504"/>
      <c r="B74" s="61"/>
      <c r="C74" t="s" s="513">
        <f>IF(LEFT(RIGHT($B$1,2),1)=" ",RIGHT($B$1,1),RIGHT($B$1,2))</f>
        <v>1913</v>
      </c>
      <c r="D74" s="61">
        <f>IF(LEFT(F74,14)="Bonne pratique",D73+1,D73)</f>
      </c>
      <c r="E74" s="565">
        <f>C74&amp;D74&amp;RIGHT(F74,1)</f>
      </c>
      <c r="F74" s="61"/>
      <c r="G74" s="61"/>
      <c r="H74" s="61"/>
      <c r="I74" s="61"/>
      <c r="J74" s="528"/>
      <c r="K74" s="61"/>
      <c r="L74" s="61"/>
      <c r="M74" s="529"/>
      <c r="N74" s="529"/>
      <c r="O74" s="61"/>
      <c r="P74" s="507"/>
    </row>
    <row r="75" ht="15" customHeight="1">
      <c r="A75" s="504"/>
      <c r="B75" s="61"/>
      <c r="C75" t="s" s="513">
        <f>IF(LEFT(RIGHT($B$1,2),1)=" ",RIGHT($B$1,1),RIGHT($B$1,2))</f>
        <v>1913</v>
      </c>
      <c r="D75" s="61">
        <f>IF(LEFT(F75,14)="Bonne pratique",D74+1,D74)</f>
      </c>
      <c r="E75" s="565">
        <f>C75&amp;D75&amp;RIGHT(F75,1)</f>
      </c>
      <c r="F75" s="61"/>
      <c r="G75" s="529"/>
      <c r="H75" s="529"/>
      <c r="I75" s="529"/>
      <c r="J75" s="530"/>
      <c r="K75" s="529"/>
      <c r="L75" s="542"/>
      <c r="M75" t="s" s="562">
        <v>1763</v>
      </c>
      <c r="N75" s="563"/>
      <c r="O75" s="534"/>
      <c r="P75" s="507"/>
    </row>
    <row r="76" ht="33" customHeight="1">
      <c r="A76" s="504"/>
      <c r="B76" s="61"/>
      <c r="C76" t="s" s="513">
        <f>IF(LEFT(RIGHT($B$1,2),1)=" ",RIGHT($B$1,1),RIGHT($B$1,2))</f>
        <v>1913</v>
      </c>
      <c r="D76" s="61">
        <f>IF(LEFT(F76,14)="Bonne pratique",D75+1,D75)</f>
      </c>
      <c r="E76" s="565">
        <f>C76&amp;D76&amp;RIGHT(F76,1)</f>
      </c>
      <c r="F76" s="564"/>
      <c r="G76" t="s" s="536">
        <v>244</v>
      </c>
      <c r="H76" t="s" s="536">
        <v>1764</v>
      </c>
      <c r="I76" t="s" s="536">
        <v>1787</v>
      </c>
      <c r="J76" t="s" s="536">
        <v>1765</v>
      </c>
      <c r="K76" t="s" s="536">
        <v>1788</v>
      </c>
      <c r="L76" s="538"/>
      <c r="M76" t="s" s="539">
        <v>1766</v>
      </c>
      <c r="N76" t="s" s="540">
        <v>1767</v>
      </c>
      <c r="O76" s="534"/>
      <c r="P76" s="507"/>
    </row>
    <row r="77" ht="15" customHeight="1">
      <c r="A77" s="504"/>
      <c r="B77" s="61"/>
      <c r="C77" t="s" s="513">
        <f>IF(LEFT(RIGHT($B$1,2),1)=" ",RIGHT($B$1,1),RIGHT($B$1,2))</f>
        <v>1913</v>
      </c>
      <c r="D77" s="61">
        <f>IF(LEFT(F77,14)="Bonne pratique",D76+1,D76)</f>
      </c>
      <c r="E77" s="565">
        <f>C77&amp;D77&amp;RIGHT(F77,1)</f>
      </c>
      <c r="F77" s="529"/>
      <c r="G77" s="541"/>
      <c r="H77" s="541"/>
      <c r="I77" s="541"/>
      <c r="J77" s="541"/>
      <c r="K77" s="541"/>
      <c r="L77" s="61"/>
      <c r="M77" s="541"/>
      <c r="N77" s="541"/>
      <c r="O77" s="61"/>
      <c r="P77" s="507"/>
    </row>
    <row r="78" ht="130.05" customHeight="1">
      <c r="A78" s="504"/>
      <c r="B78" s="542"/>
      <c r="C78" t="s" s="543">
        <f>IF(LEFT(RIGHT($B$1,2),1)=" ",RIGHT($B$1,1),RIGHT($B$1,2))</f>
        <v>1913</v>
      </c>
      <c r="D78" s="550">
        <f>IF(LEFT(F78,14)="Bonne pratique",D77+1,D77)</f>
      </c>
      <c r="E78" s="566">
        <f>C78&amp;D78&amp;RIGHT(F78,1)</f>
      </c>
      <c r="F78" t="s" s="546">
        <v>1769</v>
      </c>
      <c r="G78" s="567">
        <f>_xlfn.IFERROR(IF(VLOOKUP($E78,'BDD'!$A$1:$S$567,MATCH(G$10,'BDD'!$A$1:$P$1,0),FALSE)=0,"",VLOOKUP($E78,'BDD'!$A$1:$S$567,MATCH(G$10,'BDD'!$A$1:$P$1,0),FALSE)),"")</f>
      </c>
      <c r="H78" s="568">
        <f>IF(VLOOKUP(E78,'BDD'!$A$1:$S$567,15,FALSE)=0,"Critère non évalué","")</f>
      </c>
      <c r="I78" s="569">
        <f>_xlfn.IFERROR(IF(VLOOKUP($E78,'BDD'!$A$1:$S$567,MATCH(I$10,'BDD'!$A$1:$P$1,0),FALSE)=0,"",VLOOKUP($E78,'BDD'!$A$1:$S$567,MATCH(I$10,'BDD'!$A$1:$P$1,0),FALSE)),"")</f>
      </c>
      <c r="J78" s="549"/>
      <c r="K78" s="567">
        <f>_xlfn.IFERROR(IF(VLOOKUP($E78,'BDD'!$A$1:$S$567,MATCH(K$10,'BDD'!$A$1:$P$1,0),FALSE)=0,"",VLOOKUP($E78,'BDD'!$A$1:$S$567,MATCH(K$10,'BDD'!$A$1:$P$1,0),FALSE)),"")</f>
      </c>
      <c r="L78" s="550"/>
      <c r="M78" s="551"/>
      <c r="N78" s="551"/>
      <c r="O78" s="534"/>
      <c r="P78" s="507"/>
    </row>
    <row r="79" ht="130.05" customHeight="1">
      <c r="A79" s="504"/>
      <c r="B79" s="542"/>
      <c r="C79" t="s" s="543">
        <f>IF(LEFT(RIGHT($B$1,2),1)=" ",RIGHT($B$1,1),RIGHT($B$1,2))</f>
        <v>1913</v>
      </c>
      <c r="D79" s="550">
        <f>IF(LEFT(F79,14)="Bonne pratique",D78+1,D78)</f>
      </c>
      <c r="E79" s="566">
        <f>C79&amp;D79&amp;RIGHT(F79,1)</f>
      </c>
      <c r="F79" t="s" s="552">
        <v>1772</v>
      </c>
      <c r="G79" s="557">
        <f>_xlfn.IFERROR(IF(VLOOKUP($E79,'BDD'!$A$1:$S$567,MATCH(G$10,'BDD'!$A$1:$P$1,0),FALSE)=0,"",VLOOKUP($E79,'BDD'!$A$1:$S$567,MATCH(G$10,'BDD'!$A$1:$P$1,0),FALSE)),"")</f>
      </c>
      <c r="H79" s="570">
        <f>IF(VLOOKUP(E79,'BDD'!$A$1:$S$567,15,FALSE)=0,"Critère non évalué","")</f>
      </c>
      <c r="I79" s="571">
        <f>_xlfn.IFERROR(IF(VLOOKUP($E79,'BDD'!$A$1:$S$567,MATCH(I$10,'BDD'!$A$1:$P$1,0),FALSE)=0,"",VLOOKUP($E79,'BDD'!$A$1:$S$567,MATCH(I$10,'BDD'!$A$1:$P$1,0),FALSE)),"")</f>
      </c>
      <c r="J79" s="554"/>
      <c r="K79" s="557">
        <f>_xlfn.IFERROR(IF(VLOOKUP($E79,'BDD'!$A$1:$S$567,MATCH(K$10,'BDD'!$A$1:$P$1,0),FALSE)=0,"",VLOOKUP($E79,'BDD'!$A$1:$S$567,MATCH(K$10,'BDD'!$A$1:$P$1,0),FALSE)),"")</f>
      </c>
      <c r="L79" s="550"/>
      <c r="M79" s="555"/>
      <c r="N79" s="555"/>
      <c r="O79" s="534"/>
      <c r="P79" s="507"/>
    </row>
    <row r="80" ht="130.05" customHeight="1">
      <c r="A80" s="504"/>
      <c r="B80" s="542"/>
      <c r="C80" t="s" s="543">
        <f>IF(LEFT(RIGHT($B$1,2),1)=" ",RIGHT($B$1,1),RIGHT($B$1,2))</f>
        <v>1913</v>
      </c>
      <c r="D80" s="550">
        <f>IF(LEFT(F80,14)="Bonne pratique",D79+1,D79)</f>
      </c>
      <c r="E80" s="566">
        <f>C80&amp;D80&amp;RIGHT(F80,1)</f>
      </c>
      <c r="F80" t="s" s="546">
        <v>1774</v>
      </c>
      <c r="G80" s="567">
        <f>_xlfn.IFERROR(IF(VLOOKUP($E80,'BDD'!$A$1:$S$567,MATCH(G$10,'BDD'!$A$1:$P$1,0),FALSE)=0,"",VLOOKUP($E80,'BDD'!$A$1:$S$567,MATCH(G$10,'BDD'!$A$1:$P$1,0),FALSE)),"")</f>
      </c>
      <c r="H80" s="568">
        <f>IF(VLOOKUP(E80,'BDD'!$A$1:$S$567,15,FALSE)=0,"Critère non évalué","")</f>
      </c>
      <c r="I80" s="569">
        <f>_xlfn.IFERROR(IF(VLOOKUP($E80,'BDD'!$A$1:$S$567,MATCH(I$10,'BDD'!$A$1:$P$1,0),FALSE)=0,"",VLOOKUP($E80,'BDD'!$A$1:$S$567,MATCH(I$10,'BDD'!$A$1:$P$1,0),FALSE)),"")</f>
      </c>
      <c r="J80" s="549"/>
      <c r="K80" s="567">
        <f>_xlfn.IFERROR(IF(VLOOKUP($E80,'BDD'!$A$1:$S$567,MATCH(K$10,'BDD'!$A$1:$P$1,0),FALSE)=0,"",VLOOKUP($E80,'BDD'!$A$1:$S$567,MATCH(K$10,'BDD'!$A$1:$P$1,0),FALSE)),"")</f>
      </c>
      <c r="L80" s="550"/>
      <c r="M80" s="551"/>
      <c r="N80" s="551"/>
      <c r="O80" s="534"/>
      <c r="P80" s="507"/>
    </row>
    <row r="81" ht="130.05" customHeight="1">
      <c r="A81" s="504"/>
      <c r="B81" s="542"/>
      <c r="C81" t="s" s="543">
        <f>IF(LEFT(RIGHT($B$1,2),1)=" ",RIGHT($B$1,1),RIGHT($B$1,2))</f>
        <v>1913</v>
      </c>
      <c r="D81" s="550">
        <f>IF(LEFT(F81,14)="Bonne pratique",D80+1,D80)</f>
      </c>
      <c r="E81" s="566">
        <f>C81&amp;D81&amp;RIGHT(F81,1)</f>
      </c>
      <c r="F81" t="s" s="552">
        <v>1776</v>
      </c>
      <c r="G81" s="557">
        <f>_xlfn.IFERROR(IF(VLOOKUP($E81,'BDD'!$A$1:$S$567,MATCH(G$10,'BDD'!$A$1:$P$1,0),FALSE)=0,"",VLOOKUP($E81,'BDD'!$A$1:$S$567,MATCH(G$10,'BDD'!$A$1:$P$1,0),FALSE)),"")</f>
      </c>
      <c r="H81" s="570">
        <f>IF(VLOOKUP(E81,'BDD'!$A$1:$S$567,15,FALSE)=0,"Critère non évalué","")</f>
      </c>
      <c r="I81" s="571">
        <f>_xlfn.IFERROR(IF(VLOOKUP($E81,'BDD'!$A$1:$S$567,MATCH(I$10,'BDD'!$A$1:$P$1,0),FALSE)=0,"",VLOOKUP($E81,'BDD'!$A$1:$S$567,MATCH(I$10,'BDD'!$A$1:$P$1,0),FALSE)),"")</f>
      </c>
      <c r="J81" s="556"/>
      <c r="K81" s="557">
        <f>_xlfn.IFERROR(IF(VLOOKUP($E81,'BDD'!$A$1:$S$567,MATCH(K$10,'BDD'!$A$1:$P$1,0),FALSE)=0,"",VLOOKUP($E81,'BDD'!$A$1:$S$567,MATCH(K$10,'BDD'!$A$1:$P$1,0),FALSE)),"")</f>
      </c>
      <c r="L81" s="550"/>
      <c r="M81" s="555"/>
      <c r="N81" s="555"/>
      <c r="O81" s="534"/>
      <c r="P81" s="507"/>
    </row>
    <row r="82" ht="130.05" customHeight="1">
      <c r="A82" s="504"/>
      <c r="B82" s="542"/>
      <c r="C82" t="s" s="543">
        <f>IF(LEFT(RIGHT($B$1,2),1)=" ",RIGHT($B$1,1),RIGHT($B$1,2))</f>
        <v>1913</v>
      </c>
      <c r="D82" s="550">
        <f>IF(LEFT(F82,14)="Bonne pratique",D81+1,D81)</f>
      </c>
      <c r="E82" s="566">
        <f>C82&amp;D82&amp;RIGHT(F82,1)</f>
      </c>
      <c r="F82" t="s" s="546">
        <v>1778</v>
      </c>
      <c r="G82" s="567">
        <f>_xlfn.IFERROR(IF(VLOOKUP($E82,'BDD'!$A$1:$S$567,MATCH(G$10,'BDD'!$A$1:$P$1,0),FALSE)=0,"",VLOOKUP($E82,'BDD'!$A$1:$S$567,MATCH(G$10,'BDD'!$A$1:$P$1,0),FALSE)),"")</f>
      </c>
      <c r="H82" s="568">
        <f>IF(VLOOKUP(E82,'BDD'!$A$1:$S$567,15,FALSE)=0,"Critère non évalué","")</f>
      </c>
      <c r="I82" s="569">
        <f>_xlfn.IFERROR(IF(VLOOKUP($E82,'BDD'!$A$1:$S$567,MATCH(I$10,'BDD'!$A$1:$P$1,0),FALSE)=0,"",VLOOKUP($E82,'BDD'!$A$1:$S$567,MATCH(I$10,'BDD'!$A$1:$P$1,0),FALSE)),"")</f>
      </c>
      <c r="J82" s="549"/>
      <c r="K82" s="567">
        <f>_xlfn.IFERROR(IF(VLOOKUP($E82,'BDD'!$A$1:$S$567,MATCH(K$10,'BDD'!$A$1:$P$1,0),FALSE)=0,"",VLOOKUP($E82,'BDD'!$A$1:$S$567,MATCH(K$10,'BDD'!$A$1:$P$1,0),FALSE)),"")</f>
      </c>
      <c r="L82" s="550"/>
      <c r="M82" s="557"/>
      <c r="N82" s="557"/>
      <c r="O82" s="534"/>
      <c r="P82" s="507"/>
    </row>
    <row r="83" ht="130.05" customHeight="1" hidden="1">
      <c r="A83" s="504"/>
      <c r="B83" s="542"/>
      <c r="C83" t="s" s="543">
        <f>IF(LEFT(RIGHT($B$1,2),1)=" ",RIGHT($B$1,1),RIGHT($B$1,2))</f>
        <v>1913</v>
      </c>
      <c r="D83" s="550">
        <f>IF(LEFT(F83,14)="Bonne pratique",D82+1,D82)</f>
      </c>
      <c r="E83" s="566">
        <f>C83&amp;D83&amp;RIGHT(F83,1)</f>
      </c>
      <c r="F83" t="s" s="552">
        <v>1780</v>
      </c>
      <c r="G83" s="557">
        <f>_xlfn.IFERROR(IF(VLOOKUP($E83,'BDD'!$A$1:$S$567,MATCH(G$10,'BDD'!$A$1:$P$1,0),FALSE)=0,"",VLOOKUP($E83,'BDD'!$A$1:$S$567,MATCH(G$10,'BDD'!$A$1:$P$1,0),FALSE)),"")</f>
      </c>
      <c r="H83" s="570">
        <f>IF(VLOOKUP(E83,'BDD'!$A$1:$S$567,15,FALSE)=0,"Critère non évalué","")</f>
      </c>
      <c r="I83" s="571">
        <f>_xlfn.IFERROR(IF(VLOOKUP($E83,'BDD'!$A$1:$S$567,MATCH(I$10,'BDD'!$A$1:$P$1,0),FALSE)=0,"",VLOOKUP($E83,'BDD'!$A$1:$S$567,MATCH(I$10,'BDD'!$A$1:$P$1,0),FALSE)),"")</f>
      </c>
      <c r="J83" s="556"/>
      <c r="K83" s="557">
        <f>_xlfn.IFERROR(IF(VLOOKUP($E83,'BDD'!$A$1:$S$567,MATCH(K$10,'BDD'!$A$1:$P$1,0),FALSE)=0,"",VLOOKUP($E83,'BDD'!$A$1:$S$567,MATCH(K$10,'BDD'!$A$1:$P$1,0),FALSE)),"")</f>
      </c>
      <c r="L83" s="550"/>
      <c r="M83" s="555"/>
      <c r="N83" s="555"/>
      <c r="O83" s="534"/>
      <c r="P83" s="507"/>
    </row>
    <row r="84" ht="130.05" customHeight="1" hidden="1">
      <c r="A84" s="504"/>
      <c r="B84" s="542"/>
      <c r="C84" t="s" s="543">
        <f>IF(LEFT(RIGHT($B$1,2),1)=" ",RIGHT($B$1,1),RIGHT($B$1,2))</f>
        <v>1913</v>
      </c>
      <c r="D84" s="550">
        <f>IF(LEFT(F84,14)="Bonne pratique",D83+1,D83)</f>
      </c>
      <c r="E84" s="566">
        <f>C84&amp;D84&amp;RIGHT(F84,1)</f>
      </c>
      <c r="F84" t="s" s="546">
        <v>1782</v>
      </c>
      <c r="G84" s="567">
        <f>_xlfn.IFERROR(IF(VLOOKUP($E84,'BDD'!$A$1:$S$567,MATCH(G$10,'BDD'!$A$1:$P$1,0),FALSE)=0,"",VLOOKUP($E84,'BDD'!$A$1:$S$567,MATCH(G$10,'BDD'!$A$1:$P$1,0),FALSE)),"")</f>
      </c>
      <c r="H84" s="568">
        <f>IF(VLOOKUP(E84,'BDD'!$A$1:$S$567,15,FALSE)=0,"Critère non évalué","")</f>
      </c>
      <c r="I84" s="569">
        <f>_xlfn.IFERROR(IF(VLOOKUP($E84,'BDD'!$A$1:$S$567,MATCH(I$10,'BDD'!$A$1:$P$1,0),FALSE)=0,"",VLOOKUP($E84,'BDD'!$A$1:$S$567,MATCH(I$10,'BDD'!$A$1:$P$1,0),FALSE)),"")</f>
      </c>
      <c r="J84" s="549"/>
      <c r="K84" s="567">
        <f>_xlfn.IFERROR(IF(VLOOKUP($E84,'BDD'!$A$1:$S$567,MATCH(K$10,'BDD'!$A$1:$P$1,0),FALSE)=0,"",VLOOKUP($E84,'BDD'!$A$1:$S$567,MATCH(K$10,'BDD'!$A$1:$P$1,0),FALSE)),"")</f>
      </c>
      <c r="L84" s="550"/>
      <c r="M84" s="557"/>
      <c r="N84" s="557"/>
      <c r="O84" s="534"/>
      <c r="P84" s="507"/>
    </row>
    <row r="85" ht="14.4" customHeight="1">
      <c r="A85" s="504"/>
      <c r="B85" s="61"/>
      <c r="C85" t="s" s="513">
        <f>IF(LEFT(RIGHT($B$1,2),1)=" ",RIGHT($B$1,1),RIGHT($B$1,2))</f>
        <v>1913</v>
      </c>
      <c r="D85" s="61"/>
      <c r="E85" s="61"/>
      <c r="F85" s="559"/>
      <c r="G85" s="559"/>
      <c r="H85" s="559"/>
      <c r="I85" s="559"/>
      <c r="J85" s="559"/>
      <c r="K85" s="559"/>
      <c r="L85" s="61"/>
      <c r="M85" s="559"/>
      <c r="N85" s="559"/>
      <c r="O85" s="61"/>
      <c r="P85" s="507"/>
    </row>
    <row r="86" ht="14.4" customHeight="1">
      <c r="A86" s="504"/>
      <c r="B86" s="61"/>
      <c r="C86" t="s" s="513">
        <f>IF(LEFT(RIGHT($B$1,2),1)=" ",RIGHT($B$1,1),RIGHT($B$1,2))</f>
        <v>1913</v>
      </c>
      <c r="D86" s="61"/>
      <c r="E86" s="61"/>
      <c r="F86" s="61"/>
      <c r="G86" s="61"/>
      <c r="H86" s="61"/>
      <c r="I86" s="61"/>
      <c r="J86" s="61"/>
      <c r="K86" s="61"/>
      <c r="L86" s="61"/>
      <c r="M86" s="61"/>
      <c r="N86" s="61"/>
      <c r="O86" s="61"/>
      <c r="P86" s="507"/>
    </row>
    <row r="87" ht="25.8" customHeight="1">
      <c r="A87" s="511"/>
      <c r="B87" s="512"/>
      <c r="C87" t="s" s="513">
        <f>IF(LEFT(RIGHT($B$1,2),1)=" ",RIGHT($B$1,1),RIGHT($B$1,2))</f>
        <v>1913</v>
      </c>
      <c r="D87" s="61">
        <f>IF(LEFT(F87,14)="Bonne pratique",D83+1,D83)</f>
      </c>
      <c r="E87" s="565">
        <f>C87&amp;D87&amp;RIGHT(F87,1)</f>
      </c>
      <c r="F87" t="s" s="516">
        <v>1887</v>
      </c>
      <c r="G87" s="517"/>
      <c r="H87" s="518"/>
      <c r="I87" s="519"/>
      <c r="J87" s="519">
        <f>VLOOKUP(E94,'BDD'!$A$2:$N$567,6,FALSE)</f>
      </c>
      <c r="K87" s="521"/>
      <c r="L87" s="517"/>
      <c r="M87" s="517"/>
      <c r="N87" s="517"/>
      <c r="O87" s="512"/>
      <c r="P87" s="522"/>
    </row>
    <row r="88" ht="15" customHeight="1">
      <c r="A88" s="504"/>
      <c r="B88" s="61"/>
      <c r="C88" t="s" s="513">
        <f>IF(LEFT(RIGHT($B$1,2),1)=" ",RIGHT($B$1,1),RIGHT($B$1,2))</f>
        <v>1913</v>
      </c>
      <c r="D88" s="61">
        <f>IF(LEFT(F88,14)="Bonne pratique",D87+1,D87)</f>
      </c>
      <c r="E88" s="565">
        <f>C88&amp;D88&amp;RIGHT(F88,1)</f>
      </c>
      <c r="F88" s="61"/>
      <c r="G88" s="61"/>
      <c r="H88" s="61"/>
      <c r="I88" s="61"/>
      <c r="J88" s="61"/>
      <c r="K88" s="61"/>
      <c r="L88" s="61"/>
      <c r="M88" s="61"/>
      <c r="N88" s="61"/>
      <c r="O88" s="61"/>
      <c r="P88" s="507"/>
    </row>
    <row r="89" ht="18" customHeight="1">
      <c r="A89" s="523"/>
      <c r="B89" s="524"/>
      <c r="C89" t="s" s="513">
        <f>IF(LEFT(RIGHT($B$1,2),1)=" ",RIGHT($B$1,1),RIGHT($B$1,2))</f>
        <v>1913</v>
      </c>
      <c r="D89" s="61">
        <f>IF(LEFT(F89,14)="Bonne pratique",D88+1,D88)</f>
      </c>
      <c r="E89" s="565">
        <f>C89&amp;D89&amp;RIGHT(F89,1)</f>
      </c>
      <c r="F89" s="524"/>
      <c r="G89" s="524"/>
      <c r="H89" s="524"/>
      <c r="I89" s="525"/>
      <c r="J89" t="s" s="526">
        <v>602</v>
      </c>
      <c r="K89" s="525"/>
      <c r="L89" s="524"/>
      <c r="M89" s="524"/>
      <c r="N89" s="524"/>
      <c r="O89" s="524"/>
      <c r="P89" s="527"/>
    </row>
    <row r="90" ht="18" customHeight="1">
      <c r="A90" s="504"/>
      <c r="B90" s="61"/>
      <c r="C90" t="s" s="513">
        <f>IF(LEFT(RIGHT($B$1,2),1)=" ",RIGHT($B$1,1),RIGHT($B$1,2))</f>
        <v>1913</v>
      </c>
      <c r="D90" s="61">
        <f>IF(LEFT(F90,14)="Bonne pratique",D89+1,D89)</f>
      </c>
      <c r="E90" s="565">
        <f>C90&amp;D90&amp;RIGHT(F90,1)</f>
      </c>
      <c r="F90" s="61"/>
      <c r="G90" s="61"/>
      <c r="H90" s="61"/>
      <c r="I90" s="61"/>
      <c r="J90" s="528"/>
      <c r="K90" s="61"/>
      <c r="L90" s="61"/>
      <c r="M90" s="529"/>
      <c r="N90" s="529"/>
      <c r="O90" s="61"/>
      <c r="P90" s="507"/>
    </row>
    <row r="91" ht="15" customHeight="1">
      <c r="A91" s="504"/>
      <c r="B91" s="61"/>
      <c r="C91" t="s" s="513">
        <f>IF(LEFT(RIGHT($B$1,2),1)=" ",RIGHT($B$1,1),RIGHT($B$1,2))</f>
        <v>1913</v>
      </c>
      <c r="D91" s="61">
        <f>IF(LEFT(F91,14)="Bonne pratique",D90+1,D90)</f>
      </c>
      <c r="E91" s="565">
        <f>C91&amp;D91&amp;RIGHT(F91,1)</f>
      </c>
      <c r="F91" s="61"/>
      <c r="G91" s="529"/>
      <c r="H91" s="529"/>
      <c r="I91" s="529"/>
      <c r="J91" s="530"/>
      <c r="K91" s="529"/>
      <c r="L91" s="542"/>
      <c r="M91" t="s" s="562">
        <v>1763</v>
      </c>
      <c r="N91" s="563"/>
      <c r="O91" s="534"/>
      <c r="P91" s="507"/>
    </row>
    <row r="92" ht="33" customHeight="1">
      <c r="A92" s="504"/>
      <c r="B92" s="61"/>
      <c r="C92" t="s" s="513">
        <f>IF(LEFT(RIGHT($B$1,2),1)=" ",RIGHT($B$1,1),RIGHT($B$1,2))</f>
        <v>1913</v>
      </c>
      <c r="D92" s="61">
        <f>IF(LEFT(F92,14)="Bonne pratique",D91+1,D91)</f>
      </c>
      <c r="E92" s="565">
        <f>C92&amp;D92&amp;RIGHT(F92,1)</f>
      </c>
      <c r="F92" s="564"/>
      <c r="G92" t="s" s="536">
        <v>244</v>
      </c>
      <c r="H92" t="s" s="536">
        <v>1764</v>
      </c>
      <c r="I92" t="s" s="536">
        <v>1787</v>
      </c>
      <c r="J92" t="s" s="536">
        <v>1765</v>
      </c>
      <c r="K92" t="s" s="536">
        <v>1788</v>
      </c>
      <c r="L92" s="538"/>
      <c r="M92" t="s" s="539">
        <v>1766</v>
      </c>
      <c r="N92" t="s" s="540">
        <v>1767</v>
      </c>
      <c r="O92" s="534"/>
      <c r="P92" s="507"/>
    </row>
    <row r="93" ht="15" customHeight="1">
      <c r="A93" s="504"/>
      <c r="B93" s="61"/>
      <c r="C93" t="s" s="513">
        <f>IF(LEFT(RIGHT($B$1,2),1)=" ",RIGHT($B$1,1),RIGHT($B$1,2))</f>
        <v>1913</v>
      </c>
      <c r="D93" s="61">
        <f>IF(LEFT(F93,14)="Bonne pratique",D92+1,D92)</f>
      </c>
      <c r="E93" s="565">
        <f>C93&amp;D93&amp;RIGHT(F93,1)</f>
      </c>
      <c r="F93" s="529"/>
      <c r="G93" s="541"/>
      <c r="H93" s="541"/>
      <c r="I93" s="541"/>
      <c r="J93" s="541"/>
      <c r="K93" s="541"/>
      <c r="L93" s="61"/>
      <c r="M93" s="541"/>
      <c r="N93" s="541"/>
      <c r="O93" s="61"/>
      <c r="P93" s="507"/>
    </row>
    <row r="94" ht="130.05" customHeight="1">
      <c r="A94" s="504"/>
      <c r="B94" s="542"/>
      <c r="C94" t="s" s="543">
        <f>IF(LEFT(RIGHT($B$1,2),1)=" ",RIGHT($B$1,1),RIGHT($B$1,2))</f>
        <v>1913</v>
      </c>
      <c r="D94" s="550">
        <f>IF(LEFT(F94,14)="Bonne pratique",D93+1,D93)</f>
      </c>
      <c r="E94" s="566">
        <f>C94&amp;D94&amp;RIGHT(F94,1)</f>
      </c>
      <c r="F94" t="s" s="546">
        <v>1769</v>
      </c>
      <c r="G94" s="567">
        <f>_xlfn.IFERROR(IF(VLOOKUP($E94,'BDD'!$A$1:$S$567,MATCH(G$10,'BDD'!$A$1:$P$1,0),FALSE)=0,"",VLOOKUP($E94,'BDD'!$A$1:$S$567,MATCH(G$10,'BDD'!$A$1:$P$1,0),FALSE)),"")</f>
      </c>
      <c r="H94" s="568">
        <f>IF(VLOOKUP(E94,'BDD'!$A$1:$S$567,15,FALSE)=0,"Critère non évalué","")</f>
      </c>
      <c r="I94" s="569">
        <f>_xlfn.IFERROR(IF(VLOOKUP($E94,'BDD'!$A$1:$S$567,MATCH(I$10,'BDD'!$A$1:$P$1,0),FALSE)=0,"",VLOOKUP($E94,'BDD'!$A$1:$S$567,MATCH(I$10,'BDD'!$A$1:$P$1,0),FALSE)),"")</f>
      </c>
      <c r="J94" s="549"/>
      <c r="K94" s="567">
        <f>_xlfn.IFERROR(IF(VLOOKUP($E94,'BDD'!$A$1:$S$567,MATCH(K$10,'BDD'!$A$1:$P$1,0),FALSE)=0,"",VLOOKUP($E94,'BDD'!$A$1:$S$567,MATCH(K$10,'BDD'!$A$1:$P$1,0),FALSE)),"")</f>
      </c>
      <c r="L94" s="550"/>
      <c r="M94" s="551"/>
      <c r="N94" s="551"/>
      <c r="O94" s="534"/>
      <c r="P94" s="507"/>
    </row>
    <row r="95" ht="147.6" customHeight="1">
      <c r="A95" s="504"/>
      <c r="B95" s="542"/>
      <c r="C95" t="s" s="543">
        <f>IF(LEFT(RIGHT($B$1,2),1)=" ",RIGHT($B$1,1),RIGHT($B$1,2))</f>
        <v>1913</v>
      </c>
      <c r="D95" s="550">
        <f>IF(LEFT(F95,14)="Bonne pratique",D94+1,D94)</f>
      </c>
      <c r="E95" s="566">
        <f>C95&amp;D95&amp;RIGHT(F95,1)</f>
      </c>
      <c r="F95" t="s" s="552">
        <v>1772</v>
      </c>
      <c r="G95" s="557">
        <f>_xlfn.IFERROR(IF(VLOOKUP($E95,'BDD'!$A$1:$S$567,MATCH(G$10,'BDD'!$A$1:$P$1,0),FALSE)=0,"",VLOOKUP($E95,'BDD'!$A$1:$S$567,MATCH(G$10,'BDD'!$A$1:$P$1,0),FALSE)),"")</f>
      </c>
      <c r="H95" s="570">
        <f>IF(VLOOKUP(E95,'BDD'!$A$1:$S$567,15,FALSE)=0,"Critère non évalué","")</f>
      </c>
      <c r="I95" s="571">
        <f>_xlfn.IFERROR(IF(VLOOKUP($E95,'BDD'!$A$1:$S$567,MATCH(I$10,'BDD'!$A$1:$P$1,0),FALSE)=0,"",VLOOKUP($E95,'BDD'!$A$1:$S$567,MATCH(I$10,'BDD'!$A$1:$P$1,0),FALSE)),"")</f>
      </c>
      <c r="J95" s="554"/>
      <c r="K95" s="557">
        <f>_xlfn.IFERROR(IF(VLOOKUP($E95,'BDD'!$A$1:$S$567,MATCH(K$10,'BDD'!$A$1:$P$1,0),FALSE)=0,"",VLOOKUP($E95,'BDD'!$A$1:$S$567,MATCH(K$10,'BDD'!$A$1:$P$1,0),FALSE)),"")</f>
      </c>
      <c r="L95" s="550"/>
      <c r="M95" s="555"/>
      <c r="N95" s="555"/>
      <c r="O95" s="534"/>
      <c r="P95" s="507"/>
    </row>
    <row r="96" ht="130.05" customHeight="1">
      <c r="A96" s="504"/>
      <c r="B96" s="542"/>
      <c r="C96" t="s" s="543">
        <f>IF(LEFT(RIGHT($B$1,2),1)=" ",RIGHT($B$1,1),RIGHT($B$1,2))</f>
        <v>1913</v>
      </c>
      <c r="D96" s="550">
        <f>IF(LEFT(F96,14)="Bonne pratique",D95+1,D95)</f>
      </c>
      <c r="E96" s="566">
        <f>C96&amp;D96&amp;RIGHT(F96,1)</f>
      </c>
      <c r="F96" t="s" s="546">
        <v>1774</v>
      </c>
      <c r="G96" s="567">
        <f>_xlfn.IFERROR(IF(VLOOKUP($E96,'BDD'!$A$1:$S$567,MATCH(G$10,'BDD'!$A$1:$P$1,0),FALSE)=0,"",VLOOKUP($E96,'BDD'!$A$1:$S$567,MATCH(G$10,'BDD'!$A$1:$P$1,0),FALSE)),"")</f>
      </c>
      <c r="H96" s="568">
        <f>IF(VLOOKUP(E96,'BDD'!$A$1:$S$567,15,FALSE)=0,"Critère non évalué","")</f>
      </c>
      <c r="I96" s="569">
        <f>_xlfn.IFERROR(IF(VLOOKUP($E96,'BDD'!$A$1:$S$567,MATCH(I$10,'BDD'!$A$1:$P$1,0),FALSE)=0,"",VLOOKUP($E96,'BDD'!$A$1:$S$567,MATCH(I$10,'BDD'!$A$1:$P$1,0),FALSE)),"")</f>
      </c>
      <c r="J96" s="549"/>
      <c r="K96" s="567">
        <f>_xlfn.IFERROR(IF(VLOOKUP($E96,'BDD'!$A$1:$S$567,MATCH(K$10,'BDD'!$A$1:$P$1,0),FALSE)=0,"",VLOOKUP($E96,'BDD'!$A$1:$S$567,MATCH(K$10,'BDD'!$A$1:$P$1,0),FALSE)),"")</f>
      </c>
      <c r="L96" s="550"/>
      <c r="M96" s="551"/>
      <c r="N96" s="551"/>
      <c r="O96" s="534"/>
      <c r="P96" s="507"/>
    </row>
    <row r="97" ht="130.05" customHeight="1">
      <c r="A97" s="504"/>
      <c r="B97" s="542"/>
      <c r="C97" t="s" s="543">
        <f>IF(LEFT(RIGHT($B$1,2),1)=" ",RIGHT($B$1,1),RIGHT($B$1,2))</f>
        <v>1913</v>
      </c>
      <c r="D97" s="550">
        <f>IF(LEFT(F97,14)="Bonne pratique",D96+1,D96)</f>
      </c>
      <c r="E97" s="566">
        <f>C97&amp;D97&amp;RIGHT(F97,1)</f>
      </c>
      <c r="F97" t="s" s="552">
        <v>1776</v>
      </c>
      <c r="G97" s="557">
        <f>_xlfn.IFERROR(IF(VLOOKUP($E97,'BDD'!$A$1:$S$567,MATCH(G$10,'BDD'!$A$1:$P$1,0),FALSE)=0,"",VLOOKUP($E97,'BDD'!$A$1:$S$567,MATCH(G$10,'BDD'!$A$1:$P$1,0),FALSE)),"")</f>
      </c>
      <c r="H97" s="570">
        <f>IF(VLOOKUP(E97,'BDD'!$A$1:$S$567,15,FALSE)=0,"Critère non évalué","")</f>
      </c>
      <c r="I97" s="571">
        <f>_xlfn.IFERROR(IF(VLOOKUP($E97,'BDD'!$A$1:$S$567,MATCH(I$10,'BDD'!$A$1:$P$1,0),FALSE)=0,"",VLOOKUP($E97,'BDD'!$A$1:$S$567,MATCH(I$10,'BDD'!$A$1:$P$1,0),FALSE)),"")</f>
      </c>
      <c r="J97" s="556"/>
      <c r="K97" s="557">
        <f>_xlfn.IFERROR(IF(VLOOKUP($E97,'BDD'!$A$1:$S$567,MATCH(K$10,'BDD'!$A$1:$P$1,0),FALSE)=0,"",VLOOKUP($E97,'BDD'!$A$1:$S$567,MATCH(K$10,'BDD'!$A$1:$P$1,0),FALSE)),"")</f>
      </c>
      <c r="L97" s="550"/>
      <c r="M97" s="555"/>
      <c r="N97" s="555"/>
      <c r="O97" s="534"/>
      <c r="P97" s="507"/>
    </row>
    <row r="98" ht="130.05" customHeight="1">
      <c r="A98" s="504"/>
      <c r="B98" s="542"/>
      <c r="C98" t="s" s="543">
        <f>IF(LEFT(RIGHT($B$1,2),1)=" ",RIGHT($B$1,1),RIGHT($B$1,2))</f>
        <v>1913</v>
      </c>
      <c r="D98" s="550">
        <f>IF(LEFT(F98,14)="Bonne pratique",D97+1,D97)</f>
      </c>
      <c r="E98" s="566">
        <f>C98&amp;D98&amp;RIGHT(F98,1)</f>
      </c>
      <c r="F98" t="s" s="546">
        <v>1778</v>
      </c>
      <c r="G98" s="567">
        <f>_xlfn.IFERROR(IF(VLOOKUP($E98,'BDD'!$A$1:$S$567,MATCH(G$10,'BDD'!$A$1:$P$1,0),FALSE)=0,"",VLOOKUP($E98,'BDD'!$A$1:$S$567,MATCH(G$10,'BDD'!$A$1:$P$1,0),FALSE)),"")</f>
      </c>
      <c r="H98" s="568">
        <f>IF(VLOOKUP(E98,'BDD'!$A$1:$S$567,15,FALSE)=0,"Critère non évalué","")</f>
      </c>
      <c r="I98" s="569">
        <f>_xlfn.IFERROR(IF(VLOOKUP($E98,'BDD'!$A$1:$S$567,MATCH(I$10,'BDD'!$A$1:$P$1,0),FALSE)=0,"",VLOOKUP($E98,'BDD'!$A$1:$S$567,MATCH(I$10,'BDD'!$A$1:$P$1,0),FALSE)),"")</f>
      </c>
      <c r="J98" s="549"/>
      <c r="K98" s="567">
        <f>_xlfn.IFERROR(IF(VLOOKUP($E98,'BDD'!$A$1:$S$567,MATCH(K$10,'BDD'!$A$1:$P$1,0),FALSE)=0,"",VLOOKUP($E98,'BDD'!$A$1:$S$567,MATCH(K$10,'BDD'!$A$1:$P$1,0),FALSE)),"")</f>
      </c>
      <c r="L98" s="550"/>
      <c r="M98" s="557"/>
      <c r="N98" s="557"/>
      <c r="O98" s="534"/>
      <c r="P98" s="507"/>
    </row>
    <row r="99" ht="130.05" customHeight="1" hidden="1">
      <c r="A99" s="504"/>
      <c r="B99" s="542"/>
      <c r="C99" t="s" s="543">
        <f>IF(LEFT(RIGHT($B$1,2),1)=" ",RIGHT($B$1,1),RIGHT($B$1,2))</f>
        <v>1913</v>
      </c>
      <c r="D99" s="550">
        <f>IF(LEFT(F99,14)="Bonne pratique",D98+1,D98)</f>
      </c>
      <c r="E99" s="566">
        <f>C99&amp;D99&amp;RIGHT(F99,1)</f>
      </c>
      <c r="F99" t="s" s="552">
        <v>1780</v>
      </c>
      <c r="G99" s="557">
        <f>_xlfn.IFERROR(IF(VLOOKUP($E99,'BDD'!$A$1:$S$567,MATCH(G$10,'BDD'!$A$1:$P$1,0),FALSE)=0,"",VLOOKUP($E99,'BDD'!$A$1:$S$567,MATCH(G$10,'BDD'!$A$1:$P$1,0),FALSE)),"")</f>
      </c>
      <c r="H99" s="570">
        <f>IF(VLOOKUP(E99,'BDD'!$A$1:$S$567,15,FALSE)=0,"Critère non évalué","")</f>
      </c>
      <c r="I99" s="571">
        <f>_xlfn.IFERROR(IF(VLOOKUP($E99,'BDD'!$A$1:$S$567,MATCH(I$10,'BDD'!$A$1:$P$1,0),FALSE)=0,"",VLOOKUP($E99,'BDD'!$A$1:$S$567,MATCH(I$10,'BDD'!$A$1:$P$1,0),FALSE)),"")</f>
      </c>
      <c r="J99" s="556"/>
      <c r="K99" s="557">
        <f>_xlfn.IFERROR(IF(VLOOKUP($E99,'BDD'!$A$1:$S$567,MATCH(K$10,'BDD'!$A$1:$P$1,0),FALSE)=0,"",VLOOKUP($E99,'BDD'!$A$1:$S$567,MATCH(K$10,'BDD'!$A$1:$P$1,0),FALSE)),"")</f>
      </c>
      <c r="L99" s="550"/>
      <c r="M99" s="555"/>
      <c r="N99" s="555"/>
      <c r="O99" s="534"/>
      <c r="P99" s="507"/>
    </row>
    <row r="100" ht="130.05" customHeight="1" hidden="1">
      <c r="A100" s="504"/>
      <c r="B100" s="542"/>
      <c r="C100" t="s" s="543">
        <f>IF(LEFT(RIGHT($B$1,2),1)=" ",RIGHT($B$1,1),RIGHT($B$1,2))</f>
        <v>1913</v>
      </c>
      <c r="D100" s="550">
        <f>IF(LEFT(F100,14)="Bonne pratique",D99+1,D99)</f>
      </c>
      <c r="E100" s="566">
        <f>C100&amp;D100&amp;RIGHT(F100,1)</f>
      </c>
      <c r="F100" t="s" s="546">
        <v>1782</v>
      </c>
      <c r="G100" s="567">
        <f>_xlfn.IFERROR(IF(VLOOKUP($E100,'BDD'!$A$1:$S$567,MATCH(G$10,'BDD'!$A$1:$P$1,0),FALSE)=0,"",VLOOKUP($E100,'BDD'!$A$1:$S$567,MATCH(G$10,'BDD'!$A$1:$P$1,0),FALSE)),"")</f>
      </c>
      <c r="H100" s="568">
        <f>IF(VLOOKUP(E100,'BDD'!$A$1:$S$567,15,FALSE)=0,"Critère non évalué","")</f>
      </c>
      <c r="I100" s="569">
        <f>_xlfn.IFERROR(IF(VLOOKUP($E100,'BDD'!$A$1:$S$567,MATCH(I$10,'BDD'!$A$1:$P$1,0),FALSE)=0,"",VLOOKUP($E100,'BDD'!$A$1:$S$567,MATCH(I$10,'BDD'!$A$1:$P$1,0),FALSE)),"")</f>
      </c>
      <c r="J100" s="549"/>
      <c r="K100" s="567">
        <f>_xlfn.IFERROR(IF(VLOOKUP($E100,'BDD'!$A$1:$S$567,MATCH(K$10,'BDD'!$A$1:$P$1,0),FALSE)=0,"",VLOOKUP($E100,'BDD'!$A$1:$S$567,MATCH(K$10,'BDD'!$A$1:$P$1,0),FALSE)),"")</f>
      </c>
      <c r="L100" s="550"/>
      <c r="M100" s="557"/>
      <c r="N100" s="557"/>
      <c r="O100" s="534"/>
      <c r="P100" s="507"/>
    </row>
    <row r="101" ht="14.4" customHeight="1">
      <c r="A101" s="504"/>
      <c r="B101" s="61"/>
      <c r="C101" t="s" s="513">
        <f>IF(LEFT(RIGHT($B$1,2),1)=" ",RIGHT($B$1,1),RIGHT($B$1,2))</f>
        <v>1913</v>
      </c>
      <c r="D101" s="61"/>
      <c r="E101" s="61"/>
      <c r="F101" s="559"/>
      <c r="G101" s="559"/>
      <c r="H101" s="559"/>
      <c r="I101" s="559"/>
      <c r="J101" s="559"/>
      <c r="K101" s="559"/>
      <c r="L101" s="61"/>
      <c r="M101" s="559"/>
      <c r="N101" s="559"/>
      <c r="O101" s="61"/>
      <c r="P101" s="507"/>
    </row>
    <row r="102" ht="14.4" customHeight="1">
      <c r="A102" s="504"/>
      <c r="B102" s="61"/>
      <c r="C102" t="s" s="513">
        <f>IF(LEFT(RIGHT($B$1,2),1)=" ",RIGHT($B$1,1),RIGHT($B$1,2))</f>
        <v>1913</v>
      </c>
      <c r="D102" s="61"/>
      <c r="E102" s="61"/>
      <c r="F102" s="61"/>
      <c r="G102" s="61"/>
      <c r="H102" s="61"/>
      <c r="I102" s="61"/>
      <c r="J102" s="61"/>
      <c r="K102" s="61"/>
      <c r="L102" s="61"/>
      <c r="M102" s="61"/>
      <c r="N102" s="61"/>
      <c r="O102" s="61"/>
      <c r="P102" s="507"/>
    </row>
    <row r="103" ht="25.8" customHeight="1">
      <c r="A103" s="511"/>
      <c r="B103" s="512"/>
      <c r="C103" t="s" s="513">
        <f>IF(LEFT(RIGHT($B$1,2),1)=" ",RIGHT($B$1,1),RIGHT($B$1,2))</f>
        <v>1913</v>
      </c>
      <c r="D103" s="61">
        <f>IF(LEFT(F103,14)="Bonne pratique",D99+1,D99)</f>
      </c>
      <c r="E103" s="565">
        <f>C103&amp;D103&amp;RIGHT(F103,1)</f>
      </c>
      <c r="F103" t="s" s="516">
        <v>1888</v>
      </c>
      <c r="G103" s="517"/>
      <c r="H103" s="518"/>
      <c r="I103" s="519"/>
      <c r="J103" s="519">
        <f>VLOOKUP(E110,'BDD'!$A$2:$N$567,6,FALSE)</f>
      </c>
      <c r="K103" s="521"/>
      <c r="L103" s="517"/>
      <c r="M103" s="517"/>
      <c r="N103" s="517"/>
      <c r="O103" s="512"/>
      <c r="P103" s="522"/>
    </row>
    <row r="104" ht="15" customHeight="1">
      <c r="A104" s="504"/>
      <c r="B104" s="61"/>
      <c r="C104" t="s" s="513">
        <f>IF(LEFT(RIGHT($B$1,2),1)=" ",RIGHT($B$1,1),RIGHT($B$1,2))</f>
        <v>1913</v>
      </c>
      <c r="D104" s="61">
        <f>IF(LEFT(F104,14)="Bonne pratique",D103+1,D103)</f>
      </c>
      <c r="E104" s="565">
        <f>C104&amp;D104&amp;RIGHT(F104,1)</f>
      </c>
      <c r="F104" s="61"/>
      <c r="G104" s="61"/>
      <c r="H104" s="61"/>
      <c r="I104" s="61"/>
      <c r="J104" s="61"/>
      <c r="K104" s="61"/>
      <c r="L104" s="61"/>
      <c r="M104" s="61"/>
      <c r="N104" s="61"/>
      <c r="O104" s="61"/>
      <c r="P104" s="507"/>
    </row>
    <row r="105" ht="18" customHeight="1">
      <c r="A105" s="523"/>
      <c r="B105" s="524"/>
      <c r="C105" t="s" s="513">
        <f>IF(LEFT(RIGHT($B$1,2),1)=" ",RIGHT($B$1,1),RIGHT($B$1,2))</f>
        <v>1913</v>
      </c>
      <c r="D105" s="61">
        <f>IF(LEFT(F105,14)="Bonne pratique",D104+1,D104)</f>
      </c>
      <c r="E105" s="565">
        <f>C105&amp;D105&amp;RIGHT(F105,1)</f>
      </c>
      <c r="F105" s="524"/>
      <c r="G105" s="524"/>
      <c r="H105" s="524"/>
      <c r="I105" s="525"/>
      <c r="J105" t="s" s="526">
        <v>619</v>
      </c>
      <c r="K105" s="525"/>
      <c r="L105" s="524"/>
      <c r="M105" s="524"/>
      <c r="N105" s="524"/>
      <c r="O105" s="524"/>
      <c r="P105" s="527"/>
    </row>
    <row r="106" ht="18" customHeight="1">
      <c r="A106" s="504"/>
      <c r="B106" s="61"/>
      <c r="C106" t="s" s="513">
        <f>IF(LEFT(RIGHT($B$1,2),1)=" ",RIGHT($B$1,1),RIGHT($B$1,2))</f>
        <v>1913</v>
      </c>
      <c r="D106" s="61">
        <f>IF(LEFT(F106,14)="Bonne pratique",D105+1,D105)</f>
      </c>
      <c r="E106" s="565">
        <f>C106&amp;D106&amp;RIGHT(F106,1)</f>
      </c>
      <c r="F106" s="61"/>
      <c r="G106" s="61"/>
      <c r="H106" s="61"/>
      <c r="I106" s="61"/>
      <c r="J106" s="528"/>
      <c r="K106" s="61"/>
      <c r="L106" s="61"/>
      <c r="M106" s="529"/>
      <c r="N106" s="529"/>
      <c r="O106" s="61"/>
      <c r="P106" s="507"/>
    </row>
    <row r="107" ht="15" customHeight="1">
      <c r="A107" s="504"/>
      <c r="B107" s="61"/>
      <c r="C107" t="s" s="513">
        <f>IF(LEFT(RIGHT($B$1,2),1)=" ",RIGHT($B$1,1),RIGHT($B$1,2))</f>
        <v>1913</v>
      </c>
      <c r="D107" s="61">
        <f>IF(LEFT(F107,14)="Bonne pratique",D106+1,D106)</f>
      </c>
      <c r="E107" s="565">
        <f>C107&amp;D107&amp;RIGHT(F107,1)</f>
      </c>
      <c r="F107" s="61"/>
      <c r="G107" s="529"/>
      <c r="H107" s="529"/>
      <c r="I107" s="529"/>
      <c r="J107" s="530"/>
      <c r="K107" s="529"/>
      <c r="L107" s="542"/>
      <c r="M107" t="s" s="562">
        <v>1763</v>
      </c>
      <c r="N107" s="563"/>
      <c r="O107" s="534"/>
      <c r="P107" s="507"/>
    </row>
    <row r="108" ht="33" customHeight="1">
      <c r="A108" s="504"/>
      <c r="B108" s="61"/>
      <c r="C108" t="s" s="513">
        <f>IF(LEFT(RIGHT($B$1,2),1)=" ",RIGHT($B$1,1),RIGHT($B$1,2))</f>
        <v>1913</v>
      </c>
      <c r="D108" s="61">
        <f>IF(LEFT(F108,14)="Bonne pratique",D107+1,D107)</f>
      </c>
      <c r="E108" s="565">
        <f>C108&amp;D108&amp;RIGHT(F108,1)</f>
      </c>
      <c r="F108" s="564"/>
      <c r="G108" t="s" s="536">
        <v>244</v>
      </c>
      <c r="H108" t="s" s="536">
        <v>1764</v>
      </c>
      <c r="I108" t="s" s="536">
        <v>1787</v>
      </c>
      <c r="J108" t="s" s="536">
        <v>1765</v>
      </c>
      <c r="K108" t="s" s="536">
        <v>1788</v>
      </c>
      <c r="L108" s="538"/>
      <c r="M108" t="s" s="539">
        <v>1766</v>
      </c>
      <c r="N108" t="s" s="540">
        <v>1767</v>
      </c>
      <c r="O108" s="534"/>
      <c r="P108" s="507"/>
    </row>
    <row r="109" ht="15" customHeight="1">
      <c r="A109" s="504"/>
      <c r="B109" s="61"/>
      <c r="C109" t="s" s="513">
        <f>IF(LEFT(RIGHT($B$1,2),1)=" ",RIGHT($B$1,1),RIGHT($B$1,2))</f>
        <v>1913</v>
      </c>
      <c r="D109" s="61">
        <f>IF(LEFT(F109,14)="Bonne pratique",D108+1,D108)</f>
      </c>
      <c r="E109" s="565">
        <f>C109&amp;D109&amp;RIGHT(F109,1)</f>
      </c>
      <c r="F109" s="529"/>
      <c r="G109" s="541"/>
      <c r="H109" s="541"/>
      <c r="I109" s="541"/>
      <c r="J109" s="541"/>
      <c r="K109" s="541"/>
      <c r="L109" s="61"/>
      <c r="M109" s="541"/>
      <c r="N109" s="541"/>
      <c r="O109" s="61"/>
      <c r="P109" s="507"/>
    </row>
    <row r="110" ht="130.05" customHeight="1">
      <c r="A110" s="504"/>
      <c r="B110" s="542"/>
      <c r="C110" t="s" s="543">
        <f>IF(LEFT(RIGHT($B$1,2),1)=" ",RIGHT($B$1,1),RIGHT($B$1,2))</f>
        <v>1913</v>
      </c>
      <c r="D110" s="550">
        <f>IF(LEFT(F110,14)="Bonne pratique",D109+1,D109)</f>
      </c>
      <c r="E110" s="566">
        <f>C110&amp;D110&amp;RIGHT(F110,1)</f>
      </c>
      <c r="F110" t="s" s="546">
        <v>1769</v>
      </c>
      <c r="G110" s="567">
        <f>_xlfn.IFERROR(IF(VLOOKUP($E110,'BDD'!$A$1:$S$567,MATCH(G$10,'BDD'!$A$1:$P$1,0),FALSE)=0,"",VLOOKUP($E110,'BDD'!$A$1:$S$567,MATCH(G$10,'BDD'!$A$1:$P$1,0),FALSE)),"")</f>
      </c>
      <c r="H110" s="568">
        <f>IF(VLOOKUP(E110,'BDD'!$A$1:$S$567,15,FALSE)=0,"Critère non évalué","")</f>
      </c>
      <c r="I110" s="569">
        <f>_xlfn.IFERROR(IF(VLOOKUP($E110,'BDD'!$A$1:$S$567,MATCH(I$10,'BDD'!$A$1:$P$1,0),FALSE)=0,"",VLOOKUP($E110,'BDD'!$A$1:$S$567,MATCH(I$10,'BDD'!$A$1:$P$1,0),FALSE)),"")</f>
      </c>
      <c r="J110" s="549"/>
      <c r="K110" s="567">
        <f>_xlfn.IFERROR(IF(VLOOKUP($E110,'BDD'!$A$1:$S$567,MATCH(K$10,'BDD'!$A$1:$P$1,0),FALSE)=0,"",VLOOKUP($E110,'BDD'!$A$1:$S$567,MATCH(K$10,'BDD'!$A$1:$P$1,0),FALSE)),"")</f>
      </c>
      <c r="L110" s="550"/>
      <c r="M110" s="551"/>
      <c r="N110" s="551"/>
      <c r="O110" s="534"/>
      <c r="P110" s="507"/>
    </row>
    <row r="111" ht="130.05" customHeight="1">
      <c r="A111" s="504"/>
      <c r="B111" s="542"/>
      <c r="C111" t="s" s="543">
        <f>IF(LEFT(RIGHT($B$1,2),1)=" ",RIGHT($B$1,1),RIGHT($B$1,2))</f>
        <v>1913</v>
      </c>
      <c r="D111" s="550">
        <f>IF(LEFT(F111,14)="Bonne pratique",D110+1,D110)</f>
      </c>
      <c r="E111" s="566">
        <f>C111&amp;D111&amp;RIGHT(F111,1)</f>
      </c>
      <c r="F111" t="s" s="552">
        <v>1772</v>
      </c>
      <c r="G111" s="557">
        <f>_xlfn.IFERROR(IF(VLOOKUP($E111,'BDD'!$A$1:$S$567,MATCH(G$10,'BDD'!$A$1:$P$1,0),FALSE)=0,"",VLOOKUP($E111,'BDD'!$A$1:$S$567,MATCH(G$10,'BDD'!$A$1:$P$1,0),FALSE)),"")</f>
      </c>
      <c r="H111" s="570">
        <f>IF(VLOOKUP(E111,'BDD'!$A$1:$S$567,15,FALSE)=0,"Critère non évalué","")</f>
      </c>
      <c r="I111" s="571">
        <f>_xlfn.IFERROR(IF(VLOOKUP($E111,'BDD'!$A$1:$S$567,MATCH(I$10,'BDD'!$A$1:$P$1,0),FALSE)=0,"",VLOOKUP($E111,'BDD'!$A$1:$S$567,MATCH(I$10,'BDD'!$A$1:$P$1,0),FALSE)),"")</f>
      </c>
      <c r="J111" s="554"/>
      <c r="K111" s="557">
        <f>_xlfn.IFERROR(IF(VLOOKUP($E111,'BDD'!$A$1:$S$567,MATCH(K$10,'BDD'!$A$1:$P$1,0),FALSE)=0,"",VLOOKUP($E111,'BDD'!$A$1:$S$567,MATCH(K$10,'BDD'!$A$1:$P$1,0),FALSE)),"")</f>
      </c>
      <c r="L111" s="550"/>
      <c r="M111" s="555"/>
      <c r="N111" s="555"/>
      <c r="O111" s="534"/>
      <c r="P111" s="507"/>
    </row>
    <row r="112" ht="130.05" customHeight="1">
      <c r="A112" s="504"/>
      <c r="B112" s="542"/>
      <c r="C112" t="s" s="543">
        <f>IF(LEFT(RIGHT($B$1,2),1)=" ",RIGHT($B$1,1),RIGHT($B$1,2))</f>
        <v>1913</v>
      </c>
      <c r="D112" s="550">
        <f>IF(LEFT(F112,14)="Bonne pratique",D111+1,D111)</f>
      </c>
      <c r="E112" s="566">
        <f>C112&amp;D112&amp;RIGHT(F112,1)</f>
      </c>
      <c r="F112" t="s" s="546">
        <v>1774</v>
      </c>
      <c r="G112" s="567">
        <f>_xlfn.IFERROR(IF(VLOOKUP($E112,'BDD'!$A$1:$S$567,MATCH(G$10,'BDD'!$A$1:$P$1,0),FALSE)=0,"",VLOOKUP($E112,'BDD'!$A$1:$S$567,MATCH(G$10,'BDD'!$A$1:$P$1,0),FALSE)),"")</f>
      </c>
      <c r="H112" s="568">
        <f>IF(VLOOKUP(E112,'BDD'!$A$1:$S$567,15,FALSE)=0,"Critère non évalué","")</f>
      </c>
      <c r="I112" s="569">
        <f>_xlfn.IFERROR(IF(VLOOKUP($E112,'BDD'!$A$1:$S$567,MATCH(I$10,'BDD'!$A$1:$P$1,0),FALSE)=0,"",VLOOKUP($E112,'BDD'!$A$1:$S$567,MATCH(I$10,'BDD'!$A$1:$P$1,0),FALSE)),"")</f>
      </c>
      <c r="J112" s="549"/>
      <c r="K112" s="567">
        <f>_xlfn.IFERROR(IF(VLOOKUP($E112,'BDD'!$A$1:$S$567,MATCH(K$10,'BDD'!$A$1:$P$1,0),FALSE)=0,"",VLOOKUP($E112,'BDD'!$A$1:$S$567,MATCH(K$10,'BDD'!$A$1:$P$1,0),FALSE)),"")</f>
      </c>
      <c r="L112" s="550"/>
      <c r="M112" s="551"/>
      <c r="N112" s="551"/>
      <c r="O112" s="534"/>
      <c r="P112" s="507"/>
    </row>
    <row r="113" ht="130.05" customHeight="1">
      <c r="A113" s="504"/>
      <c r="B113" s="542"/>
      <c r="C113" t="s" s="543">
        <f>IF(LEFT(RIGHT($B$1,2),1)=" ",RIGHT($B$1,1),RIGHT($B$1,2))</f>
        <v>1913</v>
      </c>
      <c r="D113" s="550">
        <f>IF(LEFT(F113,14)="Bonne pratique",D112+1,D112)</f>
      </c>
      <c r="E113" s="566">
        <f>C113&amp;D113&amp;RIGHT(F113,1)</f>
      </c>
      <c r="F113" t="s" s="552">
        <v>1776</v>
      </c>
      <c r="G113" s="557">
        <f>_xlfn.IFERROR(IF(VLOOKUP($E113,'BDD'!$A$1:$S$567,MATCH(G$10,'BDD'!$A$1:$P$1,0),FALSE)=0,"",VLOOKUP($E113,'BDD'!$A$1:$S$567,MATCH(G$10,'BDD'!$A$1:$P$1,0),FALSE)),"")</f>
      </c>
      <c r="H113" s="570">
        <f>IF(VLOOKUP(E113,'BDD'!$A$1:$S$567,15,FALSE)=0,"Critère non évalué","")</f>
      </c>
      <c r="I113" s="571">
        <f>_xlfn.IFERROR(IF(VLOOKUP($E113,'BDD'!$A$1:$S$567,MATCH(I$10,'BDD'!$A$1:$P$1,0),FALSE)=0,"",VLOOKUP($E113,'BDD'!$A$1:$S$567,MATCH(I$10,'BDD'!$A$1:$P$1,0),FALSE)),"")</f>
      </c>
      <c r="J113" s="556"/>
      <c r="K113" s="557">
        <f>_xlfn.IFERROR(IF(VLOOKUP($E113,'BDD'!$A$1:$S$567,MATCH(K$10,'BDD'!$A$1:$P$1,0),FALSE)=0,"",VLOOKUP($E113,'BDD'!$A$1:$S$567,MATCH(K$10,'BDD'!$A$1:$P$1,0),FALSE)),"")</f>
      </c>
      <c r="L113" s="550"/>
      <c r="M113" s="555"/>
      <c r="N113" s="555"/>
      <c r="O113" s="534"/>
      <c r="P113" s="507"/>
    </row>
    <row r="114" ht="130.05" customHeight="1">
      <c r="A114" s="504"/>
      <c r="B114" s="542"/>
      <c r="C114" t="s" s="543">
        <f>IF(LEFT(RIGHT($B$1,2),1)=" ",RIGHT($B$1,1),RIGHT($B$1,2))</f>
        <v>1913</v>
      </c>
      <c r="D114" s="550">
        <f>IF(LEFT(F114,14)="Bonne pratique",D113+1,D113)</f>
      </c>
      <c r="E114" s="566">
        <f>C114&amp;D114&amp;RIGHT(F114,1)</f>
      </c>
      <c r="F114" t="s" s="546">
        <v>1778</v>
      </c>
      <c r="G114" s="567">
        <f>_xlfn.IFERROR(IF(VLOOKUP($E114,'BDD'!$A$1:$S$567,MATCH(G$10,'BDD'!$A$1:$P$1,0),FALSE)=0,"",VLOOKUP($E114,'BDD'!$A$1:$S$567,MATCH(G$10,'BDD'!$A$1:$P$1,0),FALSE)),"")</f>
      </c>
      <c r="H114" s="568">
        <f>IF(VLOOKUP(E114,'BDD'!$A$1:$S$567,15,FALSE)=0,"Critère non évalué","")</f>
      </c>
      <c r="I114" s="569">
        <f>_xlfn.IFERROR(IF(VLOOKUP($E114,'BDD'!$A$1:$S$567,MATCH(I$10,'BDD'!$A$1:$P$1,0),FALSE)=0,"",VLOOKUP($E114,'BDD'!$A$1:$S$567,MATCH(I$10,'BDD'!$A$1:$P$1,0),FALSE)),"")</f>
      </c>
      <c r="J114" s="549"/>
      <c r="K114" s="567">
        <f>_xlfn.IFERROR(IF(VLOOKUP($E114,'BDD'!$A$1:$S$567,MATCH(K$10,'BDD'!$A$1:$P$1,0),FALSE)=0,"",VLOOKUP($E114,'BDD'!$A$1:$S$567,MATCH(K$10,'BDD'!$A$1:$P$1,0),FALSE)),"")</f>
      </c>
      <c r="L114" s="550"/>
      <c r="M114" s="557"/>
      <c r="N114" s="557"/>
      <c r="O114" s="534"/>
      <c r="P114" s="507"/>
    </row>
    <row r="115" ht="130.05" customHeight="1" hidden="1">
      <c r="A115" s="504"/>
      <c r="B115" s="542"/>
      <c r="C115" t="s" s="543">
        <f>IF(LEFT(RIGHT($B$1,2),1)=" ",RIGHT($B$1,1),RIGHT($B$1,2))</f>
        <v>1913</v>
      </c>
      <c r="D115" s="550">
        <f>IF(LEFT(F115,14)="Bonne pratique",D114+1,D114)</f>
      </c>
      <c r="E115" s="566">
        <f>C115&amp;D115&amp;RIGHT(F115,1)</f>
      </c>
      <c r="F115" t="s" s="552">
        <v>1780</v>
      </c>
      <c r="G115" s="557">
        <f>_xlfn.IFERROR(IF(VLOOKUP($E115,'BDD'!$A$1:$S$567,MATCH(G$10,'BDD'!$A$1:$P$1,0),FALSE)=0,"",VLOOKUP($E115,'BDD'!$A$1:$S$567,MATCH(G$10,'BDD'!$A$1:$P$1,0),FALSE)),"")</f>
      </c>
      <c r="H115" s="570">
        <f>IF(VLOOKUP(E115,'BDD'!$A$1:$S$567,15,FALSE)=0,"Critère non évalué","")</f>
      </c>
      <c r="I115" s="571">
        <f>_xlfn.IFERROR(IF(VLOOKUP($E115,'BDD'!$A$1:$S$567,MATCH(I$10,'BDD'!$A$1:$P$1,0),FALSE)=0,"",VLOOKUP($E115,'BDD'!$A$1:$S$567,MATCH(I$10,'BDD'!$A$1:$P$1,0),FALSE)),"")</f>
      </c>
      <c r="J115" s="556"/>
      <c r="K115" s="557">
        <f>_xlfn.IFERROR(IF(VLOOKUP($E115,'BDD'!$A$1:$S$567,MATCH(K$10,'BDD'!$A$1:$P$1,0),FALSE)=0,"",VLOOKUP($E115,'BDD'!$A$1:$S$567,MATCH(K$10,'BDD'!$A$1:$P$1,0),FALSE)),"")</f>
      </c>
      <c r="L115" s="550"/>
      <c r="M115" s="555"/>
      <c r="N115" s="555"/>
      <c r="O115" s="534"/>
      <c r="P115" s="507"/>
    </row>
    <row r="116" ht="130.05" customHeight="1" hidden="1">
      <c r="A116" s="504"/>
      <c r="B116" s="542"/>
      <c r="C116" t="s" s="543">
        <f>IF(LEFT(RIGHT($B$1,2),1)=" ",RIGHT($B$1,1),RIGHT($B$1,2))</f>
        <v>1913</v>
      </c>
      <c r="D116" s="550">
        <f>IF(LEFT(F116,14)="Bonne pratique",D115+1,D115)</f>
      </c>
      <c r="E116" s="566">
        <f>C116&amp;D116&amp;RIGHT(F116,1)</f>
      </c>
      <c r="F116" t="s" s="546">
        <v>1782</v>
      </c>
      <c r="G116" s="567">
        <f>_xlfn.IFERROR(IF(VLOOKUP($E116,'BDD'!$A$1:$S$567,MATCH(G$10,'BDD'!$A$1:$P$1,0),FALSE)=0,"",VLOOKUP($E116,'BDD'!$A$1:$S$567,MATCH(G$10,'BDD'!$A$1:$P$1,0),FALSE)),"")</f>
      </c>
      <c r="H116" s="568">
        <f>IF(VLOOKUP(E116,'BDD'!$A$1:$S$567,15,FALSE)=0,"Critère non évalué","")</f>
      </c>
      <c r="I116" s="569">
        <f>_xlfn.IFERROR(IF(VLOOKUP($E116,'BDD'!$A$1:$S$567,MATCH(I$10,'BDD'!$A$1:$P$1,0),FALSE)=0,"",VLOOKUP($E116,'BDD'!$A$1:$S$567,MATCH(I$10,'BDD'!$A$1:$P$1,0),FALSE)),"")</f>
      </c>
      <c r="J116" s="549"/>
      <c r="K116" s="567">
        <f>_xlfn.IFERROR(IF(VLOOKUP($E116,'BDD'!$A$1:$S$567,MATCH(K$10,'BDD'!$A$1:$P$1,0),FALSE)=0,"",VLOOKUP($E116,'BDD'!$A$1:$S$567,MATCH(K$10,'BDD'!$A$1:$P$1,0),FALSE)),"")</f>
      </c>
      <c r="L116" s="550"/>
      <c r="M116" s="557"/>
      <c r="N116" s="557"/>
      <c r="O116" s="534"/>
      <c r="P116" s="507"/>
    </row>
    <row r="117" ht="15" customHeight="1">
      <c r="A117" s="504"/>
      <c r="B117" s="61"/>
      <c r="C117" t="s" s="513">
        <f>IF(LEFT(RIGHT($B$1,2),1)=" ",RIGHT($B$1,1),RIGHT($B$1,2))</f>
        <v>1913</v>
      </c>
      <c r="D117" s="61">
        <f>IF(LEFT(F117,14)="Bonne pratique",D116+1,D116)</f>
      </c>
      <c r="E117" s="565">
        <f>C117&amp;D117&amp;RIGHT(F117,1)</f>
      </c>
      <c r="F117" s="559"/>
      <c r="G117" s="559"/>
      <c r="H117" s="559"/>
      <c r="I117" s="559"/>
      <c r="J117" s="559"/>
      <c r="K117" s="559"/>
      <c r="L117" s="61"/>
      <c r="M117" s="559"/>
      <c r="N117" s="559"/>
      <c r="O117" s="61"/>
      <c r="P117" s="507"/>
    </row>
    <row r="118" ht="15" customHeight="1">
      <c r="A118" s="504"/>
      <c r="B118" s="61"/>
      <c r="C118" t="s" s="513">
        <f>IF(LEFT(RIGHT($B$1,2),1)=" ",RIGHT($B$1,1),RIGHT($B$1,2))</f>
        <v>1913</v>
      </c>
      <c r="D118" s="61">
        <f>IF(LEFT(F118,14)="Bonne pratique",D117+1,D117)</f>
      </c>
      <c r="E118" s="565">
        <f>C118&amp;D118&amp;RIGHT(F118,1)</f>
      </c>
      <c r="F118" s="61"/>
      <c r="G118" s="61"/>
      <c r="H118" s="61"/>
      <c r="I118" s="61"/>
      <c r="J118" s="61"/>
      <c r="K118" s="61"/>
      <c r="L118" s="61"/>
      <c r="M118" s="61"/>
      <c r="N118" s="61"/>
      <c r="O118" s="61"/>
      <c r="P118" s="507"/>
    </row>
    <row r="119" ht="25.8" customHeight="1">
      <c r="A119" s="511"/>
      <c r="B119" s="512"/>
      <c r="C119" t="s" s="513">
        <f>IF(LEFT(RIGHT($B$1,2),1)=" ",RIGHT($B$1,1),RIGHT($B$1,2))</f>
        <v>1913</v>
      </c>
      <c r="D119" s="61">
        <f>IF(LEFT(F119,14)="Bonne pratique",D118+1,D118)</f>
      </c>
      <c r="E119" s="565">
        <f>C119&amp;D119&amp;RIGHT(F119,1)</f>
      </c>
      <c r="F119" t="s" s="516">
        <v>1952</v>
      </c>
      <c r="G119" s="517"/>
      <c r="H119" s="518"/>
      <c r="I119" s="519"/>
      <c r="J119" s="519">
        <f>VLOOKUP(E126,'BDD'!$A$2:$N$567,6,FALSE)</f>
      </c>
      <c r="K119" s="521"/>
      <c r="L119" s="517"/>
      <c r="M119" s="517"/>
      <c r="N119" s="517"/>
      <c r="O119" s="512"/>
      <c r="P119" s="522"/>
    </row>
    <row r="120" ht="15" customHeight="1">
      <c r="A120" s="504"/>
      <c r="B120" s="61"/>
      <c r="C120" t="s" s="513">
        <f>IF(LEFT(RIGHT($B$1,2),1)=" ",RIGHT($B$1,1),RIGHT($B$1,2))</f>
        <v>1913</v>
      </c>
      <c r="D120" s="61">
        <f>IF(LEFT(F120,14)="Bonne pratique",D119+1,D119)</f>
      </c>
      <c r="E120" s="565">
        <f>C120&amp;D120&amp;RIGHT(F120,1)</f>
      </c>
      <c r="F120" s="61"/>
      <c r="G120" s="61"/>
      <c r="H120" s="61"/>
      <c r="I120" s="61"/>
      <c r="J120" s="61"/>
      <c r="K120" s="61"/>
      <c r="L120" s="61"/>
      <c r="M120" s="61"/>
      <c r="N120" s="61"/>
      <c r="O120" s="61"/>
      <c r="P120" s="507"/>
    </row>
    <row r="121" ht="18" customHeight="1">
      <c r="A121" s="523"/>
      <c r="B121" s="524"/>
      <c r="C121" t="s" s="513">
        <f>IF(LEFT(RIGHT($B$1,2),1)=" ",RIGHT($B$1,1),RIGHT($B$1,2))</f>
        <v>1913</v>
      </c>
      <c r="D121" s="61">
        <f>IF(LEFT(F121,14)="Bonne pratique",D120+1,D120)</f>
      </c>
      <c r="E121" s="565">
        <f>C121&amp;D121&amp;RIGHT(F121,1)</f>
      </c>
      <c r="F121" s="524"/>
      <c r="G121" s="524"/>
      <c r="H121" s="524"/>
      <c r="I121" s="525"/>
      <c r="J121" t="s" s="526">
        <v>1953</v>
      </c>
      <c r="K121" s="525"/>
      <c r="L121" s="524"/>
      <c r="M121" s="524"/>
      <c r="N121" s="524"/>
      <c r="O121" s="524"/>
      <c r="P121" s="527"/>
    </row>
    <row r="122" ht="18" customHeight="1">
      <c r="A122" s="504"/>
      <c r="B122" s="61"/>
      <c r="C122" t="s" s="513">
        <f>IF(LEFT(RIGHT($B$1,2),1)=" ",RIGHT($B$1,1),RIGHT($B$1,2))</f>
        <v>1913</v>
      </c>
      <c r="D122" s="61">
        <f>IF(LEFT(F122,14)="Bonne pratique",D121+1,D121)</f>
      </c>
      <c r="E122" s="565">
        <f>C122&amp;D122&amp;RIGHT(F122,1)</f>
      </c>
      <c r="F122" s="61"/>
      <c r="G122" s="61"/>
      <c r="H122" s="61"/>
      <c r="I122" s="61"/>
      <c r="J122" t="s" s="526">
        <v>1954</v>
      </c>
      <c r="K122" s="61"/>
      <c r="L122" s="61"/>
      <c r="M122" s="529"/>
      <c r="N122" s="529"/>
      <c r="O122" s="61"/>
      <c r="P122" s="507"/>
    </row>
    <row r="123" ht="15" customHeight="1">
      <c r="A123" s="504"/>
      <c r="B123" s="61"/>
      <c r="C123" t="s" s="513">
        <f>IF(LEFT(RIGHT($B$1,2),1)=" ",RIGHT($B$1,1),RIGHT($B$1,2))</f>
        <v>1913</v>
      </c>
      <c r="D123" s="61">
        <f>IF(LEFT(F123,14)="Bonne pratique",D122+1,D122)</f>
      </c>
      <c r="E123" s="565">
        <f>C123&amp;D123&amp;RIGHT(F123,1)</f>
      </c>
      <c r="F123" s="61"/>
      <c r="G123" s="529"/>
      <c r="H123" s="529"/>
      <c r="I123" s="529"/>
      <c r="J123" s="530"/>
      <c r="K123" s="529"/>
      <c r="L123" s="542"/>
      <c r="M123" t="s" s="562">
        <v>1763</v>
      </c>
      <c r="N123" s="563"/>
      <c r="O123" s="534"/>
      <c r="P123" s="507"/>
    </row>
    <row r="124" ht="33" customHeight="1">
      <c r="A124" s="504"/>
      <c r="B124" s="61"/>
      <c r="C124" t="s" s="513">
        <f>IF(LEFT(RIGHT($B$1,2),1)=" ",RIGHT($B$1,1),RIGHT($B$1,2))</f>
        <v>1913</v>
      </c>
      <c r="D124" s="61">
        <f>IF(LEFT(F124,14)="Bonne pratique",D123+1,D123)</f>
      </c>
      <c r="E124" s="565">
        <f>C124&amp;D124&amp;RIGHT(F124,1)</f>
      </c>
      <c r="F124" s="564"/>
      <c r="G124" t="s" s="536">
        <v>244</v>
      </c>
      <c r="H124" t="s" s="536">
        <v>1764</v>
      </c>
      <c r="I124" t="s" s="536">
        <v>1787</v>
      </c>
      <c r="J124" t="s" s="536">
        <v>1765</v>
      </c>
      <c r="K124" t="s" s="536">
        <v>1788</v>
      </c>
      <c r="L124" s="538"/>
      <c r="M124" t="s" s="539">
        <v>1766</v>
      </c>
      <c r="N124" t="s" s="540">
        <v>1767</v>
      </c>
      <c r="O124" s="534"/>
      <c r="P124" s="507"/>
    </row>
    <row r="125" ht="15" customHeight="1">
      <c r="A125" s="504"/>
      <c r="B125" s="61"/>
      <c r="C125" t="s" s="513">
        <f>IF(LEFT(RIGHT($B$1,2),1)=" ",RIGHT($B$1,1),RIGHT($B$1,2))</f>
        <v>1913</v>
      </c>
      <c r="D125" s="61">
        <f>IF(LEFT(F125,14)="Bonne pratique",D124+1,D124)</f>
      </c>
      <c r="E125" s="565">
        <f>C125&amp;D125&amp;RIGHT(F125,1)</f>
      </c>
      <c r="F125" s="529"/>
      <c r="G125" s="541"/>
      <c r="H125" s="541"/>
      <c r="I125" s="541"/>
      <c r="J125" s="541"/>
      <c r="K125" s="541"/>
      <c r="L125" s="61"/>
      <c r="M125" s="541"/>
      <c r="N125" s="541"/>
      <c r="O125" s="61"/>
      <c r="P125" s="507"/>
    </row>
    <row r="126" ht="147" customHeight="1">
      <c r="A126" s="504"/>
      <c r="B126" s="542"/>
      <c r="C126" t="s" s="543">
        <f>IF(LEFT(RIGHT($B$1,2),1)=" ",RIGHT($B$1,1),RIGHT($B$1,2))</f>
        <v>1913</v>
      </c>
      <c r="D126" s="550">
        <f>IF(LEFT(F126,14)="Bonne pratique",D125+1,D125)</f>
      </c>
      <c r="E126" s="566">
        <f>C126&amp;D126&amp;RIGHT(F126,1)</f>
      </c>
      <c r="F126" t="s" s="546">
        <v>1769</v>
      </c>
      <c r="G126" s="567">
        <f>_xlfn.IFERROR(IF(VLOOKUP($E126,'BDD'!$A$1:$S$567,MATCH(G$10,'BDD'!$A$1:$P$1,0),FALSE)=0,"",VLOOKUP($E126,'BDD'!$A$1:$S$567,MATCH(G$10,'BDD'!$A$1:$P$1,0),FALSE)),"")</f>
      </c>
      <c r="H126" s="568">
        <f>IF(VLOOKUP(E126,'BDD'!$A$1:$S$567,15,FALSE)=0,"Critère non évalué","")</f>
      </c>
      <c r="I126" s="569">
        <f>_xlfn.IFERROR(IF(VLOOKUP($E126,'BDD'!$A$1:$S$567,MATCH(I$10,'BDD'!$A$1:$P$1,0),FALSE)=0,"",VLOOKUP($E126,'BDD'!$A$1:$S$567,MATCH(I$10,'BDD'!$A$1:$P$1,0),FALSE)),"")</f>
      </c>
      <c r="J126" s="549"/>
      <c r="K126" s="567">
        <f>_xlfn.IFERROR(IF(VLOOKUP($E126,'BDD'!$A$1:$S$567,MATCH(K$10,'BDD'!$A$1:$P$1,0),FALSE)=0,"",VLOOKUP($E126,'BDD'!$A$1:$S$567,MATCH(K$10,'BDD'!$A$1:$P$1,0),FALSE)),"")</f>
      </c>
      <c r="L126" s="550"/>
      <c r="M126" s="551"/>
      <c r="N126" s="551"/>
      <c r="O126" s="534"/>
      <c r="P126" s="507"/>
    </row>
    <row r="127" ht="130.05" customHeight="1">
      <c r="A127" s="504"/>
      <c r="B127" s="542"/>
      <c r="C127" t="s" s="543">
        <f>IF(LEFT(RIGHT($B$1,2),1)=" ",RIGHT($B$1,1),RIGHT($B$1,2))</f>
        <v>1913</v>
      </c>
      <c r="D127" s="550">
        <f>IF(LEFT(F127,14)="Bonne pratique",D126+1,D126)</f>
      </c>
      <c r="E127" s="566">
        <f>C127&amp;D127&amp;RIGHT(F127,1)</f>
      </c>
      <c r="F127" t="s" s="552">
        <v>1772</v>
      </c>
      <c r="G127" s="557">
        <f>_xlfn.IFERROR(IF(VLOOKUP($E127,'BDD'!$A$1:$S$567,MATCH(G$10,'BDD'!$A$1:$P$1,0),FALSE)=0,"",VLOOKUP($E127,'BDD'!$A$1:$S$567,MATCH(G$10,'BDD'!$A$1:$P$1,0),FALSE)),"")</f>
      </c>
      <c r="H127" s="570">
        <f>IF(VLOOKUP(E127,'BDD'!$A$1:$S$567,15,FALSE)=0,"Critère non évalué","")</f>
      </c>
      <c r="I127" s="571">
        <f>_xlfn.IFERROR(IF(VLOOKUP($E127,'BDD'!$A$1:$S$567,MATCH(I$10,'BDD'!$A$1:$P$1,0),FALSE)=0,"",VLOOKUP($E127,'BDD'!$A$1:$S$567,MATCH(I$10,'BDD'!$A$1:$P$1,0),FALSE)),"")</f>
      </c>
      <c r="J127" s="554"/>
      <c r="K127" s="557">
        <f>_xlfn.IFERROR(IF(VLOOKUP($E127,'BDD'!$A$1:$S$567,MATCH(K$10,'BDD'!$A$1:$P$1,0),FALSE)=0,"",VLOOKUP($E127,'BDD'!$A$1:$S$567,MATCH(K$10,'BDD'!$A$1:$P$1,0),FALSE)),"")</f>
      </c>
      <c r="L127" s="550"/>
      <c r="M127" s="555"/>
      <c r="N127" s="555"/>
      <c r="O127" s="534"/>
      <c r="P127" s="507"/>
    </row>
    <row r="128" ht="130.05" customHeight="1">
      <c r="A128" s="504"/>
      <c r="B128" s="542"/>
      <c r="C128" t="s" s="543">
        <f>IF(LEFT(RIGHT($B$1,2),1)=" ",RIGHT($B$1,1),RIGHT($B$1,2))</f>
        <v>1913</v>
      </c>
      <c r="D128" s="550">
        <f>IF(LEFT(F128,14)="Bonne pratique",D127+1,D127)</f>
      </c>
      <c r="E128" s="566">
        <f>C128&amp;D128&amp;RIGHT(F128,1)</f>
      </c>
      <c r="F128" t="s" s="546">
        <v>1774</v>
      </c>
      <c r="G128" s="567">
        <f>_xlfn.IFERROR(IF(VLOOKUP($E128,'BDD'!$A$1:$S$567,MATCH(G$10,'BDD'!$A$1:$P$1,0),FALSE)=0,"",VLOOKUP($E128,'BDD'!$A$1:$S$567,MATCH(G$10,'BDD'!$A$1:$P$1,0),FALSE)),"")</f>
      </c>
      <c r="H128" s="568">
        <f>IF(VLOOKUP(E128,'BDD'!$A$1:$S$567,15,FALSE)=0,"Critère non évalué","")</f>
      </c>
      <c r="I128" s="569">
        <f>_xlfn.IFERROR(IF(VLOOKUP($E128,'BDD'!$A$1:$S$567,MATCH(I$10,'BDD'!$A$1:$P$1,0),FALSE)=0,"",VLOOKUP($E128,'BDD'!$A$1:$S$567,MATCH(I$10,'BDD'!$A$1:$P$1,0),FALSE)),"")</f>
      </c>
      <c r="J128" s="549"/>
      <c r="K128" s="567">
        <f>_xlfn.IFERROR(IF(VLOOKUP($E128,'BDD'!$A$1:$S$567,MATCH(K$10,'BDD'!$A$1:$P$1,0),FALSE)=0,"",VLOOKUP($E128,'BDD'!$A$1:$S$567,MATCH(K$10,'BDD'!$A$1:$P$1,0),FALSE)),"")</f>
      </c>
      <c r="L128" s="550"/>
      <c r="M128" s="551"/>
      <c r="N128" s="551"/>
      <c r="O128" s="534"/>
      <c r="P128" s="507"/>
    </row>
    <row r="129" ht="130.05" customHeight="1">
      <c r="A129" s="504"/>
      <c r="B129" s="542"/>
      <c r="C129" t="s" s="543">
        <f>IF(LEFT(RIGHT($B$1,2),1)=" ",RIGHT($B$1,1),RIGHT($B$1,2))</f>
        <v>1913</v>
      </c>
      <c r="D129" s="550">
        <f>IF(LEFT(F129,14)="Bonne pratique",D128+1,D128)</f>
      </c>
      <c r="E129" s="566">
        <f>C129&amp;D129&amp;RIGHT(F129,1)</f>
      </c>
      <c r="F129" t="s" s="552">
        <v>1776</v>
      </c>
      <c r="G129" s="557">
        <f>_xlfn.IFERROR(IF(VLOOKUP($E129,'BDD'!$A$1:$S$567,MATCH(G$10,'BDD'!$A$1:$P$1,0),FALSE)=0,"",VLOOKUP($E129,'BDD'!$A$1:$S$567,MATCH(G$10,'BDD'!$A$1:$P$1,0),FALSE)),"")</f>
      </c>
      <c r="H129" s="570">
        <f>IF(VLOOKUP(E129,'BDD'!$A$1:$S$567,15,FALSE)=0,"Critère non évalué","")</f>
      </c>
      <c r="I129" s="571">
        <f>_xlfn.IFERROR(IF(VLOOKUP($E129,'BDD'!$A$1:$S$567,MATCH(I$10,'BDD'!$A$1:$P$1,0),FALSE)=0,"",VLOOKUP($E129,'BDD'!$A$1:$S$567,MATCH(I$10,'BDD'!$A$1:$P$1,0),FALSE)),"")</f>
      </c>
      <c r="J129" s="556"/>
      <c r="K129" s="557">
        <f>_xlfn.IFERROR(IF(VLOOKUP($E129,'BDD'!$A$1:$S$567,MATCH(K$10,'BDD'!$A$1:$P$1,0),FALSE)=0,"",VLOOKUP($E129,'BDD'!$A$1:$S$567,MATCH(K$10,'BDD'!$A$1:$P$1,0),FALSE)),"")</f>
      </c>
      <c r="L129" s="550"/>
      <c r="M129" s="555"/>
      <c r="N129" s="555"/>
      <c r="O129" s="534"/>
      <c r="P129" s="507"/>
    </row>
    <row r="130" ht="130.05" customHeight="1">
      <c r="A130" s="504"/>
      <c r="B130" s="542"/>
      <c r="C130" t="s" s="543">
        <f>IF(LEFT(RIGHT($B$1,2),1)=" ",RIGHT($B$1,1),RIGHT($B$1,2))</f>
        <v>1913</v>
      </c>
      <c r="D130" s="550">
        <f>IF(LEFT(F130,14)="Bonne pratique",D129+1,D129)</f>
      </c>
      <c r="E130" s="566">
        <f>C130&amp;D130&amp;RIGHT(F130,1)</f>
      </c>
      <c r="F130" t="s" s="546">
        <v>1778</v>
      </c>
      <c r="G130" s="567">
        <f>_xlfn.IFERROR(IF(VLOOKUP($E130,'BDD'!$A$1:$S$567,MATCH(G$10,'BDD'!$A$1:$P$1,0),FALSE)=0,"",VLOOKUP($E130,'BDD'!$A$1:$S$567,MATCH(G$10,'BDD'!$A$1:$P$1,0),FALSE)),"")</f>
      </c>
      <c r="H130" s="568">
        <f>IF(VLOOKUP(E130,'BDD'!$A$1:$S$567,15,FALSE)=0,"Critère non évalué","")</f>
      </c>
      <c r="I130" s="569">
        <f>_xlfn.IFERROR(IF(VLOOKUP($E130,'BDD'!$A$1:$S$567,MATCH(I$10,'BDD'!$A$1:$P$1,0),FALSE)=0,"",VLOOKUP($E130,'BDD'!$A$1:$S$567,MATCH(I$10,'BDD'!$A$1:$P$1,0),FALSE)),"")</f>
      </c>
      <c r="J130" s="549"/>
      <c r="K130" s="567">
        <f>_xlfn.IFERROR(IF(VLOOKUP($E130,'BDD'!$A$1:$S$567,MATCH(K$10,'BDD'!$A$1:$P$1,0),FALSE)=0,"",VLOOKUP($E130,'BDD'!$A$1:$S$567,MATCH(K$10,'BDD'!$A$1:$P$1,0),FALSE)),"")</f>
      </c>
      <c r="L130" s="550"/>
      <c r="M130" s="557"/>
      <c r="N130" s="557"/>
      <c r="O130" s="534"/>
      <c r="P130" s="507"/>
    </row>
    <row r="131" ht="130.05" customHeight="1">
      <c r="A131" s="504"/>
      <c r="B131" s="542"/>
      <c r="C131" t="s" s="543">
        <f>IF(LEFT(RIGHT($B$1,2),1)=" ",RIGHT($B$1,1),RIGHT($B$1,2))</f>
        <v>1913</v>
      </c>
      <c r="D131" s="550">
        <f>IF(LEFT(F131,14)="Bonne pratique",D130+1,D130)</f>
      </c>
      <c r="E131" s="566">
        <f>C131&amp;D131&amp;RIGHT(F131,1)</f>
      </c>
      <c r="F131" t="s" s="552">
        <v>1780</v>
      </c>
      <c r="G131" s="557">
        <f>_xlfn.IFERROR(IF(VLOOKUP($E131,'BDD'!$A$1:$S$567,MATCH(G$10,'BDD'!$A$1:$P$1,0),FALSE)=0,"",VLOOKUP($E131,'BDD'!$A$1:$S$567,MATCH(G$10,'BDD'!$A$1:$P$1,0),FALSE)),"")</f>
      </c>
      <c r="H131" s="570">
        <f>IF(VLOOKUP(E131,'BDD'!$A$1:$S$567,15,FALSE)=0,"Critère non évalué","")</f>
      </c>
      <c r="I131" s="571">
        <f>_xlfn.IFERROR(IF(VLOOKUP($E131,'BDD'!$A$1:$S$567,MATCH(I$10,'BDD'!$A$1:$P$1,0),FALSE)=0,"",VLOOKUP($E131,'BDD'!$A$1:$S$567,MATCH(I$10,'BDD'!$A$1:$P$1,0),FALSE)),"")</f>
      </c>
      <c r="J131" s="554"/>
      <c r="K131" s="557">
        <f>_xlfn.IFERROR(IF(VLOOKUP($E131,'BDD'!$A$1:$S$567,MATCH(K$10,'BDD'!$A$1:$P$1,0),FALSE)=0,"",VLOOKUP($E131,'BDD'!$A$1:$S$567,MATCH(K$10,'BDD'!$A$1:$P$1,0),FALSE)),"")</f>
      </c>
      <c r="L131" s="550"/>
      <c r="M131" s="555"/>
      <c r="N131" s="555"/>
      <c r="O131" s="534"/>
      <c r="P131" s="507"/>
    </row>
    <row r="132" ht="129.6" customHeight="1">
      <c r="A132" s="504"/>
      <c r="B132" s="542"/>
      <c r="C132" t="s" s="543">
        <f>IF(LEFT(RIGHT($B$1,2),1)=" ",RIGHT($B$1,1),RIGHT($B$1,2))</f>
        <v>1913</v>
      </c>
      <c r="D132" s="550">
        <f>IF(LEFT(F132,14)="Bonne pratique",D131+1,D131)</f>
      </c>
      <c r="E132" s="566">
        <f>C132&amp;D132&amp;RIGHT(F132,1)</f>
      </c>
      <c r="F132" t="s" s="546">
        <v>1782</v>
      </c>
      <c r="G132" s="567">
        <f>_xlfn.IFERROR(IF(VLOOKUP($E132,'BDD'!$A$1:$S$567,MATCH(G$10,'BDD'!$A$1:$P$1,0),FALSE)=0,"",VLOOKUP($E132,'BDD'!$A$1:$S$567,MATCH(G$10,'BDD'!$A$1:$P$1,0),FALSE)),"")</f>
      </c>
      <c r="H132" s="568">
        <f>IF(VLOOKUP(E132,'BDD'!$A$1:$S$567,15,FALSE)=0,"Critère non évalué","")</f>
      </c>
      <c r="I132" s="569">
        <f>_xlfn.IFERROR(IF(VLOOKUP($E132,'BDD'!$A$1:$S$567,MATCH(I$10,'BDD'!$A$1:$P$1,0),FALSE)=0,"",VLOOKUP($E132,'BDD'!$A$1:$S$567,MATCH(I$10,'BDD'!$A$1:$P$1,0),FALSE)),"")</f>
      </c>
      <c r="J132" s="549"/>
      <c r="K132" s="567">
        <f>_xlfn.IFERROR(IF(VLOOKUP($E132,'BDD'!$A$1:$S$567,MATCH(K$10,'BDD'!$A$1:$P$1,0),FALSE)=0,"",VLOOKUP($E132,'BDD'!$A$1:$S$567,MATCH(K$10,'BDD'!$A$1:$P$1,0),FALSE)),"")</f>
      </c>
      <c r="L132" s="550"/>
      <c r="M132" s="557"/>
      <c r="N132" s="557"/>
      <c r="O132" s="534"/>
      <c r="P132" s="507"/>
    </row>
    <row r="133" ht="14.4" customHeight="1">
      <c r="A133" s="504"/>
      <c r="B133" s="61"/>
      <c r="C133" s="61"/>
      <c r="D133" s="61"/>
      <c r="E133" s="61"/>
      <c r="F133" s="559"/>
      <c r="G133" s="559"/>
      <c r="H133" s="559"/>
      <c r="I133" s="559"/>
      <c r="J133" s="559"/>
      <c r="K133" s="559"/>
      <c r="L133" s="61"/>
      <c r="M133" s="559"/>
      <c r="N133" s="559"/>
      <c r="O133" s="61"/>
      <c r="P133" s="507"/>
    </row>
    <row r="134" ht="14.4" customHeight="1">
      <c r="A134" s="504"/>
      <c r="B134" s="61"/>
      <c r="C134" s="61"/>
      <c r="D134" s="61"/>
      <c r="E134" s="61"/>
      <c r="F134" s="61"/>
      <c r="G134" s="61"/>
      <c r="H134" s="61"/>
      <c r="I134" s="61"/>
      <c r="J134" s="61"/>
      <c r="K134" s="61"/>
      <c r="L134" s="61"/>
      <c r="M134" s="61"/>
      <c r="N134" s="61"/>
      <c r="O134" s="61"/>
      <c r="P134" s="507"/>
    </row>
    <row r="135" ht="14.4" customHeight="1">
      <c r="A135" t="s" s="572">
        <v>171</v>
      </c>
      <c r="B135" s="573"/>
      <c r="C135" s="573"/>
      <c r="D135" s="573"/>
      <c r="E135" s="573"/>
      <c r="F135" s="573"/>
      <c r="G135" s="573"/>
      <c r="H135" s="573"/>
      <c r="I135" s="573"/>
      <c r="J135" s="573"/>
      <c r="K135" s="573"/>
      <c r="L135" s="573"/>
      <c r="M135" s="573"/>
      <c r="N135" s="573"/>
      <c r="O135" s="573"/>
      <c r="P135" t="s" s="574">
        <v>171</v>
      </c>
    </row>
  </sheetData>
  <mergeCells count="8">
    <mergeCell ref="M123:N123"/>
    <mergeCell ref="M107:N107"/>
    <mergeCell ref="M9:N9"/>
    <mergeCell ref="M25:N25"/>
    <mergeCell ref="M41:N41"/>
    <mergeCell ref="M57:N57"/>
    <mergeCell ref="M75:N75"/>
    <mergeCell ref="M91:N91"/>
  </mergeCells>
  <pageMargins left="0.7" right="0.7" top="0.75" bottom="0.75" header="0.3" footer="0.3"/>
  <pageSetup firstPageNumber="1" fitToHeight="1" fitToWidth="1" scale="100" useFirstPageNumber="0" orientation="portrait" pageOrder="downThenOver"/>
  <headerFooter>
    <oddFooter>&amp;C&amp;"Helvetica Neue,Regular"&amp;12&amp;K000000&amp;P</oddFooter>
  </headerFooter>
  <drawing r:id="rId1"/>
</worksheet>
</file>

<file path=xl/worksheets/sheet13.xml><?xml version="1.0" encoding="utf-8"?>
<worksheet xmlns:r="http://schemas.openxmlformats.org/officeDocument/2006/relationships" xmlns="http://schemas.openxmlformats.org/spreadsheetml/2006/main">
  <dimension ref="A1:BF100"/>
  <sheetViews>
    <sheetView workbookViewId="0" showGridLines="0" defaultGridColor="1"/>
  </sheetViews>
  <sheetFormatPr defaultColWidth="8.83333" defaultRowHeight="14.4" customHeight="1" outlineLevelRow="0" outlineLevelCol="0"/>
  <cols>
    <col min="1" max="2" width="5.85156" style="866" customWidth="1"/>
    <col min="3" max="5" hidden="1" width="8.83333" style="866" customWidth="1"/>
    <col min="6" max="6" width="25.6719" style="866" customWidth="1"/>
    <col min="7" max="7" width="73.5" style="866" customWidth="1"/>
    <col min="8" max="12" width="5.85156" style="866" customWidth="1"/>
    <col min="13" max="13" width="8.85156" style="866" customWidth="1"/>
    <col min="14" max="14" width="50.8516" style="866" customWidth="1"/>
    <col min="15" max="21" width="4.35156" style="866" customWidth="1"/>
    <col min="22" max="22" width="3" style="866" customWidth="1"/>
    <col min="23" max="23" width="23.8516" style="866" customWidth="1"/>
    <col min="24" max="24" width="59.8516" style="866" customWidth="1"/>
    <col min="25" max="25" width="4" style="866" customWidth="1"/>
    <col min="26" max="27" width="17.1719" style="866" customWidth="1"/>
    <col min="28" max="28" width="5.85156" style="866" customWidth="1"/>
    <col min="29" max="29" width="7.85156" style="866" customWidth="1"/>
    <col min="30" max="30" width="2.5" style="866" customWidth="1"/>
    <col min="31" max="31" width="19" style="866" customWidth="1"/>
    <col min="32" max="34" width="5.85156" style="866" customWidth="1"/>
    <col min="35" max="58" width="8.85156" style="866" customWidth="1"/>
    <col min="59" max="16384" width="8.85156" style="866" customWidth="1"/>
  </cols>
  <sheetData>
    <row r="1" ht="45" customHeight="1">
      <c r="A1" s="576"/>
      <c r="B1" t="s" s="498">
        <v>1912</v>
      </c>
      <c r="C1" s="577"/>
      <c r="D1" s="577"/>
      <c r="E1" s="499"/>
      <c r="F1" s="499"/>
      <c r="G1" s="499"/>
      <c r="H1" s="499"/>
      <c r="I1" s="499"/>
      <c r="J1" s="578"/>
      <c r="K1" s="579"/>
      <c r="L1" s="499"/>
      <c r="M1" s="499"/>
      <c r="N1" s="580"/>
      <c r="O1" s="580"/>
      <c r="P1" s="580"/>
      <c r="Q1" t="s" s="581">
        <f>VLOOKUP($E$27,'BDD'!$A$2:$N$567,3,FALSE)</f>
        <v>226</v>
      </c>
      <c r="R1" s="500"/>
      <c r="S1" s="501"/>
      <c r="T1" s="501"/>
      <c r="U1" s="501"/>
      <c r="V1" s="501"/>
      <c r="W1" s="501"/>
      <c r="X1" s="501"/>
      <c r="Y1" s="501"/>
      <c r="Z1" s="501"/>
      <c r="AA1" s="501"/>
      <c r="AB1" s="501"/>
      <c r="AC1" s="501"/>
      <c r="AD1" s="501"/>
      <c r="AE1" s="501"/>
      <c r="AF1" s="501"/>
      <c r="AG1" s="501"/>
      <c r="AH1" s="501"/>
      <c r="AI1" s="867"/>
      <c r="AJ1" s="868"/>
      <c r="AK1" s="868"/>
      <c r="AL1" s="868"/>
      <c r="AM1" s="868"/>
      <c r="AN1" s="868"/>
      <c r="AO1" s="868"/>
      <c r="AP1" s="868"/>
      <c r="AQ1" s="868"/>
      <c r="AR1" s="868"/>
      <c r="AS1" s="868"/>
      <c r="AT1" s="868"/>
      <c r="AU1" s="868"/>
      <c r="AV1" s="868"/>
      <c r="AW1" s="868"/>
      <c r="AX1" s="868"/>
      <c r="AY1" s="868"/>
      <c r="AZ1" s="868"/>
      <c r="BA1" s="868"/>
      <c r="BB1" s="868"/>
      <c r="BC1" s="868"/>
      <c r="BD1" s="868"/>
      <c r="BE1" s="868"/>
      <c r="BF1" s="869"/>
    </row>
    <row r="2" ht="45" customHeight="1">
      <c r="A2" s="504"/>
      <c r="B2" s="505"/>
      <c r="C2" s="505"/>
      <c r="D2" s="505"/>
      <c r="E2" s="505"/>
      <c r="F2" s="505"/>
      <c r="G2" s="505"/>
      <c r="H2" s="505"/>
      <c r="I2" s="505"/>
      <c r="J2" s="505"/>
      <c r="K2" s="505"/>
      <c r="L2" s="505"/>
      <c r="M2" s="505"/>
      <c r="N2" s="583"/>
      <c r="O2" s="583"/>
      <c r="P2" s="583"/>
      <c r="Q2" t="s" s="506">
        <f>VLOOKUP($E$27,'BDD'!$A$2:$N$567,4,FALSE)</f>
        <v>497</v>
      </c>
      <c r="R2" s="505"/>
      <c r="S2" s="584"/>
      <c r="T2" s="584"/>
      <c r="U2" s="584"/>
      <c r="V2" s="584"/>
      <c r="W2" s="584"/>
      <c r="X2" s="584"/>
      <c r="Y2" s="584"/>
      <c r="Z2" s="584"/>
      <c r="AA2" s="584"/>
      <c r="AB2" s="584"/>
      <c r="AC2" s="584"/>
      <c r="AD2" s="584"/>
      <c r="AE2" s="584"/>
      <c r="AF2" s="584"/>
      <c r="AG2" s="584"/>
      <c r="AH2" s="584"/>
      <c r="AI2" s="586"/>
      <c r="AJ2" s="25"/>
      <c r="AK2" s="25"/>
      <c r="AL2" s="25"/>
      <c r="AM2" s="25"/>
      <c r="AN2" s="25"/>
      <c r="AO2" s="25"/>
      <c r="AP2" s="25"/>
      <c r="AQ2" s="25"/>
      <c r="AR2" s="25"/>
      <c r="AS2" s="25"/>
      <c r="AT2" s="25"/>
      <c r="AU2" s="25"/>
      <c r="AV2" s="25"/>
      <c r="AW2" s="25"/>
      <c r="AX2" s="25"/>
      <c r="AY2" s="25"/>
      <c r="AZ2" s="25"/>
      <c r="BA2" s="25"/>
      <c r="BB2" s="25"/>
      <c r="BC2" s="25"/>
      <c r="BD2" s="25"/>
      <c r="BE2" s="25"/>
      <c r="BF2" s="823"/>
    </row>
    <row r="3" ht="45" customHeight="1">
      <c r="A3" s="504"/>
      <c r="B3" s="586"/>
      <c r="C3" s="586"/>
      <c r="D3" s="586"/>
      <c r="E3" s="586"/>
      <c r="F3" s="586"/>
      <c r="G3" s="587"/>
      <c r="H3" s="587"/>
      <c r="I3" s="587"/>
      <c r="J3" s="587"/>
      <c r="K3" s="587"/>
      <c r="L3" s="591"/>
      <c r="M3" s="591"/>
      <c r="N3" s="586"/>
      <c r="O3" s="586"/>
      <c r="P3" s="586"/>
      <c r="Q3" s="586"/>
      <c r="R3" s="586"/>
      <c r="S3" s="586"/>
      <c r="T3" s="586"/>
      <c r="U3" s="586"/>
      <c r="V3" s="586"/>
      <c r="W3" t="s" s="592">
        <v>1818</v>
      </c>
      <c r="X3" s="586"/>
      <c r="Y3" s="586"/>
      <c r="Z3" s="586"/>
      <c r="AA3" s="586"/>
      <c r="AB3" s="586"/>
      <c r="AC3" s="586"/>
      <c r="AD3" s="586"/>
      <c r="AE3" s="586"/>
      <c r="AF3" s="586"/>
      <c r="AG3" s="586"/>
      <c r="AH3" s="505"/>
      <c r="AI3" s="586"/>
      <c r="AJ3" s="25"/>
      <c r="AK3" s="25"/>
      <c r="AL3" s="25"/>
      <c r="AM3" s="25"/>
      <c r="AN3" s="25"/>
      <c r="AO3" s="25"/>
      <c r="AP3" s="25"/>
      <c r="AQ3" s="25"/>
      <c r="AR3" s="25"/>
      <c r="AS3" s="25"/>
      <c r="AT3" s="25"/>
      <c r="AU3" s="25"/>
      <c r="AV3" s="25"/>
      <c r="AW3" s="25"/>
      <c r="AX3" s="25"/>
      <c r="AY3" s="25"/>
      <c r="AZ3" s="25"/>
      <c r="BA3" s="25"/>
      <c r="BB3" s="25"/>
      <c r="BC3" s="25"/>
      <c r="BD3" s="25"/>
      <c r="BE3" s="25"/>
      <c r="BF3" s="823"/>
    </row>
    <row r="4" ht="18.6" customHeight="1">
      <c r="A4" s="504"/>
      <c r="B4" s="586"/>
      <c r="C4" s="586"/>
      <c r="D4" s="586"/>
      <c r="E4" s="586"/>
      <c r="F4" s="586"/>
      <c r="G4" t="s" s="590">
        <v>1817</v>
      </c>
      <c r="H4" s="591"/>
      <c r="I4" s="587"/>
      <c r="J4" s="591"/>
      <c r="K4" s="591"/>
      <c r="L4" s="600"/>
      <c r="M4" s="600"/>
      <c r="N4" s="601"/>
      <c r="O4" s="601"/>
      <c r="P4" s="601"/>
      <c r="Q4" s="601"/>
      <c r="R4" s="601"/>
      <c r="S4" s="601"/>
      <c r="T4" s="601"/>
      <c r="U4" s="601"/>
      <c r="V4" s="601"/>
      <c r="W4" s="602"/>
      <c r="X4" s="601"/>
      <c r="Y4" s="601"/>
      <c r="Z4" s="601"/>
      <c r="AA4" s="601"/>
      <c r="AB4" s="601"/>
      <c r="AC4" s="586"/>
      <c r="AD4" s="586"/>
      <c r="AE4" s="586"/>
      <c r="AF4" s="596"/>
      <c r="AG4" s="596"/>
      <c r="AH4" s="597"/>
      <c r="AI4" s="586"/>
      <c r="AJ4" s="25"/>
      <c r="AK4" s="25"/>
      <c r="AL4" s="25"/>
      <c r="AM4" s="25"/>
      <c r="AN4" s="25"/>
      <c r="AO4" s="25"/>
      <c r="AP4" s="25"/>
      <c r="AQ4" s="25"/>
      <c r="AR4" s="25"/>
      <c r="AS4" s="25"/>
      <c r="AT4" s="25"/>
      <c r="AU4" s="25"/>
      <c r="AV4" s="25"/>
      <c r="AW4" s="25"/>
      <c r="AX4" s="25"/>
      <c r="AY4" s="25"/>
      <c r="AZ4" s="25"/>
      <c r="BA4" s="25"/>
      <c r="BB4" s="25"/>
      <c r="BC4" s="25"/>
      <c r="BD4" s="25"/>
      <c r="BE4" s="25"/>
      <c r="BF4" s="823"/>
    </row>
    <row r="5" ht="30" customHeight="1">
      <c r="A5" s="504"/>
      <c r="B5" s="586"/>
      <c r="C5" s="586"/>
      <c r="D5" s="586"/>
      <c r="E5" t="s" s="744">
        <f>RIGHT($B$1,1)&amp;"11"</f>
        <v>55</v>
      </c>
      <c r="F5" s="586"/>
      <c r="G5" t="s" s="598">
        <f>IF(VLOOKUP(E5,'BDD'!$A$2:$N$567,13,FALSE)=0,"",VLOOKUP(E5,'BDD'!$A$2:$N$567,13,FALSE))</f>
        <v>502</v>
      </c>
      <c r="H5" s="599"/>
      <c r="I5" s="587"/>
      <c r="J5" s="25"/>
      <c r="K5" s="870"/>
      <c r="L5" s="607"/>
      <c r="M5" s="608"/>
      <c r="N5" s="609"/>
      <c r="O5" s="610"/>
      <c r="P5" s="610"/>
      <c r="Q5" s="610"/>
      <c r="R5" s="610"/>
      <c r="S5" s="610"/>
      <c r="T5" s="610"/>
      <c r="U5" s="610"/>
      <c r="V5" s="611"/>
      <c r="W5" s="610"/>
      <c r="X5" s="610"/>
      <c r="Y5" s="611"/>
      <c r="Z5" s="612"/>
      <c r="AA5" s="612"/>
      <c r="AB5" s="613"/>
      <c r="AC5" s="614"/>
      <c r="AD5" s="615"/>
      <c r="AE5" s="615"/>
      <c r="AF5" s="586"/>
      <c r="AG5" s="586"/>
      <c r="AH5" s="505"/>
      <c r="AI5" s="586"/>
      <c r="AJ5" s="25"/>
      <c r="AK5" s="25"/>
      <c r="AL5" s="25"/>
      <c r="AM5" s="25"/>
      <c r="AN5" s="25"/>
      <c r="AO5" s="25"/>
      <c r="AP5" s="25"/>
      <c r="AQ5" s="25"/>
      <c r="AR5" s="25"/>
      <c r="AS5" s="25"/>
      <c r="AT5" s="25"/>
      <c r="AU5" s="25"/>
      <c r="AV5" s="25"/>
      <c r="AW5" s="25"/>
      <c r="AX5" s="25"/>
      <c r="AY5" s="25"/>
      <c r="AZ5" s="25"/>
      <c r="BA5" s="25"/>
      <c r="BB5" s="25"/>
      <c r="BC5" s="25"/>
      <c r="BD5" s="25"/>
      <c r="BE5" s="25"/>
      <c r="BF5" s="823"/>
    </row>
    <row r="6" ht="41.4" customHeight="1">
      <c r="A6" s="604"/>
      <c r="B6" s="565"/>
      <c r="C6" s="565"/>
      <c r="D6" s="565"/>
      <c r="E6" t="s" s="558">
        <f>RIGHT($B$1,1)&amp;"12"</f>
        <v>504</v>
      </c>
      <c r="F6" s="565"/>
      <c r="G6" t="s" s="598">
        <f>IF(VLOOKUP(E6,'BDD'!$A$2:$N$567,13,FALSE)=0,"",VLOOKUP(E6,'BDD'!$A$2:$N$567,13,FALSE))</f>
        <v>507</v>
      </c>
      <c r="H6" s="605"/>
      <c r="I6" s="587"/>
      <c r="J6" s="25"/>
      <c r="K6" s="606"/>
      <c r="L6" s="618"/>
      <c r="M6" s="619"/>
      <c r="N6" t="s" s="620">
        <v>11</v>
      </c>
      <c r="O6" t="s" s="621">
        <v>12</v>
      </c>
      <c r="P6" t="s" s="621">
        <v>13</v>
      </c>
      <c r="Q6" t="s" s="621">
        <v>14</v>
      </c>
      <c r="R6" t="s" s="621">
        <v>15</v>
      </c>
      <c r="S6" t="s" s="621">
        <v>16</v>
      </c>
      <c r="T6" t="s" s="621">
        <v>17</v>
      </c>
      <c r="U6" t="s" s="621">
        <v>18</v>
      </c>
      <c r="V6" s="70"/>
      <c r="W6" t="s" s="622">
        <v>20</v>
      </c>
      <c r="X6" t="s" s="623">
        <v>21</v>
      </c>
      <c r="Y6" s="624"/>
      <c r="Z6" t="s" s="625">
        <v>22</v>
      </c>
      <c r="AA6" t="s" s="626">
        <v>223</v>
      </c>
      <c r="AB6" s="627"/>
      <c r="AC6" s="628"/>
      <c r="AD6" t="s" s="629">
        <v>1820</v>
      </c>
      <c r="AE6" t="s" s="630">
        <v>1752</v>
      </c>
      <c r="AF6" s="631"/>
      <c r="AG6" s="587"/>
      <c r="AH6" s="616"/>
      <c r="AI6" s="565"/>
      <c r="AJ6" s="25"/>
      <c r="AK6" s="25"/>
      <c r="AL6" s="25"/>
      <c r="AM6" s="25"/>
      <c r="AN6" s="25"/>
      <c r="AO6" s="25"/>
      <c r="AP6" s="25"/>
      <c r="AQ6" s="25"/>
      <c r="AR6" s="25"/>
      <c r="AS6" s="25"/>
      <c r="AT6" s="25"/>
      <c r="AU6" s="25"/>
      <c r="AV6" s="25"/>
      <c r="AW6" s="25"/>
      <c r="AX6" s="25"/>
      <c r="AY6" s="25"/>
      <c r="AZ6" s="25"/>
      <c r="BA6" s="25"/>
      <c r="BB6" s="25"/>
      <c r="BC6" s="25"/>
      <c r="BD6" s="25"/>
      <c r="BE6" s="25"/>
      <c r="BF6" s="823"/>
    </row>
    <row r="7" ht="41.4" customHeight="1">
      <c r="A7" s="604"/>
      <c r="B7" s="565"/>
      <c r="C7" s="565"/>
      <c r="D7" s="565"/>
      <c r="E7" t="s" s="558">
        <f>RIGHT($B$1,1)&amp;"13"</f>
        <v>509</v>
      </c>
      <c r="F7" s="565"/>
      <c r="G7" t="s" s="598">
        <f>IF(VLOOKUP(E7,'BDD'!$A$2:$N$567,13,FALSE)=0,"",VLOOKUP(E7,'BDD'!$A$2:$N$567,13,FALSE))</f>
        <v>513</v>
      </c>
      <c r="H7" s="605"/>
      <c r="I7" s="587"/>
      <c r="J7" s="25"/>
      <c r="K7" s="606"/>
      <c r="L7" s="618"/>
      <c r="M7" t="s" s="632">
        <f>IF(LEFT(RIGHT($B$1,2),1)=" ",RIGHT($B$1,1),RIGHT($B$1,2))&amp;1</f>
        <v>325</v>
      </c>
      <c r="N7" t="s" s="539">
        <f>RIGHT(M7,1)&amp;" : "&amp;VLOOKUP($M7&amp;"1",'BDD'!$A$2:$N$567,6,FALSE)</f>
        <v>1955</v>
      </c>
      <c r="O7" t="s" s="71">
        <f>IF(VLOOKUP($M7&amp;RIGHT(O$6,1),'BDD'!$A$1:$S$428,15,FALSE)=4,"NE",IF(VLOOKUP($M7&amp;RIGHT(O$6,1),'BDD'!$A$1:$S$428,15,FALSE)=0,"NE",VLOOKUP($M7&amp;RIGHT(O$6,1),'BDD'!$A$1:$S$428,15,FALSE)))</f>
        <v>27</v>
      </c>
      <c r="P7" t="s" s="71">
        <f>IF(VLOOKUP($M7&amp;RIGHT(P$6,1),'BDD'!$A$1:$S$428,15,FALSE)=4,"NE",IF(VLOOKUP($M7&amp;RIGHT(P$6,1),'BDD'!$A$1:$S$428,15,FALSE)=0,"NE",VLOOKUP($M7&amp;RIGHT(P$6,1),'BDD'!$A$1:$S$428,15,FALSE)))</f>
        <v>27</v>
      </c>
      <c r="Q7" t="s" s="71">
        <f>IF(VLOOKUP($M7&amp;RIGHT(Q$6,1),'BDD'!$A$1:$S$428,15,FALSE)=4,"NE",IF(VLOOKUP($M7&amp;RIGHT(Q$6,1),'BDD'!$A$1:$S$428,15,FALSE)=0,"NE",VLOOKUP($M7&amp;RIGHT(Q$6,1),'BDD'!$A$1:$S$428,15,FALSE)))</f>
        <v>27</v>
      </c>
      <c r="R7" t="s" s="71">
        <f>IF(VLOOKUP($M7&amp;RIGHT(R$6,1),'BDD'!$A$1:$S$428,15,FALSE)=4,"NE",IF(VLOOKUP($M7&amp;RIGHT(R$6,1),'BDD'!$A$1:$S$428,15,FALSE)=0,"NE",VLOOKUP($M7&amp;RIGHT(R$6,1),'BDD'!$A$1:$S$428,15,FALSE)))</f>
        <v>27</v>
      </c>
      <c r="S7" t="s" s="71">
        <f>IF(VLOOKUP($M7&amp;RIGHT(S$6,1),'BDD'!$A$1:$S$428,15,FALSE)=4,"NE",IF(VLOOKUP($M7&amp;RIGHT(S$6,1),'BDD'!$A$1:$S$428,15,FALSE)=0,"NE",VLOOKUP($M7&amp;RIGHT(S$6,1),'BDD'!$A$1:$S$428,15,FALSE)))</f>
        <v>27</v>
      </c>
      <c r="T7" t="s" s="71">
        <f>IF(VLOOKUP($M7&amp;RIGHT(T$6,1),'BDD'!$A$1:$S$428,15,FALSE)=4,"NE",IF(VLOOKUP($M7&amp;RIGHT(T$6,1),'BDD'!$A$1:$S$428,15,FALSE)=0,"NE",VLOOKUP($M7&amp;RIGHT(T$6,1),'BDD'!$A$1:$S$428,15,FALSE)))</f>
        <v>27</v>
      </c>
      <c r="U7" t="s" s="71">
        <f>IF(VLOOKUP($M7&amp;RIGHT(U$6,1),'BDD'!$A$1:$S$428,15,FALSE)=4,"NE",IF(VLOOKUP($M7&amp;RIGHT(U$6,1),'BDD'!$A$1:$S$428,15,FALSE)=0,"NE",VLOOKUP($M7&amp;RIGHT(U$6,1),'BDD'!$A$1:$S$428,15,FALSE)))</f>
        <v>27</v>
      </c>
      <c r="V7" s="633"/>
      <c r="W7" t="s" s="634">
        <v>28</v>
      </c>
      <c r="X7" s="635"/>
      <c r="Y7" s="636"/>
      <c r="Z7" s="637">
        <f>O25</f>
        <v>0</v>
      </c>
      <c r="AA7" s="77">
        <f>P25</f>
      </c>
      <c r="AB7" s="627"/>
      <c r="AC7" s="628"/>
      <c r="AD7" s="638"/>
      <c r="AE7" t="s" s="639">
        <v>1753</v>
      </c>
      <c r="AF7" s="631"/>
      <c r="AG7" s="587"/>
      <c r="AH7" s="616"/>
      <c r="AI7" s="565"/>
      <c r="AJ7" s="25"/>
      <c r="AK7" s="25"/>
      <c r="AL7" s="25"/>
      <c r="AM7" s="25"/>
      <c r="AN7" s="25"/>
      <c r="AO7" s="25"/>
      <c r="AP7" s="25"/>
      <c r="AQ7" s="25"/>
      <c r="AR7" s="25"/>
      <c r="AS7" s="25"/>
      <c r="AT7" s="25"/>
      <c r="AU7" s="25"/>
      <c r="AV7" s="25"/>
      <c r="AW7" s="25"/>
      <c r="AX7" s="25"/>
      <c r="AY7" s="25"/>
      <c r="AZ7" s="25"/>
      <c r="BA7" s="25"/>
      <c r="BB7" s="25"/>
      <c r="BC7" s="25"/>
      <c r="BD7" s="25"/>
      <c r="BE7" s="25"/>
      <c r="BF7" s="823"/>
    </row>
    <row r="8" ht="27.6" customHeight="1">
      <c r="A8" s="604"/>
      <c r="B8" s="565"/>
      <c r="C8" s="565"/>
      <c r="D8" s="565"/>
      <c r="E8" t="s" s="558">
        <f>RIGHT($B$1,1)&amp;"14"</f>
        <v>515</v>
      </c>
      <c r="F8" s="565"/>
      <c r="G8" t="s" s="598">
        <f>IF(VLOOKUP(E8,'BDD'!$A$2:$N$567,13,FALSE)=0,"",VLOOKUP(E8,'BDD'!$A$2:$N$567,13,FALSE))</f>
        <v>518</v>
      </c>
      <c r="H8" s="605"/>
      <c r="I8" s="587"/>
      <c r="J8" s="25"/>
      <c r="K8" s="606"/>
      <c r="L8" s="618"/>
      <c r="M8" t="s" s="632">
        <f>IF(LEFT(RIGHT($B$1,2),1)=" ",RIGHT($B$1,1),RIGHT($B$1,2))&amp;2</f>
        <v>329</v>
      </c>
      <c r="N8" t="s" s="640">
        <f>RIGHT(M8,1)&amp;" : "&amp;VLOOKUP($M8&amp;"1",'BDD'!$A$2:$N$567,6,FALSE)</f>
        <v>1956</v>
      </c>
      <c r="O8" t="s" s="85">
        <f>IF(VLOOKUP($M8&amp;RIGHT(O$6,1),'BDD'!$A$1:$S$428,15,FALSE)=4,"NE",IF(VLOOKUP($M8&amp;RIGHT(O$6,1),'BDD'!$A$1:$S$428,15,FALSE)=0,"NE",VLOOKUP($M8&amp;RIGHT(O$6,1),'BDD'!$A$1:$S$428,15,FALSE)))</f>
        <v>27</v>
      </c>
      <c r="P8" t="s" s="85">
        <f>IF(VLOOKUP($M8&amp;RIGHT(P$6,1),'BDD'!$A$1:$S$428,15,FALSE)=4,"NE",IF(VLOOKUP($M8&amp;RIGHT(P$6,1),'BDD'!$A$1:$S$428,15,FALSE)=0,"NE",VLOOKUP($M8&amp;RIGHT(P$6,1),'BDD'!$A$1:$S$428,15,FALSE)))</f>
        <v>27</v>
      </c>
      <c r="Q8" t="s" s="85">
        <f>IF(VLOOKUP($M8&amp;RIGHT(Q$6,1),'BDD'!$A$1:$S$428,15,FALSE)=4,"NE",IF(VLOOKUP($M8&amp;RIGHT(Q$6,1),'BDD'!$A$1:$S$428,15,FALSE)=0,"NE",VLOOKUP($M8&amp;RIGHT(Q$6,1),'BDD'!$A$1:$S$428,15,FALSE)))</f>
        <v>27</v>
      </c>
      <c r="R8" t="s" s="85">
        <f>IF(VLOOKUP($M8&amp;RIGHT(R$6,1),'BDD'!$A$1:$S$428,15,FALSE)=4,"NE",IF(VLOOKUP($M8&amp;RIGHT(R$6,1),'BDD'!$A$1:$S$428,15,FALSE)=0,"NE",VLOOKUP($M8&amp;RIGHT(R$6,1),'BDD'!$A$1:$S$428,15,FALSE)))</f>
        <v>27</v>
      </c>
      <c r="S8" t="s" s="85">
        <f>IF(VLOOKUP($M8&amp;RIGHT(S$6,1),'BDD'!$A$1:$S$428,15,FALSE)=4,"NE",IF(VLOOKUP($M8&amp;RIGHT(S$6,1),'BDD'!$A$1:$S$428,15,FALSE)=0,"NE",VLOOKUP($M8&amp;RIGHT(S$6,1),'BDD'!$A$1:$S$428,15,FALSE)))</f>
        <v>27</v>
      </c>
      <c r="T8" t="s" s="85">
        <f>IF(VLOOKUP($M8&amp;RIGHT(T$6,1),'BDD'!$A$1:$S$428,15,FALSE)=4,"NE",IF(VLOOKUP($M8&amp;RIGHT(T$6,1),'BDD'!$A$1:$S$428,15,FALSE)=0,"NE",VLOOKUP($M8&amp;RIGHT(T$6,1),'BDD'!$A$1:$S$428,15,FALSE)))</f>
        <v>27</v>
      </c>
      <c r="U8" t="s" s="85">
        <f>IF(VLOOKUP($M8&amp;RIGHT(U$6,1),'BDD'!$A$1:$S$428,15,FALSE)=4,"NE",IF(VLOOKUP($M8&amp;RIGHT(U$6,1),'BDD'!$A$1:$S$428,15,FALSE)=0,"NE",VLOOKUP($M8&amp;RIGHT(U$6,1),'BDD'!$A$1:$S$428,15,FALSE)))</f>
        <v>27</v>
      </c>
      <c r="V8" s="633"/>
      <c r="W8" t="s" s="641">
        <v>28</v>
      </c>
      <c r="X8" s="642"/>
      <c r="Y8" s="643"/>
      <c r="Z8" s="644">
        <f>O34</f>
        <v>0</v>
      </c>
      <c r="AA8" s="90">
        <f>P34</f>
      </c>
      <c r="AB8" s="627"/>
      <c r="AC8" s="628"/>
      <c r="AD8" s="638"/>
      <c r="AE8" t="s" s="645">
        <v>1754</v>
      </c>
      <c r="AF8" s="631"/>
      <c r="AG8" s="587"/>
      <c r="AH8" s="616"/>
      <c r="AI8" s="565"/>
      <c r="AJ8" s="25"/>
      <c r="AK8" s="25"/>
      <c r="AL8" s="25"/>
      <c r="AM8" s="25"/>
      <c r="AN8" s="25"/>
      <c r="AO8" s="25"/>
      <c r="AP8" s="25"/>
      <c r="AQ8" s="25"/>
      <c r="AR8" s="25"/>
      <c r="AS8" s="25"/>
      <c r="AT8" s="25"/>
      <c r="AU8" s="25"/>
      <c r="AV8" s="25"/>
      <c r="AW8" s="25"/>
      <c r="AX8" s="25"/>
      <c r="AY8" s="25"/>
      <c r="AZ8" s="25"/>
      <c r="BA8" s="25"/>
      <c r="BB8" s="25"/>
      <c r="BC8" s="25"/>
      <c r="BD8" s="25"/>
      <c r="BE8" s="25"/>
      <c r="BF8" s="823"/>
    </row>
    <row r="9" ht="30" customHeight="1">
      <c r="A9" s="604"/>
      <c r="B9" s="565"/>
      <c r="C9" s="565"/>
      <c r="D9" s="565"/>
      <c r="E9" t="s" s="558">
        <f>RIGHT($B$1,1)&amp;"15"</f>
        <v>520</v>
      </c>
      <c r="F9" s="565"/>
      <c r="G9" t="s" s="598">
        <f>IF(VLOOKUP(E9,'BDD'!$A$2:$N$567,13,FALSE)=0,"",VLOOKUP(E9,'BDD'!$A$2:$N$567,13,FALSE))</f>
        <v>523</v>
      </c>
      <c r="H9" s="605"/>
      <c r="I9" s="587"/>
      <c r="J9" s="25"/>
      <c r="K9" s="606"/>
      <c r="L9" s="618"/>
      <c r="M9" t="s" s="632">
        <f>IF(LEFT(RIGHT($B$1,2),1)=" ",RIGHT($B$1,1),RIGHT($B$1,2))&amp;3</f>
        <v>333</v>
      </c>
      <c r="N9" t="s" s="539">
        <f>RIGHT(M9,1)&amp;" : "&amp;VLOOKUP($M9&amp;"1",'BDD'!$A$2:$N$567,6,FALSE)</f>
        <v>1957</v>
      </c>
      <c r="O9" t="s" s="71">
        <f>IF(VLOOKUP($M9&amp;RIGHT(O$6,1),'BDD'!$A$1:$S$428,15,FALSE)=4,"NE",IF(VLOOKUP($M9&amp;RIGHT(O$6,1),'BDD'!$A$1:$S$428,15,FALSE)=0,"NE",VLOOKUP($M9&amp;RIGHT(O$6,1),'BDD'!$A$1:$S$428,15,FALSE)))</f>
        <v>27</v>
      </c>
      <c r="P9" t="s" s="71">
        <f>IF(VLOOKUP($M9&amp;RIGHT(P$6,1),'BDD'!$A$1:$S$428,15,FALSE)=4,"NE",IF(VLOOKUP($M9&amp;RIGHT(P$6,1),'BDD'!$A$1:$S$428,15,FALSE)=0,"NE",VLOOKUP($M9&amp;RIGHT(P$6,1),'BDD'!$A$1:$S$428,15,FALSE)))</f>
        <v>27</v>
      </c>
      <c r="Q9" t="s" s="71">
        <f>IF(VLOOKUP($M9&amp;RIGHT(Q$6,1),'BDD'!$A$1:$S$428,15,FALSE)=4,"NE",IF(VLOOKUP($M9&amp;RIGHT(Q$6,1),'BDD'!$A$1:$S$428,15,FALSE)=0,"NE",VLOOKUP($M9&amp;RIGHT(Q$6,1),'BDD'!$A$1:$S$428,15,FALSE)))</f>
        <v>27</v>
      </c>
      <c r="R9" s="72"/>
      <c r="S9" s="72"/>
      <c r="T9" s="72"/>
      <c r="U9" s="72"/>
      <c r="V9" s="633"/>
      <c r="W9" t="s" s="647">
        <v>28</v>
      </c>
      <c r="X9" s="648"/>
      <c r="Y9" s="636"/>
      <c r="Z9" s="637">
        <f>O43</f>
        <v>0</v>
      </c>
      <c r="AA9" s="77">
        <f>P43</f>
      </c>
      <c r="AB9" s="627"/>
      <c r="AC9" s="628"/>
      <c r="AD9" s="649"/>
      <c r="AE9" t="s" s="650">
        <v>1824</v>
      </c>
      <c r="AF9" s="631"/>
      <c r="AG9" s="587"/>
      <c r="AH9" s="616"/>
      <c r="AI9" s="565"/>
      <c r="AJ9" s="25"/>
      <c r="AK9" s="25"/>
      <c r="AL9" s="25"/>
      <c r="AM9" s="25"/>
      <c r="AN9" s="25"/>
      <c r="AO9" s="25"/>
      <c r="AP9" s="25"/>
      <c r="AQ9" s="25"/>
      <c r="AR9" s="25"/>
      <c r="AS9" s="25"/>
      <c r="AT9" s="25"/>
      <c r="AU9" s="25"/>
      <c r="AV9" s="25"/>
      <c r="AW9" s="25"/>
      <c r="AX9" s="25"/>
      <c r="AY9" s="25"/>
      <c r="AZ9" s="25"/>
      <c r="BA9" s="25"/>
      <c r="BB9" s="25"/>
      <c r="BC9" s="25"/>
      <c r="BD9" s="25"/>
      <c r="BE9" s="25"/>
      <c r="BF9" s="823"/>
    </row>
    <row r="10" ht="30" customHeight="1">
      <c r="A10" s="604"/>
      <c r="B10" s="565"/>
      <c r="C10" s="565"/>
      <c r="D10" s="565"/>
      <c r="E10" t="s" s="558">
        <f>RIGHT($B$1,1)&amp;"16"</f>
        <v>525</v>
      </c>
      <c r="F10" s="565"/>
      <c r="G10" t="s" s="646">
        <f>IF(VLOOKUP(E10,'BDD'!$A$2:$N$567,13,FALSE)=0,"",VLOOKUP(E10,'BDD'!$A$2:$N$567,13,FALSE))</f>
      </c>
      <c r="H10" s="605"/>
      <c r="I10" s="587"/>
      <c r="J10" s="25"/>
      <c r="K10" s="606"/>
      <c r="L10" s="655"/>
      <c r="M10" t="s" s="656">
        <f>IF(LEFT(RIGHT($B$1,2),1)=" ",RIGHT($B$1,1),RIGHT($B$1,2))&amp;4</f>
        <v>336</v>
      </c>
      <c r="N10" t="s" s="640">
        <f>RIGHT(M10,1)&amp;" : "&amp;VLOOKUP($M10&amp;"1",'BDD'!$A$2:$N$567,6,FALSE)</f>
        <v>1958</v>
      </c>
      <c r="O10" t="s" s="85">
        <f>IF(VLOOKUP($M10&amp;RIGHT(O$6,1),'BDD'!$A$1:$S$428,15,FALSE)=4,"NE",IF(VLOOKUP($M10&amp;RIGHT(O$6,1),'BDD'!$A$1:$S$428,15,FALSE)=0,"NE",VLOOKUP($M10&amp;RIGHT(O$6,1),'BDD'!$A$1:$S$428,15,FALSE)))</f>
        <v>27</v>
      </c>
      <c r="P10" t="s" s="85">
        <f>IF(VLOOKUP($M10&amp;RIGHT(P$6,1),'BDD'!$A$1:$S$428,15,FALSE)=4,"NE",IF(VLOOKUP($M10&amp;RIGHT(P$6,1),'BDD'!$A$1:$S$428,15,FALSE)=0,"NE",VLOOKUP($M10&amp;RIGHT(P$6,1),'BDD'!$A$1:$S$428,15,FALSE)))</f>
        <v>27</v>
      </c>
      <c r="Q10" t="s" s="85">
        <f>IF(VLOOKUP($M10&amp;RIGHT(Q$6,1),'BDD'!$A$1:$S$428,15,FALSE)=4,"NE",IF(VLOOKUP($M10&amp;RIGHT(Q$6,1),'BDD'!$A$1:$S$428,15,FALSE)=0,"NE",VLOOKUP($M10&amp;RIGHT(Q$6,1),'BDD'!$A$1:$S$428,15,FALSE)))</f>
        <v>27</v>
      </c>
      <c r="R10" t="s" s="85">
        <f>IF(VLOOKUP($M10&amp;RIGHT(R$6,1),'BDD'!$A$1:$S$428,15,FALSE)=4,"NE",IF(VLOOKUP($M10&amp;RIGHT(R$6,1),'BDD'!$A$1:$S$428,15,FALSE)=0,"NE",VLOOKUP($M10&amp;RIGHT(R$6,1),'BDD'!$A$1:$S$428,15,FALSE)))</f>
        <v>27</v>
      </c>
      <c r="S10" t="s" s="85">
        <f>IF(VLOOKUP($M10&amp;RIGHT(S$6,1),'BDD'!$A$1:$S$428,15,FALSE)=4,"NE",IF(VLOOKUP($M10&amp;RIGHT(S$6,1),'BDD'!$A$1:$S$428,15,FALSE)=0,"NE",VLOOKUP($M10&amp;RIGHT(S$6,1),'BDD'!$A$1:$S$428,15,FALSE)))</f>
        <v>27</v>
      </c>
      <c r="T10" t="s" s="85">
        <f>IF(VLOOKUP($M10&amp;RIGHT(T$6,1),'BDD'!$A$1:$S$428,15,FALSE)=4,"NE",IF(VLOOKUP($M10&amp;RIGHT(T$6,1),'BDD'!$A$1:$S$428,15,FALSE)=0,"NE",VLOOKUP($M10&amp;RIGHT(T$6,1),'BDD'!$A$1:$S$428,15,FALSE)))</f>
        <v>27</v>
      </c>
      <c r="U10" s="86"/>
      <c r="V10" s="633"/>
      <c r="W10" t="s" s="641">
        <v>28</v>
      </c>
      <c r="X10" s="642"/>
      <c r="Y10" s="636"/>
      <c r="Z10" s="644">
        <f>O48</f>
        <v>0</v>
      </c>
      <c r="AA10" s="90">
        <f>P48</f>
      </c>
      <c r="AB10" s="627"/>
      <c r="AC10" s="657"/>
      <c r="AD10" s="658"/>
      <c r="AE10" s="659"/>
      <c r="AF10" s="652"/>
      <c r="AG10" s="652"/>
      <c r="AH10" s="653"/>
      <c r="AI10" s="565"/>
      <c r="AJ10" s="25"/>
      <c r="AK10" s="25"/>
      <c r="AL10" s="25"/>
      <c r="AM10" s="25"/>
      <c r="AN10" s="25"/>
      <c r="AO10" s="25"/>
      <c r="AP10" s="25"/>
      <c r="AQ10" s="25"/>
      <c r="AR10" s="25"/>
      <c r="AS10" s="25"/>
      <c r="AT10" s="25"/>
      <c r="AU10" s="25"/>
      <c r="AV10" s="25"/>
      <c r="AW10" s="25"/>
      <c r="AX10" s="25"/>
      <c r="AY10" s="25"/>
      <c r="AZ10" s="25"/>
      <c r="BA10" s="25"/>
      <c r="BB10" s="25"/>
      <c r="BC10" s="25"/>
      <c r="BD10" s="25"/>
      <c r="BE10" s="25"/>
      <c r="BF10" s="823"/>
    </row>
    <row r="11" ht="30" customHeight="1">
      <c r="A11" s="504"/>
      <c r="B11" s="586"/>
      <c r="C11" s="586"/>
      <c r="D11" s="586"/>
      <c r="E11" t="s" s="744">
        <f>RIGHT($B$1,1)&amp;"17"</f>
        <v>529</v>
      </c>
      <c r="F11" s="586"/>
      <c r="G11" t="s" s="646">
        <f>IF(VLOOKUP(E11,'BDD'!$A$2:$N$567,13,FALSE)=0,"",VLOOKUP(E11,'BDD'!$A$2:$N$567,13,FALSE))</f>
      </c>
      <c r="H11" s="652"/>
      <c r="I11" s="587"/>
      <c r="J11" s="25"/>
      <c r="K11" s="654"/>
      <c r="L11" s="662"/>
      <c r="M11" t="s" s="663">
        <f>IF(LEFT(RIGHT($B$1,2),1)=" ",RIGHT($B$1,1),RIGHT($B$1,2))&amp;5</f>
        <v>338</v>
      </c>
      <c r="N11" t="s" s="539">
        <f>RIGHT(M11,1)&amp;" : "&amp;VLOOKUP($M11&amp;"1",'BDD'!$A$2:$N$567,6,FALSE)</f>
        <v>1959</v>
      </c>
      <c r="O11" t="s" s="71">
        <f>IF(VLOOKUP($M11&amp;RIGHT(O$6,1),'BDD'!$A$1:$S$428,15,FALSE)=4,"NE",IF(VLOOKUP($M11&amp;RIGHT(O$6,1),'BDD'!$A$1:$S$428,15,FALSE)=0,"NE",VLOOKUP($M11&amp;RIGHT(O$6,1),'BDD'!$A$1:$S$428,15,FALSE)))</f>
        <v>27</v>
      </c>
      <c r="P11" t="s" s="71">
        <f>IF(VLOOKUP($M11&amp;RIGHT(P$6,1),'BDD'!$A$1:$S$428,15,FALSE)=4,"NE",IF(VLOOKUP($M11&amp;RIGHT(P$6,1),'BDD'!$A$1:$S$428,15,FALSE)=0,"NE",VLOOKUP($M11&amp;RIGHT(P$6,1),'BDD'!$A$1:$S$428,15,FALSE)))</f>
        <v>27</v>
      </c>
      <c r="Q11" t="s" s="71">
        <f>IF(VLOOKUP($M11&amp;RIGHT(Q$6,1),'BDD'!$A$1:$S$428,15,FALSE)=4,"NE",IF(VLOOKUP($M11&amp;RIGHT(Q$6,1),'BDD'!$A$1:$S$428,15,FALSE)=0,"NE",VLOOKUP($M11&amp;RIGHT(Q$6,1),'BDD'!$A$1:$S$428,15,FALSE)))</f>
        <v>27</v>
      </c>
      <c r="R11" t="s" s="71">
        <f>IF(VLOOKUP($M11&amp;RIGHT(R$6,1),'BDD'!$A$1:$S$428,15,FALSE)=4,"NE",IF(VLOOKUP($M11&amp;RIGHT(R$6,1),'BDD'!$A$1:$S$428,15,FALSE)=0,"NE",VLOOKUP($M11&amp;RIGHT(R$6,1),'BDD'!$A$1:$S$428,15,FALSE)))</f>
        <v>27</v>
      </c>
      <c r="S11" t="s" s="71">
        <f>IF(VLOOKUP($M11&amp;RIGHT(S$6,1),'BDD'!$A$1:$S$428,15,FALSE)=4,"NE",IF(VLOOKUP($M11&amp;RIGHT(S$6,1),'BDD'!$A$1:$S$428,15,FALSE)=0,"NE",VLOOKUP($M11&amp;RIGHT(S$6,1),'BDD'!$A$1:$S$428,15,FALSE)))</f>
        <v>27</v>
      </c>
      <c r="T11" s="72"/>
      <c r="U11" s="72"/>
      <c r="V11" s="633"/>
      <c r="W11" t="s" s="647">
        <v>28</v>
      </c>
      <c r="X11" s="648"/>
      <c r="Y11" s="636"/>
      <c r="Z11" s="637">
        <f>O56</f>
        <v>0</v>
      </c>
      <c r="AA11" s="77">
        <f>P56</f>
      </c>
      <c r="AB11" s="627"/>
      <c r="AC11" s="657"/>
      <c r="AD11" s="666"/>
      <c r="AE11" s="25"/>
      <c r="AF11" s="652"/>
      <c r="AG11" s="652"/>
      <c r="AH11" s="653"/>
      <c r="AI11" s="586"/>
      <c r="AJ11" s="25"/>
      <c r="AK11" s="25"/>
      <c r="AL11" s="25"/>
      <c r="AM11" s="25"/>
      <c r="AN11" s="25"/>
      <c r="AO11" s="25"/>
      <c r="AP11" s="25"/>
      <c r="AQ11" s="25"/>
      <c r="AR11" s="25"/>
      <c r="AS11" s="25"/>
      <c r="AT11" s="25"/>
      <c r="AU11" s="25"/>
      <c r="AV11" s="25"/>
      <c r="AW11" s="25"/>
      <c r="AX11" s="25"/>
      <c r="AY11" s="25"/>
      <c r="AZ11" s="25"/>
      <c r="BA11" s="25"/>
      <c r="BB11" s="25"/>
      <c r="BC11" s="25"/>
      <c r="BD11" s="25"/>
      <c r="BE11" s="25"/>
      <c r="BF11" s="823"/>
    </row>
    <row r="12" ht="30" customHeight="1">
      <c r="A12" s="504"/>
      <c r="B12" s="586"/>
      <c r="C12" s="586"/>
      <c r="D12" s="586"/>
      <c r="E12" s="586"/>
      <c r="F12" s="586"/>
      <c r="G12" t="s" s="660">
        <v>1826</v>
      </c>
      <c r="H12" s="587"/>
      <c r="I12" s="587"/>
      <c r="J12" s="25"/>
      <c r="K12" s="661"/>
      <c r="L12" s="618"/>
      <c r="M12" t="s" s="632">
        <f>IF(LEFT(RIGHT($B$1,2),1)=" ",RIGHT($B$1,1),RIGHT($B$1,2))&amp;6</f>
        <v>340</v>
      </c>
      <c r="N12" t="s" s="640">
        <f>RIGHT(M12,1)&amp;" : "&amp;VLOOKUP($M12&amp;"1",'BDD'!$A$2:$N$567,6,FALSE)</f>
        <v>1960</v>
      </c>
      <c r="O12" t="s" s="85">
        <f>IF(VLOOKUP($M12&amp;RIGHT(O$6,1),'BDD'!$A$1:$S$428,15,FALSE)=4,"NE",IF(VLOOKUP($M12&amp;RIGHT(O$6,1),'BDD'!$A$1:$S$428,15,FALSE)=0,"NE",VLOOKUP($M12&amp;RIGHT(O$6,1),'BDD'!$A$1:$S$428,15,FALSE)))</f>
        <v>27</v>
      </c>
      <c r="P12" t="s" s="85">
        <f>IF(VLOOKUP($M12&amp;RIGHT(P$6,1),'BDD'!$A$1:$S$428,15,FALSE)=4,"NE",IF(VLOOKUP($M12&amp;RIGHT(P$6,1),'BDD'!$A$1:$S$428,15,FALSE)=0,"NE",VLOOKUP($M12&amp;RIGHT(P$6,1),'BDD'!$A$1:$S$428,15,FALSE)))</f>
        <v>27</v>
      </c>
      <c r="Q12" t="s" s="85">
        <f>IF(VLOOKUP($M12&amp;RIGHT(Q$6,1),'BDD'!$A$1:$S$428,15,FALSE)=4,"NE",IF(VLOOKUP($M12&amp;RIGHT(Q$6,1),'BDD'!$A$1:$S$428,15,FALSE)=0,"NE",VLOOKUP($M12&amp;RIGHT(Q$6,1),'BDD'!$A$1:$S$428,15,FALSE)))</f>
        <v>27</v>
      </c>
      <c r="R12" t="s" s="85">
        <f>IF(VLOOKUP($M12&amp;RIGHT(R$6,1),'BDD'!$A$1:$S$428,15,FALSE)=4,"NE",IF(VLOOKUP($M12&amp;RIGHT(R$6,1),'BDD'!$A$1:$S$428,15,FALSE)=0,"NE",VLOOKUP($M12&amp;RIGHT(R$6,1),'BDD'!$A$1:$S$428,15,FALSE)))</f>
        <v>27</v>
      </c>
      <c r="S12" t="s" s="85">
        <f>IF(VLOOKUP($M12&amp;RIGHT(S$6,1),'BDD'!$A$1:$S$428,15,FALSE)=4,"NE",IF(VLOOKUP($M12&amp;RIGHT(S$6,1),'BDD'!$A$1:$S$428,15,FALSE)=0,"NE",VLOOKUP($M12&amp;RIGHT(S$6,1),'BDD'!$A$1:$S$428,15,FALSE)))</f>
        <v>27</v>
      </c>
      <c r="T12" s="86"/>
      <c r="U12" s="86"/>
      <c r="V12" s="633"/>
      <c r="W12" t="s" s="641">
        <v>28</v>
      </c>
      <c r="X12" s="642"/>
      <c r="Y12" s="643"/>
      <c r="Z12" s="644">
        <f>O63</f>
        <v>0</v>
      </c>
      <c r="AA12" s="90">
        <f>P63</f>
      </c>
      <c r="AB12" s="627"/>
      <c r="AC12" s="657"/>
      <c r="AD12" s="586"/>
      <c r="AE12" s="586"/>
      <c r="AF12" s="586"/>
      <c r="AG12" s="586"/>
      <c r="AH12" s="505"/>
      <c r="AI12" s="586"/>
      <c r="AJ12" s="25"/>
      <c r="AK12" s="25"/>
      <c r="AL12" s="25"/>
      <c r="AM12" s="25"/>
      <c r="AN12" s="25"/>
      <c r="AO12" s="25"/>
      <c r="AP12" s="25"/>
      <c r="AQ12" s="25"/>
      <c r="AR12" s="25"/>
      <c r="AS12" s="25"/>
      <c r="AT12" s="25"/>
      <c r="AU12" s="25"/>
      <c r="AV12" s="25"/>
      <c r="AW12" s="25"/>
      <c r="AX12" s="25"/>
      <c r="AY12" s="25"/>
      <c r="AZ12" s="25"/>
      <c r="BA12" s="25"/>
      <c r="BB12" s="25"/>
      <c r="BC12" s="25"/>
      <c r="BD12" s="25"/>
      <c r="BE12" s="25"/>
      <c r="BF12" s="823"/>
    </row>
    <row r="13" ht="41.4" customHeight="1">
      <c r="A13" s="504"/>
      <c r="B13" s="586"/>
      <c r="C13" s="586"/>
      <c r="D13" s="586"/>
      <c r="E13" t="s" s="744">
        <f>RIGHT($B$1,1)&amp;"11"</f>
        <v>55</v>
      </c>
      <c r="F13" s="586"/>
      <c r="G13" t="s" s="667">
        <f>IF(VLOOKUP(E13,'BDD'!$A$2:$N$567,14,FALSE)=0,"",VLOOKUP(E13,'BDD'!$A$2:$N$567,14,FALSE))</f>
        <v>503</v>
      </c>
      <c r="H13" s="591"/>
      <c r="I13" s="587"/>
      <c r="J13" s="25"/>
      <c r="K13" s="654"/>
      <c r="L13" s="618"/>
      <c r="M13" t="s" s="632">
        <f>IF(LEFT(RIGHT($B$1,2),1)=" ",RIGHT($B$1,1),RIGHT($B$1,2))&amp;7</f>
        <v>342</v>
      </c>
      <c r="N13" t="s" s="539">
        <f>RIGHT(M13,1)&amp;" : "&amp;VLOOKUP($M13&amp;"1",'BDD'!$A$2:$N$567,6,FALSE)</f>
        <v>1961</v>
      </c>
      <c r="O13" t="s" s="71">
        <f>IF(VLOOKUP($M13&amp;RIGHT(O$6,1),'BDD'!$A$1:$S$428,15,FALSE)=4,"NE",IF(VLOOKUP($M13&amp;RIGHT(O$6,1),'BDD'!$A$1:$S$428,15,FALSE)=0,"NE",VLOOKUP($M13&amp;RIGHT(O$6,1),'BDD'!$A$1:$S$428,15,FALSE)))</f>
        <v>27</v>
      </c>
      <c r="P13" t="s" s="71">
        <f>IF(VLOOKUP($M13&amp;RIGHT(P$6,1),'BDD'!$A$1:$S$428,15,FALSE)=4,"NE",IF(VLOOKUP($M13&amp;RIGHT(P$6,1),'BDD'!$A$1:$S$428,15,FALSE)=0,"NE",VLOOKUP($M13&amp;RIGHT(P$6,1),'BDD'!$A$1:$S$428,15,FALSE)))</f>
        <v>27</v>
      </c>
      <c r="Q13" t="s" s="71">
        <f>IF(VLOOKUP($M13&amp;RIGHT(Q$6,1),'BDD'!$A$1:$S$428,15,FALSE)=4,"NE",IF(VLOOKUP($M13&amp;RIGHT(Q$6,1),'BDD'!$A$1:$S$428,15,FALSE)=0,"NE",VLOOKUP($M13&amp;RIGHT(Q$6,1),'BDD'!$A$1:$S$428,15,FALSE)))</f>
        <v>27</v>
      </c>
      <c r="R13" t="s" s="71">
        <f>IF(VLOOKUP($M13&amp;RIGHT(R$6,1),'BDD'!$A$1:$S$428,15,FALSE)=4,"NE",IF(VLOOKUP($M13&amp;RIGHT(R$6,1),'BDD'!$A$1:$S$428,15,FALSE)=0,"NE",VLOOKUP($M13&amp;RIGHT(R$6,1),'BDD'!$A$1:$S$428,15,FALSE)))</f>
        <v>27</v>
      </c>
      <c r="S13" t="s" s="71">
        <f>IF(VLOOKUP($M13&amp;RIGHT(S$6,1),'BDD'!$A$1:$S$428,15,FALSE)=4,"NE",IF(VLOOKUP($M13&amp;RIGHT(S$6,1),'BDD'!$A$1:$S$428,15,FALSE)=0,"NE",VLOOKUP($M13&amp;RIGHT(S$6,1),'BDD'!$A$1:$S$428,15,FALSE)))</f>
        <v>27</v>
      </c>
      <c r="T13" s="72"/>
      <c r="U13" s="72"/>
      <c r="V13" s="633"/>
      <c r="W13" t="s" s="647">
        <v>28</v>
      </c>
      <c r="X13" s="648"/>
      <c r="Y13" s="636"/>
      <c r="Z13" s="637">
        <f>O70</f>
        <v>0</v>
      </c>
      <c r="AA13" s="77">
        <f>P70</f>
      </c>
      <c r="AB13" s="627"/>
      <c r="AC13" s="657"/>
      <c r="AD13" s="679"/>
      <c r="AE13" s="679"/>
      <c r="AF13" s="679"/>
      <c r="AG13" s="679"/>
      <c r="AH13" s="680"/>
      <c r="AI13" s="586"/>
      <c r="AJ13" s="25"/>
      <c r="AK13" s="25"/>
      <c r="AL13" s="25"/>
      <c r="AM13" s="25"/>
      <c r="AN13" s="25"/>
      <c r="AO13" s="25"/>
      <c r="AP13" s="25"/>
      <c r="AQ13" s="25"/>
      <c r="AR13" s="25"/>
      <c r="AS13" s="25"/>
      <c r="AT13" s="25"/>
      <c r="AU13" s="25"/>
      <c r="AV13" s="25"/>
      <c r="AW13" s="25"/>
      <c r="AX13" s="25"/>
      <c r="AY13" s="25"/>
      <c r="AZ13" s="25"/>
      <c r="BA13" s="25"/>
      <c r="BB13" s="25"/>
      <c r="BC13" s="25"/>
      <c r="BD13" s="25"/>
      <c r="BE13" s="25"/>
      <c r="BF13" s="823"/>
    </row>
    <row r="14" ht="28.2" customHeight="1">
      <c r="A14" s="504"/>
      <c r="B14" s="586"/>
      <c r="C14" s="586"/>
      <c r="D14" s="586"/>
      <c r="E14" t="s" s="744">
        <f>RIGHT($B$1,1)&amp;"12"</f>
        <v>504</v>
      </c>
      <c r="F14" s="586"/>
      <c r="G14" t="s" s="667">
        <f>IF(VLOOKUP(E14,'BDD'!$A$2:$N$567,14,FALSE)=0,"",VLOOKUP(E14,'BDD'!$A$2:$N$567,14,FALSE))</f>
        <v>508</v>
      </c>
      <c r="H14" s="681"/>
      <c r="I14" s="587"/>
      <c r="J14" s="25"/>
      <c r="K14" s="661"/>
      <c r="L14" s="655"/>
      <c r="M14" t="s" s="656">
        <f>IF(LEFT(RIGHT($B$1,2),1)=" ",RIGHT($B$1,1),RIGHT($B$1,2))&amp;8</f>
        <v>1962</v>
      </c>
      <c r="N14" t="s" s="640">
        <f>RIGHT(M14,1)&amp;" : "&amp;VLOOKUP($M14&amp;"1",'BDD'!$A$2:$N$567,6,FALSE)</f>
        <v>1963</v>
      </c>
      <c r="O14" t="s" s="85">
        <f>IF(VLOOKUP($M14&amp;RIGHT(O$6,1),'BDD'!$A$1:$S$428,15,FALSE)=4,"NE",IF(VLOOKUP($M14&amp;RIGHT(O$6,1),'BDD'!$A$1:$S$428,15,FALSE)=0,"NE",VLOOKUP($M14&amp;RIGHT(O$6,1),'BDD'!$A$1:$S$428,15,FALSE)))</f>
        <v>27</v>
      </c>
      <c r="P14" t="s" s="85">
        <f>IF(VLOOKUP($M14&amp;RIGHT(P$6,1),'BDD'!$A$1:$S$428,15,FALSE)=4,"NE",IF(VLOOKUP($M14&amp;RIGHT(P$6,1),'BDD'!$A$1:$S$428,15,FALSE)=0,"NE",VLOOKUP($M14&amp;RIGHT(P$6,1),'BDD'!$A$1:$S$428,15,FALSE)))</f>
        <v>27</v>
      </c>
      <c r="Q14" t="s" s="85">
        <f>IF(VLOOKUP($M14&amp;RIGHT(Q$6,1),'BDD'!$A$1:$S$428,15,FALSE)=4,"NE",IF(VLOOKUP($M14&amp;RIGHT(Q$6,1),'BDD'!$A$1:$S$428,15,FALSE)=0,"NE",VLOOKUP($M14&amp;RIGHT(Q$6,1),'BDD'!$A$1:$S$428,15,FALSE)))</f>
        <v>27</v>
      </c>
      <c r="R14" t="s" s="85">
        <f>IF(VLOOKUP($M14&amp;RIGHT(R$6,1),'BDD'!$A$1:$S$428,15,FALSE)=4,"NE",IF(VLOOKUP($M14&amp;RIGHT(R$6,1),'BDD'!$A$1:$S$428,15,FALSE)=0,"NE",VLOOKUP($M14&amp;RIGHT(R$6,1),'BDD'!$A$1:$S$428,15,FALSE)))</f>
        <v>27</v>
      </c>
      <c r="S14" t="s" s="85">
        <f>IF(VLOOKUP($M14&amp;RIGHT(S$6,1),'BDD'!$A$1:$S$428,15,FALSE)=4,"NE",IF(VLOOKUP($M14&amp;RIGHT(S$6,1),'BDD'!$A$1:$S$428,15,FALSE)=0,"NE",VLOOKUP($M14&amp;RIGHT(S$6,1),'BDD'!$A$1:$S$428,15,FALSE)))</f>
        <v>27</v>
      </c>
      <c r="T14" t="s" s="85">
        <f>IF(VLOOKUP($M14&amp;RIGHT(T$6,1),'BDD'!$A$1:$S$428,15,FALSE)=4,"NE",IF(VLOOKUP($M14&amp;RIGHT(T$6,1),'BDD'!$A$1:$S$428,15,FALSE)=0,"NE",VLOOKUP($M14&amp;RIGHT(T$6,1),'BDD'!$A$1:$S$428,15,FALSE)))</f>
        <v>27</v>
      </c>
      <c r="U14" t="s" s="85">
        <f>IF(VLOOKUP($M14&amp;RIGHT(U$6,1),'BDD'!$A$1:$S$428,15,FALSE)=4,"NE",IF(VLOOKUP($M14&amp;RIGHT(U$6,1),'BDD'!$A$1:$S$428,15,FALSE)=0,"NE",VLOOKUP($M14&amp;RIGHT(U$6,1),'BDD'!$A$1:$S$428,15,FALSE)))</f>
        <v>27</v>
      </c>
      <c r="V14" s="633"/>
      <c r="W14" t="s" s="847">
        <v>28</v>
      </c>
      <c r="X14" s="848"/>
      <c r="Y14" s="636"/>
      <c r="Z14" s="644">
        <f>O77</f>
        <v>0</v>
      </c>
      <c r="AA14" s="90">
        <f>P77</f>
      </c>
      <c r="AB14" s="627"/>
      <c r="AC14" s="657"/>
      <c r="AD14" s="586"/>
      <c r="AE14" s="586"/>
      <c r="AF14" s="586"/>
      <c r="AG14" s="586"/>
      <c r="AH14" s="505"/>
      <c r="AI14" s="586"/>
      <c r="AJ14" s="25"/>
      <c r="AK14" s="25"/>
      <c r="AL14" s="25"/>
      <c r="AM14" s="25"/>
      <c r="AN14" s="25"/>
      <c r="AO14" s="25"/>
      <c r="AP14" s="25"/>
      <c r="AQ14" s="25"/>
      <c r="AR14" s="25"/>
      <c r="AS14" s="25"/>
      <c r="AT14" s="25"/>
      <c r="AU14" s="25"/>
      <c r="AV14" s="25"/>
      <c r="AW14" s="25"/>
      <c r="AX14" s="25"/>
      <c r="AY14" s="25"/>
      <c r="AZ14" s="25"/>
      <c r="BA14" s="25"/>
      <c r="BB14" s="25"/>
      <c r="BC14" s="25"/>
      <c r="BD14" s="25"/>
      <c r="BE14" s="25"/>
      <c r="BF14" s="823"/>
    </row>
    <row r="15" ht="30" customHeight="1">
      <c r="A15" s="504"/>
      <c r="B15" s="586"/>
      <c r="C15" s="586"/>
      <c r="D15" s="586"/>
      <c r="E15" t="s" s="744">
        <f>RIGHT($B$1,1)&amp;"13"</f>
        <v>509</v>
      </c>
      <c r="F15" s="586"/>
      <c r="G15" t="s" s="667">
        <f>IF(VLOOKUP(E15,'BDD'!$A$2:$N$567,14,FALSE)=0,"",VLOOKUP(E15,'BDD'!$A$2:$N$567,14,FALSE))</f>
        <v>514</v>
      </c>
      <c r="H15" s="694"/>
      <c r="I15" s="587"/>
      <c r="J15" s="25"/>
      <c r="K15" s="654"/>
      <c r="L15" s="669"/>
      <c r="M15" s="670"/>
      <c r="N15" s="671"/>
      <c r="O15" s="672"/>
      <c r="P15" s="672"/>
      <c r="Q15" s="672"/>
      <c r="R15" s="672"/>
      <c r="S15" s="672"/>
      <c r="T15" s="672"/>
      <c r="U15" s="672"/>
      <c r="V15" s="673"/>
      <c r="W15" s="674"/>
      <c r="X15" s="675"/>
      <c r="Y15" s="673"/>
      <c r="Z15" s="676"/>
      <c r="AA15" s="676"/>
      <c r="AB15" s="677"/>
      <c r="AC15" s="678"/>
      <c r="AD15" s="586"/>
      <c r="AE15" s="586"/>
      <c r="AF15" s="586"/>
      <c r="AG15" s="586"/>
      <c r="AH15" s="505"/>
      <c r="AI15" s="586"/>
      <c r="AJ15" s="25"/>
      <c r="AK15" s="25"/>
      <c r="AL15" s="25"/>
      <c r="AM15" s="25"/>
      <c r="AN15" s="25"/>
      <c r="AO15" s="25"/>
      <c r="AP15" s="25"/>
      <c r="AQ15" s="25"/>
      <c r="AR15" s="25"/>
      <c r="AS15" s="25"/>
      <c r="AT15" s="25"/>
      <c r="AU15" s="25"/>
      <c r="AV15" s="25"/>
      <c r="AW15" s="25"/>
      <c r="AX15" s="25"/>
      <c r="AY15" s="25"/>
      <c r="AZ15" s="25"/>
      <c r="BA15" s="25"/>
      <c r="BB15" s="25"/>
      <c r="BC15" s="25"/>
      <c r="BD15" s="25"/>
      <c r="BE15" s="25"/>
      <c r="BF15" s="823"/>
    </row>
    <row r="16" ht="31.8" customHeight="1">
      <c r="A16" s="504"/>
      <c r="B16" s="586"/>
      <c r="C16" s="586"/>
      <c r="D16" s="586"/>
      <c r="E16" t="s" s="744">
        <f>RIGHT($B$1,1)&amp;"14"</f>
        <v>515</v>
      </c>
      <c r="F16" s="586"/>
      <c r="G16" t="s" s="667">
        <f>IF(VLOOKUP(E16,'BDD'!$A$2:$N$567,14,FALSE)=0,"",VLOOKUP(E16,'BDD'!$A$2:$N$567,14,FALSE))</f>
        <v>519</v>
      </c>
      <c r="H16" s="694"/>
      <c r="I16" s="587"/>
      <c r="J16" s="25"/>
      <c r="K16" s="668"/>
      <c r="L16" s="683"/>
      <c r="M16" s="684"/>
      <c r="N16" t="s" s="685">
        <f>"Evaluation globale du vecteur "&amp;RIGHT(B1,2)</f>
        <v>1964</v>
      </c>
      <c r="O16" s="686"/>
      <c r="P16" s="687"/>
      <c r="Q16" s="687"/>
      <c r="R16" s="687"/>
      <c r="S16" s="687"/>
      <c r="T16" s="687"/>
      <c r="U16" s="687"/>
      <c r="V16" s="687"/>
      <c r="W16" s="688"/>
      <c r="X16" s="689"/>
      <c r="Y16" s="690"/>
      <c r="Z16" t="s" s="691">
        <v>1829</v>
      </c>
      <c r="AA16" t="s" s="692">
        <v>1830</v>
      </c>
      <c r="AB16" s="693"/>
      <c r="AC16" s="678"/>
      <c r="AD16" s="25"/>
      <c r="AE16" s="25"/>
      <c r="AF16" s="586"/>
      <c r="AG16" s="586"/>
      <c r="AH16" s="505"/>
      <c r="AI16" s="586"/>
      <c r="AJ16" s="25"/>
      <c r="AK16" s="25"/>
      <c r="AL16" s="25"/>
      <c r="AM16" s="25"/>
      <c r="AN16" s="25"/>
      <c r="AO16" s="25"/>
      <c r="AP16" s="25"/>
      <c r="AQ16" s="25"/>
      <c r="AR16" s="25"/>
      <c r="AS16" s="25"/>
      <c r="AT16" s="25"/>
      <c r="AU16" s="25"/>
      <c r="AV16" s="25"/>
      <c r="AW16" s="25"/>
      <c r="AX16" s="25"/>
      <c r="AY16" s="25"/>
      <c r="AZ16" s="25"/>
      <c r="BA16" s="25"/>
      <c r="BB16" s="25"/>
      <c r="BC16" s="25"/>
      <c r="BD16" s="25"/>
      <c r="BE16" s="25"/>
      <c r="BF16" s="823"/>
    </row>
    <row r="17" ht="28.2" customHeight="1">
      <c r="A17" s="504"/>
      <c r="B17" s="586"/>
      <c r="C17" s="586"/>
      <c r="D17" s="586"/>
      <c r="E17" t="s" s="744">
        <f>RIGHT($B$1,1)&amp;"15"</f>
        <v>520</v>
      </c>
      <c r="F17" s="586"/>
      <c r="G17" t="s" s="667">
        <f>IF(VLOOKUP(E17,'BDD'!$A$2:$N$567,14,FALSE)=0,"",VLOOKUP(E17,'BDD'!$A$2:$N$567,14,FALSE))</f>
        <v>524</v>
      </c>
      <c r="H17" s="694"/>
      <c r="I17" s="587"/>
      <c r="J17" s="25"/>
      <c r="K17" s="682"/>
      <c r="L17" s="662"/>
      <c r="M17" s="696"/>
      <c r="N17" s="697"/>
      <c r="O17" s="698"/>
      <c r="P17" s="699"/>
      <c r="Q17" s="699"/>
      <c r="R17" s="699"/>
      <c r="S17" s="699"/>
      <c r="T17" s="699"/>
      <c r="U17" s="699"/>
      <c r="V17" s="700"/>
      <c r="W17" t="s" s="701">
        <v>28</v>
      </c>
      <c r="X17" s="702"/>
      <c r="Y17" s="703"/>
      <c r="Z17" s="704">
        <f>O22</f>
        <v>0</v>
      </c>
      <c r="AA17" s="705">
        <f>SUM($W$24:$W$80)</f>
      </c>
      <c r="AB17" s="693"/>
      <c r="AC17" s="678"/>
      <c r="AD17" s="586"/>
      <c r="AE17" s="586"/>
      <c r="AF17" s="586"/>
      <c r="AG17" s="586"/>
      <c r="AH17" s="505"/>
      <c r="AI17" s="586"/>
      <c r="AJ17" s="25"/>
      <c r="AK17" s="25"/>
      <c r="AL17" s="25"/>
      <c r="AM17" s="25"/>
      <c r="AN17" s="25"/>
      <c r="AO17" s="25"/>
      <c r="AP17" s="25"/>
      <c r="AQ17" s="25"/>
      <c r="AR17" s="25"/>
      <c r="AS17" s="25"/>
      <c r="AT17" s="25"/>
      <c r="AU17" s="25"/>
      <c r="AV17" s="25"/>
      <c r="AW17" s="25"/>
      <c r="AX17" s="25"/>
      <c r="AY17" s="25"/>
      <c r="AZ17" s="25"/>
      <c r="BA17" s="25"/>
      <c r="BB17" s="25"/>
      <c r="BC17" s="25"/>
      <c r="BD17" s="25"/>
      <c r="BE17" s="25"/>
      <c r="BF17" s="823"/>
    </row>
    <row r="18" ht="55.8" customHeight="1">
      <c r="A18" s="504"/>
      <c r="B18" s="586"/>
      <c r="C18" s="586"/>
      <c r="D18" s="586"/>
      <c r="E18" t="s" s="744">
        <f>RIGHT($B$1,1)&amp;"16"</f>
        <v>525</v>
      </c>
      <c r="F18" s="586"/>
      <c r="G18" t="s" s="667">
        <f>IF(VLOOKUP(E18,'BDD'!$A$2:$N$567,14,FALSE)=0,"",VLOOKUP(E18,'BDD'!$A$2:$N$567,14,FALSE))</f>
        <v>528</v>
      </c>
      <c r="H18" s="694"/>
      <c r="I18" s="694"/>
      <c r="J18" s="25"/>
      <c r="K18" s="695"/>
      <c r="L18" s="706"/>
      <c r="M18" s="707"/>
      <c r="N18" s="708"/>
      <c r="O18" s="709"/>
      <c r="P18" s="709"/>
      <c r="Q18" s="709"/>
      <c r="R18" s="709"/>
      <c r="S18" s="709"/>
      <c r="T18" s="709"/>
      <c r="U18" s="709"/>
      <c r="V18" s="709"/>
      <c r="W18" s="710"/>
      <c r="X18" s="708"/>
      <c r="Y18" s="709"/>
      <c r="Z18" s="711"/>
      <c r="AA18" s="711"/>
      <c r="AB18" s="712"/>
      <c r="AC18" s="678"/>
      <c r="AD18" s="586"/>
      <c r="AE18" s="586"/>
      <c r="AF18" s="586"/>
      <c r="AG18" s="586"/>
      <c r="AH18" s="505"/>
      <c r="AI18" s="586"/>
      <c r="AJ18" s="25"/>
      <c r="AK18" s="25"/>
      <c r="AL18" s="25"/>
      <c r="AM18" s="25"/>
      <c r="AN18" s="25"/>
      <c r="AO18" s="25"/>
      <c r="AP18" s="25"/>
      <c r="AQ18" s="25"/>
      <c r="AR18" s="25"/>
      <c r="AS18" s="25"/>
      <c r="AT18" s="25"/>
      <c r="AU18" s="25"/>
      <c r="AV18" s="25"/>
      <c r="AW18" s="25"/>
      <c r="AX18" s="25"/>
      <c r="AY18" s="25"/>
      <c r="AZ18" s="25"/>
      <c r="BA18" s="25"/>
      <c r="BB18" s="25"/>
      <c r="BC18" s="25"/>
      <c r="BD18" s="25"/>
      <c r="BE18" s="25"/>
      <c r="BF18" s="823"/>
    </row>
    <row r="19" ht="50.4" customHeight="1">
      <c r="A19" s="504"/>
      <c r="B19" s="586"/>
      <c r="C19" s="586"/>
      <c r="D19" s="586"/>
      <c r="E19" t="s" s="744">
        <f>RIGHT($B$1,1)&amp;"17"</f>
        <v>529</v>
      </c>
      <c r="F19" s="586"/>
      <c r="G19" t="s" s="667">
        <f>IF(VLOOKUP(E19,'BDD'!$A$2:$N$567,14,FALSE)=0,"",VLOOKUP(E19,'BDD'!$A$2:$N$567,14,FALSE))</f>
      </c>
      <c r="H19" s="586"/>
      <c r="I19" s="586"/>
      <c r="J19" s="586"/>
      <c r="K19" s="587"/>
      <c r="L19" s="713"/>
      <c r="M19" s="714"/>
      <c r="N19" s="715"/>
      <c r="O19" s="715"/>
      <c r="P19" s="715"/>
      <c r="Q19" s="715"/>
      <c r="R19" s="715"/>
      <c r="S19" s="716"/>
      <c r="T19" s="716"/>
      <c r="U19" s="716"/>
      <c r="V19" s="716"/>
      <c r="W19" s="716"/>
      <c r="X19" s="716"/>
      <c r="Y19" s="716"/>
      <c r="Z19" s="716"/>
      <c r="AA19" s="716"/>
      <c r="AB19" s="716"/>
      <c r="AC19" s="586"/>
      <c r="AD19" s="586"/>
      <c r="AE19" s="586"/>
      <c r="AF19" s="586"/>
      <c r="AG19" s="586"/>
      <c r="AH19" s="505"/>
      <c r="AI19" s="586"/>
      <c r="AJ19" s="25"/>
      <c r="AK19" s="25"/>
      <c r="AL19" s="25"/>
      <c r="AM19" s="25"/>
      <c r="AN19" s="25"/>
      <c r="AO19" s="25"/>
      <c r="AP19" s="25"/>
      <c r="AQ19" s="25"/>
      <c r="AR19" s="25"/>
      <c r="AS19" s="25"/>
      <c r="AT19" s="25"/>
      <c r="AU19" s="25"/>
      <c r="AV19" s="25"/>
      <c r="AW19" s="25"/>
      <c r="AX19" s="25"/>
      <c r="AY19" s="25"/>
      <c r="AZ19" s="25"/>
      <c r="BA19" s="25"/>
      <c r="BB19" s="25"/>
      <c r="BC19" s="25"/>
      <c r="BD19" s="25"/>
      <c r="BE19" s="25"/>
      <c r="BF19" s="823"/>
    </row>
    <row r="20" ht="50.4" customHeight="1">
      <c r="A20" s="504"/>
      <c r="B20" s="586"/>
      <c r="C20" s="586"/>
      <c r="D20" s="586"/>
      <c r="E20" s="586"/>
      <c r="F20" s="586"/>
      <c r="G20" s="717"/>
      <c r="H20" s="586"/>
      <c r="I20" s="586"/>
      <c r="J20" s="586"/>
      <c r="K20" s="694"/>
      <c r="L20" s="694"/>
      <c r="M20" s="719"/>
      <c r="N20" t="s" s="536">
        <v>1831</v>
      </c>
      <c r="O20" s="721">
        <f>COUNTIF(N27:N100,"Non renseigné")</f>
        <v>45</v>
      </c>
      <c r="P20" s="722"/>
      <c r="Q20" s="722"/>
      <c r="R20" s="723"/>
      <c r="S20" s="724"/>
      <c r="T20" s="586"/>
      <c r="U20" s="586"/>
      <c r="V20" s="586"/>
      <c r="W20" s="586"/>
      <c r="X20" s="586"/>
      <c r="Y20" s="586"/>
      <c r="Z20" s="586"/>
      <c r="AA20" s="586"/>
      <c r="AB20" s="586"/>
      <c r="AC20" s="586"/>
      <c r="AD20" s="586"/>
      <c r="AE20" s="586"/>
      <c r="AF20" s="586"/>
      <c r="AG20" s="586"/>
      <c r="AH20" s="505"/>
      <c r="AI20" s="586"/>
      <c r="AJ20" s="25"/>
      <c r="AK20" s="25"/>
      <c r="AL20" s="25"/>
      <c r="AM20" s="25"/>
      <c r="AN20" s="25"/>
      <c r="AO20" s="25"/>
      <c r="AP20" s="25"/>
      <c r="AQ20" s="25"/>
      <c r="AR20" s="25"/>
      <c r="AS20" s="25"/>
      <c r="AT20" s="25"/>
      <c r="AU20" s="25"/>
      <c r="AV20" s="25"/>
      <c r="AW20" s="25"/>
      <c r="AX20" s="25"/>
      <c r="AY20" s="25"/>
      <c r="AZ20" s="25"/>
      <c r="BA20" s="25"/>
      <c r="BB20" s="25"/>
      <c r="BC20" s="25"/>
      <c r="BD20" s="25"/>
      <c r="BE20" s="25"/>
      <c r="BF20" s="823"/>
    </row>
    <row r="21" ht="30" customHeight="1">
      <c r="A21" s="504"/>
      <c r="B21" s="586"/>
      <c r="C21" s="586"/>
      <c r="D21" s="586"/>
      <c r="E21" s="586"/>
      <c r="F21" s="586"/>
      <c r="G21" s="717"/>
      <c r="H21" s="694"/>
      <c r="I21" s="587"/>
      <c r="J21" s="25"/>
      <c r="K21" s="694"/>
      <c r="L21" s="694"/>
      <c r="M21" s="719"/>
      <c r="N21" t="s" s="855">
        <v>1832</v>
      </c>
      <c r="O21" s="856">
        <f>COUNTIF($N$27:$N$91,"Non évalué")</f>
        <v>0</v>
      </c>
      <c r="P21" s="857"/>
      <c r="Q21" s="857"/>
      <c r="R21" s="858"/>
      <c r="S21" s="724"/>
      <c r="T21" s="586"/>
      <c r="U21" s="586"/>
      <c r="V21" s="586"/>
      <c r="W21" s="586"/>
      <c r="X21" s="586"/>
      <c r="Y21" s="586"/>
      <c r="Z21" s="586"/>
      <c r="AA21" s="586"/>
      <c r="AB21" s="586"/>
      <c r="AC21" s="586"/>
      <c r="AD21" s="586"/>
      <c r="AE21" s="586"/>
      <c r="AF21" s="586"/>
      <c r="AG21" s="586"/>
      <c r="AH21" s="505"/>
      <c r="AI21" s="586"/>
      <c r="AJ21" s="25"/>
      <c r="AK21" s="25"/>
      <c r="AL21" s="25"/>
      <c r="AM21" s="25"/>
      <c r="AN21" s="25"/>
      <c r="AO21" s="25"/>
      <c r="AP21" s="25"/>
      <c r="AQ21" s="25"/>
      <c r="AR21" s="25"/>
      <c r="AS21" s="25"/>
      <c r="AT21" s="25"/>
      <c r="AU21" s="25"/>
      <c r="AV21" s="25"/>
      <c r="AW21" s="25"/>
      <c r="AX21" s="25"/>
      <c r="AY21" s="25"/>
      <c r="AZ21" s="25"/>
      <c r="BA21" s="25"/>
      <c r="BB21" s="25"/>
      <c r="BC21" s="25"/>
      <c r="BD21" s="25"/>
      <c r="BE21" s="25"/>
      <c r="BF21" s="823"/>
    </row>
    <row r="22" ht="30" customHeight="1">
      <c r="A22" s="504"/>
      <c r="B22" s="586"/>
      <c r="C22" s="586"/>
      <c r="D22" s="586"/>
      <c r="E22" t="s" s="744">
        <f>RIGHT($B$1,1)&amp;"17"</f>
        <v>529</v>
      </c>
      <c r="F22" s="586"/>
      <c r="G22" t="s" s="667">
        <f>IF(VLOOKUP(E22,'BDD'!$A$2:$N$567,14,FALSE)=0,"",VLOOKUP(E22,'BDD'!$A$2:$N$567,14,FALSE))</f>
      </c>
      <c r="H22" s="871"/>
      <c r="I22" s="871"/>
      <c r="J22" s="872"/>
      <c r="K22" s="871"/>
      <c r="L22" s="731"/>
      <c r="M22" s="719"/>
      <c r="N22" t="s" s="732">
        <v>1833</v>
      </c>
      <c r="O22" s="733">
        <v>0</v>
      </c>
      <c r="P22" s="734"/>
      <c r="Q22" s="734"/>
      <c r="R22" s="734"/>
      <c r="S22" s="586"/>
      <c r="T22" s="586"/>
      <c r="U22" s="586"/>
      <c r="V22" s="586"/>
      <c r="W22" s="586"/>
      <c r="X22" s="586"/>
      <c r="Y22" s="586"/>
      <c r="Z22" s="586"/>
      <c r="AA22" s="586"/>
      <c r="AB22" s="586"/>
      <c r="AC22" s="586"/>
      <c r="AD22" s="586"/>
      <c r="AE22" s="586"/>
      <c r="AF22" s="586"/>
      <c r="AG22" s="586"/>
      <c r="AH22" s="505"/>
      <c r="AI22" s="586"/>
      <c r="AJ22" s="25"/>
      <c r="AK22" s="25"/>
      <c r="AL22" s="25"/>
      <c r="AM22" s="25"/>
      <c r="AN22" s="25"/>
      <c r="AO22" s="25"/>
      <c r="AP22" s="25"/>
      <c r="AQ22" s="25"/>
      <c r="AR22" s="25"/>
      <c r="AS22" s="25"/>
      <c r="AT22" s="25"/>
      <c r="AU22" s="25"/>
      <c r="AV22" s="25"/>
      <c r="AW22" s="25"/>
      <c r="AX22" s="25"/>
      <c r="AY22" s="25"/>
      <c r="AZ22" s="25"/>
      <c r="BA22" s="25"/>
      <c r="BB22" s="25"/>
      <c r="BC22" s="25"/>
      <c r="BD22" s="25"/>
      <c r="BE22" s="25"/>
      <c r="BF22" s="823"/>
    </row>
    <row r="23" ht="30" customHeight="1">
      <c r="A23" s="504"/>
      <c r="B23" s="586"/>
      <c r="C23" s="25"/>
      <c r="D23" s="586"/>
      <c r="E23" s="586"/>
      <c r="F23" s="586"/>
      <c r="G23" s="736"/>
      <c r="H23" t="s" s="737">
        <v>245</v>
      </c>
      <c r="I23" s="738"/>
      <c r="J23" s="739"/>
      <c r="K23" s="739"/>
      <c r="L23" s="740"/>
      <c r="M23" s="741"/>
      <c r="N23" s="742"/>
      <c r="O23" s="730"/>
      <c r="P23" s="730"/>
      <c r="Q23" s="730"/>
      <c r="R23" s="730"/>
      <c r="S23" s="730"/>
      <c r="T23" s="730"/>
      <c r="U23" s="730"/>
      <c r="V23" s="730"/>
      <c r="W23" s="586"/>
      <c r="X23" s="586"/>
      <c r="Y23" s="586"/>
      <c r="Z23" s="586"/>
      <c r="AA23" s="586"/>
      <c r="AB23" s="586"/>
      <c r="AC23" s="586"/>
      <c r="AD23" s="586"/>
      <c r="AE23" s="586"/>
      <c r="AF23" s="586"/>
      <c r="AG23" s="586"/>
      <c r="AH23" s="505"/>
      <c r="AI23" s="586"/>
      <c r="AJ23" s="25"/>
      <c r="AK23" s="25"/>
      <c r="AL23" s="25"/>
      <c r="AM23" s="25"/>
      <c r="AN23" s="25"/>
      <c r="AO23" s="25"/>
      <c r="AP23" s="25"/>
      <c r="AQ23" s="25"/>
      <c r="AR23" s="25"/>
      <c r="AS23" s="25"/>
      <c r="AT23" s="25"/>
      <c r="AU23" s="25"/>
      <c r="AV23" s="25"/>
      <c r="AW23" s="25"/>
      <c r="AX23" s="25"/>
      <c r="AY23" s="25"/>
      <c r="AZ23" s="25"/>
      <c r="BA23" s="25"/>
      <c r="BB23" s="25"/>
      <c r="BC23" s="25"/>
      <c r="BD23" s="25"/>
      <c r="BE23" s="25"/>
      <c r="BF23" s="823"/>
    </row>
    <row r="24" ht="39.6" customHeight="1">
      <c r="A24" s="504"/>
      <c r="B24" s="586"/>
      <c r="C24" t="s" s="744">
        <v>10</v>
      </c>
      <c r="D24" t="s" s="745">
        <v>1745</v>
      </c>
      <c r="E24" t="s" s="745">
        <v>1834</v>
      </c>
      <c r="F24" s="746"/>
      <c r="G24" t="s" s="747">
        <v>244</v>
      </c>
      <c r="H24" t="s" s="747">
        <v>283</v>
      </c>
      <c r="I24" t="s" s="747">
        <v>263</v>
      </c>
      <c r="J24" t="s" s="747">
        <v>271</v>
      </c>
      <c r="K24" t="s" s="747">
        <v>291</v>
      </c>
      <c r="L24" t="s" s="747">
        <v>256</v>
      </c>
      <c r="M24" s="748"/>
      <c r="N24" t="s" s="747">
        <v>1764</v>
      </c>
      <c r="O24" t="s" s="749">
        <v>22</v>
      </c>
      <c r="P24" s="750"/>
      <c r="Q24" s="750"/>
      <c r="R24" s="750"/>
      <c r="S24" t="s" s="751">
        <v>223</v>
      </c>
      <c r="T24" s="750"/>
      <c r="U24" s="750"/>
      <c r="V24" s="752"/>
      <c r="W24" s="724"/>
      <c r="X24" s="586"/>
      <c r="Y24" s="586"/>
      <c r="Z24" s="586"/>
      <c r="AA24" s="586"/>
      <c r="AB24" s="586"/>
      <c r="AC24" s="586"/>
      <c r="AD24" s="586"/>
      <c r="AE24" s="586"/>
      <c r="AF24" s="586"/>
      <c r="AG24" s="586"/>
      <c r="AH24" s="505"/>
      <c r="AI24" s="586"/>
      <c r="AJ24" s="25"/>
      <c r="AK24" s="25"/>
      <c r="AL24" s="25"/>
      <c r="AM24" s="25"/>
      <c r="AN24" s="25"/>
      <c r="AO24" s="25"/>
      <c r="AP24" s="25"/>
      <c r="AQ24" s="25"/>
      <c r="AR24" s="25"/>
      <c r="AS24" s="25"/>
      <c r="AT24" s="25"/>
      <c r="AU24" s="25"/>
      <c r="AV24" s="25"/>
      <c r="AW24" s="25"/>
      <c r="AX24" s="25"/>
      <c r="AY24" s="25"/>
      <c r="AZ24" s="25"/>
      <c r="BA24" s="25"/>
      <c r="BB24" s="25"/>
      <c r="BC24" s="25"/>
      <c r="BD24" s="25"/>
      <c r="BE24" s="25"/>
      <c r="BF24" s="823"/>
    </row>
    <row r="25" ht="30" customHeight="1">
      <c r="A25" s="504"/>
      <c r="B25" s="753"/>
      <c r="C25" t="s" s="754">
        <f>IF(LEFT(RIGHT($B$1,2),1)=" ",RIGHT($B$1,1),RIGHT($B$1,2))</f>
        <v>1913</v>
      </c>
      <c r="D25" s="755">
        <f>IF(LEFT(F25,5)="Bonne",B23+1,D24)</f>
        <v>1</v>
      </c>
      <c r="E25" s="756"/>
      <c r="F25" t="s" s="757">
        <v>1762</v>
      </c>
      <c r="G25" t="s" s="758">
        <f>VLOOKUP(E27,'BDD'!$A$2:$N$567,6,FALSE)</f>
        <v>498</v>
      </c>
      <c r="H25" s="759"/>
      <c r="I25" s="760"/>
      <c r="J25" s="760"/>
      <c r="K25" s="760"/>
      <c r="L25" s="761"/>
      <c r="M25" s="762"/>
      <c r="N25" s="763"/>
      <c r="O25" s="764">
        <v>0</v>
      </c>
      <c r="P25" s="764"/>
      <c r="Q25" s="764"/>
      <c r="R25" s="764"/>
      <c r="S25" s="765">
        <f>_xlfn.SUMIFS(S1:S100,$D1:$D100,D25,$N1:$N100,"Exigences"&amp;"*")</f>
      </c>
      <c r="T25" s="765"/>
      <c r="U25" s="765"/>
      <c r="V25" s="766"/>
      <c r="W25" s="767"/>
      <c r="X25" s="586"/>
      <c r="Y25" s="586"/>
      <c r="Z25" s="586"/>
      <c r="AA25" s="586"/>
      <c r="AB25" s="586"/>
      <c r="AC25" s="586"/>
      <c r="AD25" s="586"/>
      <c r="AE25" s="586"/>
      <c r="AF25" s="586"/>
      <c r="AG25" s="586"/>
      <c r="AH25" s="505"/>
      <c r="AI25" s="586"/>
      <c r="AJ25" s="25"/>
      <c r="AK25" s="25"/>
      <c r="AL25" s="25"/>
      <c r="AM25" s="25"/>
      <c r="AN25" s="25"/>
      <c r="AO25" s="25"/>
      <c r="AP25" s="25"/>
      <c r="AQ25" s="25"/>
      <c r="AR25" s="25"/>
      <c r="AS25" s="25"/>
      <c r="AT25" s="25"/>
      <c r="AU25" s="25"/>
      <c r="AV25" s="25"/>
      <c r="AW25" s="25"/>
      <c r="AX25" s="25"/>
      <c r="AY25" s="25"/>
      <c r="AZ25" s="25"/>
      <c r="BA25" s="25"/>
      <c r="BB25" s="25"/>
      <c r="BC25" s="25"/>
      <c r="BD25" s="25"/>
      <c r="BE25" s="25"/>
      <c r="BF25" s="823"/>
    </row>
    <row r="26" ht="30" customHeight="1">
      <c r="A26" s="504"/>
      <c r="B26" s="753"/>
      <c r="C26" t="s" s="754">
        <f>IF(LEFT(RIGHT($B$1,2),1)=" ",RIGHT($B$1,1),RIGHT($B$1,2))</f>
        <v>1913</v>
      </c>
      <c r="D26" s="755">
        <f>IF(LEFT(F26,5)="Bonne",D24+1,D25)</f>
        <v>1</v>
      </c>
      <c r="E26" s="768"/>
      <c r="F26" t="s" s="769">
        <v>1835</v>
      </c>
      <c r="G26" t="s" s="809">
        <f>VLOOKUP(E28,'BDD'!$A$2:$N$567,7,FALSE)</f>
        <v>1965</v>
      </c>
      <c r="H26" s="810"/>
      <c r="I26" s="810"/>
      <c r="J26" s="810"/>
      <c r="K26" s="810"/>
      <c r="L26" s="810"/>
      <c r="M26" s="810"/>
      <c r="N26" s="811"/>
      <c r="O26" s="775"/>
      <c r="P26" s="775"/>
      <c r="Q26" s="775"/>
      <c r="R26" s="775"/>
      <c r="S26" s="776"/>
      <c r="T26" s="776"/>
      <c r="U26" s="776"/>
      <c r="V26" s="777"/>
      <c r="W26" s="789">
        <f>_xlfn.IFERROR(IF(N26='Suppl'!$E$65,0,IF(N26='Suppl'!$E$66,1/2/(_xlfn.COUNTIFS($N1:$N100,"Exigences"&amp;"*")+_xlfn.COUNTIFS($N1:$N100,"Non"&amp;"*")),IF(N26='Suppl'!$E$67,1/(_xlfn.COUNTIFS($N1:$N100,"Exigences"&amp;"*")+_xlfn.COUNTIFS($N1:$N100,"Non"&amp;"*")),0))),0)</f>
        <v>0</v>
      </c>
      <c r="X26" s="586"/>
      <c r="Y26" s="586"/>
      <c r="Z26" s="586"/>
      <c r="AA26" s="586"/>
      <c r="AB26" s="586"/>
      <c r="AC26" s="586"/>
      <c r="AD26" s="586"/>
      <c r="AE26" s="586"/>
      <c r="AF26" s="586"/>
      <c r="AG26" s="586"/>
      <c r="AH26" s="505"/>
      <c r="AI26" s="586"/>
      <c r="AJ26" s="25"/>
      <c r="AK26" s="25"/>
      <c r="AL26" s="25"/>
      <c r="AM26" s="25"/>
      <c r="AN26" s="25"/>
      <c r="AO26" s="25"/>
      <c r="AP26" s="25"/>
      <c r="AQ26" s="25"/>
      <c r="AR26" s="25"/>
      <c r="AS26" s="25"/>
      <c r="AT26" s="25"/>
      <c r="AU26" s="25"/>
      <c r="AV26" s="25"/>
      <c r="AW26" s="25"/>
      <c r="AX26" s="25"/>
      <c r="AY26" s="25"/>
      <c r="AZ26" s="25"/>
      <c r="BA26" s="25"/>
      <c r="BB26" s="25"/>
      <c r="BC26" s="25"/>
      <c r="BD26" s="25"/>
      <c r="BE26" s="25"/>
      <c r="BF26" s="823"/>
    </row>
    <row r="27" ht="30" customHeight="1">
      <c r="A27" s="504"/>
      <c r="B27" s="753"/>
      <c r="C27" t="s" s="754">
        <f>IF(LEFT(RIGHT($B$1,2),1)=" ",RIGHT($B$1,1),RIGHT($B$1,2))</f>
        <v>1913</v>
      </c>
      <c r="D27" s="755">
        <f>IF(LEFT(F27,5)="Bonne",D25+1,D26)</f>
        <v>1</v>
      </c>
      <c r="E27" t="s" s="778">
        <f>C27&amp;D27&amp;RIGHT(F27,1)</f>
        <v>1916</v>
      </c>
      <c r="F27" t="s" s="779">
        <v>1769</v>
      </c>
      <c r="G27" t="s" s="780">
        <f>VLOOKUP(E27,'BDD'!$A$2:$N$567,MATCH(G$24,'BDD'!$A$1:$P$1,0),FALSE)</f>
        <v>500</v>
      </c>
      <c r="H27" t="s" s="799">
        <f>IF(VLOOKUP($E27,'BDD'!$A$2:$N$567,MATCH($H$23,'BDD'!$A$1:$P$1,0),FALSE)=H$24,H$24,"")</f>
        <v>1966</v>
      </c>
      <c r="I27" t="s" s="792">
        <f>IF(VLOOKUP($E27,'BDD'!$A$2:$N$567,MATCH($H$23,'BDD'!$A$1:$P$1,0),FALSE)=I$24,I$24,"")</f>
      </c>
      <c r="J27" t="s" s="792">
        <f>IF(VLOOKUP($E27,'BDD'!$A$2:$N$567,MATCH($H$23,'BDD'!$A$1:$P$1,0),FALSE)=J$24,J$24,"")</f>
      </c>
      <c r="K27" t="s" s="792">
        <f>IF(VLOOKUP($E27,'BDD'!$A$2:$N$567,MATCH($H$23,'BDD'!$A$1:$P$1,0),FALSE)=K$24,K$24,"")</f>
      </c>
      <c r="L27" t="s" s="783">
        <f>IF(VLOOKUP($E27,'BDD'!$A$2:$N$567,MATCH($H$23,'BDD'!$A$1:$P$1,0),FALSE)=L$24,L$24,"")</f>
      </c>
      <c r="M27" s="784">
        <f>IF(N27="Exigences partiellement respectées",1,IF(N27="Exigences respectées",2,0))</f>
        <v>0</v>
      </c>
      <c r="N27" t="s" s="780">
        <f>VLOOKUP(VLOOKUP(E27,'BDD'!$A$2:$P$428,15,FALSE),'Suppl'!$D$64:$E$68,2,FALSE)</f>
        <v>1751</v>
      </c>
      <c r="O27" s="785"/>
      <c r="P27" s="786"/>
      <c r="Q27" s="786"/>
      <c r="R27" s="786"/>
      <c r="S27" s="787">
        <f>IF(N27='Suppl'!$E$65,0,IF(N27='Suppl'!$E$66,1/2/(_xlfn.COUNTIFS($D1:$D100,D27,$N1:$N100,"Exigences"&amp;"*")+_xlfn.COUNTIFS($D1:$D100,D27,$N1:$N100,"Non"&amp;"*")),IF(N27='Suppl'!$E$67,1/(_xlfn.COUNTIFS($D1:$D100,D27,$N1:$N100,"Exigences"&amp;"*")+_xlfn.COUNTIFS($D1:$D100,D27,$N1:$N100,"Non"&amp;"*")),0)))</f>
        <v>0</v>
      </c>
      <c r="T27" s="787"/>
      <c r="U27" s="787"/>
      <c r="V27" s="788"/>
      <c r="W27" s="789">
        <f>_xlfn.IFERROR(IF(N27='Suppl'!$E$65,0,IF(N27='Suppl'!$E$66,1/2/(_xlfn.COUNTIFS($N1:$N100,"Exigences"&amp;"*")+_xlfn.COUNTIFS($N1:$N100,"Non"&amp;"*")),IF(N27='Suppl'!$E$67,1/(_xlfn.COUNTIFS($N1:$N100,"Exigences"&amp;"*")+_xlfn.COUNTIFS($N1:$N100,"Non"&amp;"*")),0))),0)</f>
        <v>0</v>
      </c>
      <c r="X27" s="586"/>
      <c r="Y27" s="586"/>
      <c r="Z27" s="586"/>
      <c r="AA27" s="586"/>
      <c r="AB27" s="586"/>
      <c r="AC27" s="586"/>
      <c r="AD27" s="586"/>
      <c r="AE27" s="586"/>
      <c r="AF27" s="586"/>
      <c r="AG27" s="586"/>
      <c r="AH27" s="505"/>
      <c r="AI27" s="586"/>
      <c r="AJ27" s="25"/>
      <c r="AK27" s="25"/>
      <c r="AL27" s="25"/>
      <c r="AM27" s="25"/>
      <c r="AN27" s="25"/>
      <c r="AO27" s="25"/>
      <c r="AP27" s="25"/>
      <c r="AQ27" s="25"/>
      <c r="AR27" s="25"/>
      <c r="AS27" s="25"/>
      <c r="AT27" s="25"/>
      <c r="AU27" s="25"/>
      <c r="AV27" s="25"/>
      <c r="AW27" s="25"/>
      <c r="AX27" s="25"/>
      <c r="AY27" s="25"/>
      <c r="AZ27" s="25"/>
      <c r="BA27" s="25"/>
      <c r="BB27" s="25"/>
      <c r="BC27" s="25"/>
      <c r="BD27" s="25"/>
      <c r="BE27" s="25"/>
      <c r="BF27" s="823"/>
    </row>
    <row r="28" ht="69" customHeight="1">
      <c r="A28" s="504"/>
      <c r="B28" s="753"/>
      <c r="C28" t="s" s="754">
        <f>IF(LEFT(RIGHT($B$1,2),1)=" ",RIGHT($B$1,1),RIGHT($B$1,2))</f>
        <v>1913</v>
      </c>
      <c r="D28" s="755">
        <f>IF(LEFT(F28,5)="Bonne",D26+1,D27)</f>
        <v>1</v>
      </c>
      <c r="E28" t="s" s="778">
        <f>C28&amp;D28&amp;RIGHT(F28,1)</f>
        <v>1917</v>
      </c>
      <c r="F28" t="s" s="790">
        <v>1837</v>
      </c>
      <c r="G28" t="s" s="791">
        <f>VLOOKUP(E28,'BDD'!$A$2:$N$567,MATCH(G$24,'BDD'!$A$1:$P$1,0),FALSE)</f>
        <v>505</v>
      </c>
      <c r="H28" t="s" s="799">
        <f>IF(VLOOKUP($E28,'BDD'!$A$2:$N$567,MATCH($H$23,'BDD'!$A$1:$P$1,0),FALSE)=H$24,H$24,"")</f>
      </c>
      <c r="I28" t="s" s="792">
        <f>IF(VLOOKUP($E28,'BDD'!$A$2:$N$567,MATCH($H$23,'BDD'!$A$1:$P$1,0),FALSE)=I$24,I$24,"")</f>
      </c>
      <c r="J28" t="s" s="792">
        <f>IF(VLOOKUP($E28,'BDD'!$A$2:$N$567,MATCH($H$23,'BDD'!$A$1:$P$1,0),FALSE)=J$24,J$24,"")</f>
        <v>1967</v>
      </c>
      <c r="K28" t="s" s="792">
        <f>IF(VLOOKUP($E28,'BDD'!$A$2:$N$567,MATCH($H$23,'BDD'!$A$1:$P$1,0),FALSE)=K$24,K$24,"")</f>
      </c>
      <c r="L28" t="s" s="783">
        <f>IF(VLOOKUP($E28,'BDD'!$A$2:$N$567,MATCH($H$23,'BDD'!$A$1:$P$1,0),FALSE)=L$24,L$24,"")</f>
      </c>
      <c r="M28" s="794">
        <f>IF(N28="Exigences partiellement respectées",1,IF(N28="Exigences respectées",2,0))</f>
        <v>0</v>
      </c>
      <c r="N28" t="s" s="791">
        <f>VLOOKUP(VLOOKUP(E28,'BDD'!$A$2:$P$428,15,FALSE),'Suppl'!$D$64:$E$68,2,FALSE)</f>
        <v>1751</v>
      </c>
      <c r="O28" s="795"/>
      <c r="P28" s="796"/>
      <c r="Q28" s="796"/>
      <c r="R28" s="796"/>
      <c r="S28" s="797">
        <f>IF(N28='Suppl'!$E$65,0,IF(N28='Suppl'!$E$66,1/2/(_xlfn.COUNTIFS($D1:$D100,D28,$N1:$N100,"Exigences"&amp;"*")+_xlfn.COUNTIFS($D1:$D100,D28,$N1:$N100,"Non"&amp;"*")),IF(N28='Suppl'!$E$67,1/(_xlfn.COUNTIFS($D1:$D100,D28,$N1:$N100,"Exigences"&amp;"*")+_xlfn.COUNTIFS($D1:$D100,D28,$N1:$N100,"Non"&amp;"*")),0)))</f>
        <v>0</v>
      </c>
      <c r="T28" s="797"/>
      <c r="U28" s="797"/>
      <c r="V28" s="798"/>
      <c r="W28" s="789">
        <f>_xlfn.IFERROR(IF(N28='Suppl'!$E$65,0,IF(N28='Suppl'!$E$66,1/2/(_xlfn.COUNTIFS($N1:$N100,"Exigences"&amp;"*")+_xlfn.COUNTIFS($N1:$N100,"Non"&amp;"*")),IF(N28='Suppl'!$E$67,1/(_xlfn.COUNTIFS($N1:$N100,"Exigences"&amp;"*")+_xlfn.COUNTIFS($N1:$N100,"Non"&amp;"*")),0))),0)</f>
        <v>0</v>
      </c>
      <c r="X28" s="586"/>
      <c r="Y28" s="586"/>
      <c r="Z28" s="586"/>
      <c r="AA28" s="586"/>
      <c r="AB28" s="586"/>
      <c r="AC28" s="586"/>
      <c r="AD28" s="586"/>
      <c r="AE28" s="586"/>
      <c r="AF28" s="586"/>
      <c r="AG28" s="586"/>
      <c r="AH28" s="505"/>
      <c r="AI28" s="586"/>
      <c r="AJ28" s="25"/>
      <c r="AK28" s="25"/>
      <c r="AL28" s="25"/>
      <c r="AM28" s="25"/>
      <c r="AN28" s="25"/>
      <c r="AO28" s="25"/>
      <c r="AP28" s="25"/>
      <c r="AQ28" s="25"/>
      <c r="AR28" s="25"/>
      <c r="AS28" s="25"/>
      <c r="AT28" s="25"/>
      <c r="AU28" s="25"/>
      <c r="AV28" s="25"/>
      <c r="AW28" s="25"/>
      <c r="AX28" s="25"/>
      <c r="AY28" s="25"/>
      <c r="AZ28" s="25"/>
      <c r="BA28" s="25"/>
      <c r="BB28" s="25"/>
      <c r="BC28" s="25"/>
      <c r="BD28" s="25"/>
      <c r="BE28" s="25"/>
      <c r="BF28" s="823"/>
    </row>
    <row r="29" ht="55.2" customHeight="1">
      <c r="A29" s="504"/>
      <c r="B29" s="753"/>
      <c r="C29" t="s" s="754">
        <f>IF(LEFT(RIGHT($B$1,2),1)=" ",RIGHT($B$1,1),RIGHT($B$1,2))</f>
        <v>1913</v>
      </c>
      <c r="D29" s="755">
        <f>IF(LEFT(F29,5)="Bonne",D27+1,D28)</f>
        <v>1</v>
      </c>
      <c r="E29" t="s" s="778">
        <f>C29&amp;D29&amp;RIGHT(F29,1)</f>
        <v>1918</v>
      </c>
      <c r="F29" t="s" s="779">
        <v>1774</v>
      </c>
      <c r="G29" t="s" s="780">
        <f>VLOOKUP(E29,'BDD'!$A$2:$N$567,MATCH(G$24,'BDD'!$A$1:$P$1,0),FALSE)</f>
        <v>511</v>
      </c>
      <c r="H29" t="s" s="799">
        <f>IF(VLOOKUP($E29,'BDD'!$A$2:$N$567,MATCH($H$23,'BDD'!$A$1:$P$1,0),FALSE)=H$24,H$24,"")</f>
      </c>
      <c r="I29" t="s" s="792">
        <f>IF(VLOOKUP($E29,'BDD'!$A$2:$N$567,MATCH($H$23,'BDD'!$A$1:$P$1,0),FALSE)=I$24,I$24,"")</f>
      </c>
      <c r="J29" t="s" s="792">
        <f>IF(VLOOKUP($E29,'BDD'!$A$2:$N$567,MATCH($H$23,'BDD'!$A$1:$P$1,0),FALSE)=J$24,J$24,"")</f>
      </c>
      <c r="K29" t="s" s="792">
        <f>IF(VLOOKUP($E29,'BDD'!$A$2:$N$567,MATCH($H$23,'BDD'!$A$1:$P$1,0),FALSE)=K$24,K$24,"")</f>
        <v>1968</v>
      </c>
      <c r="L29" t="s" s="783">
        <f>IF(VLOOKUP($E29,'BDD'!$A$2:$N$567,MATCH($H$23,'BDD'!$A$1:$P$1,0),FALSE)=L$24,L$24,"")</f>
      </c>
      <c r="M29" s="794">
        <f>IF(N29="Exigences partiellement respectées",1,IF(N29="Exigences respectées",2,0))</f>
        <v>0</v>
      </c>
      <c r="N29" t="s" s="780">
        <f>VLOOKUP(VLOOKUP(E29,'BDD'!$A$2:$P$428,15,FALSE),'Suppl'!$D$64:$E$68,2,FALSE)</f>
        <v>1751</v>
      </c>
      <c r="O29" s="795"/>
      <c r="P29" s="796"/>
      <c r="Q29" s="796"/>
      <c r="R29" s="796"/>
      <c r="S29" s="797">
        <f>IF(N29='Suppl'!$E$65,0,IF(N29='Suppl'!$E$66,1/2/(_xlfn.COUNTIFS($D1:$D100,D29,$N1:$N100,"Exigences"&amp;"*")+_xlfn.COUNTIFS($D1:$D100,D29,$N1:$N100,"Non"&amp;"*")),IF(N29='Suppl'!$E$67,1/(_xlfn.COUNTIFS($D1:$D100,D29,$N1:$N100,"Exigences"&amp;"*")+_xlfn.COUNTIFS($D1:$D100,D29,$N1:$N100,"Non"&amp;"*")),0)))</f>
        <v>0</v>
      </c>
      <c r="T29" s="797"/>
      <c r="U29" s="797"/>
      <c r="V29" s="798"/>
      <c r="W29" s="789">
        <f>_xlfn.IFERROR(IF(N29='Suppl'!$E$65,0,IF(N29='Suppl'!$E$66,1/2/(_xlfn.COUNTIFS($N1:$N100,"Exigences"&amp;"*")+_xlfn.COUNTIFS($N1:$N100,"Non"&amp;"*")),IF(N29='Suppl'!$E$67,1/(_xlfn.COUNTIFS($N1:$N100,"Exigences"&amp;"*")+_xlfn.COUNTIFS($N1:$N100,"Non"&amp;"*")),0))),0)</f>
        <v>0</v>
      </c>
      <c r="X29" s="586"/>
      <c r="Y29" s="586"/>
      <c r="Z29" s="586"/>
      <c r="AA29" s="586"/>
      <c r="AB29" s="586"/>
      <c r="AC29" s="586"/>
      <c r="AD29" s="586"/>
      <c r="AE29" s="586"/>
      <c r="AF29" s="586"/>
      <c r="AG29" s="586"/>
      <c r="AH29" s="505"/>
      <c r="AI29" s="586"/>
      <c r="AJ29" s="25"/>
      <c r="AK29" s="25"/>
      <c r="AL29" s="25"/>
      <c r="AM29" s="25"/>
      <c r="AN29" s="25"/>
      <c r="AO29" s="25"/>
      <c r="AP29" s="25"/>
      <c r="AQ29" s="25"/>
      <c r="AR29" s="25"/>
      <c r="AS29" s="25"/>
      <c r="AT29" s="25"/>
      <c r="AU29" s="25"/>
      <c r="AV29" s="25"/>
      <c r="AW29" s="25"/>
      <c r="AX29" s="25"/>
      <c r="AY29" s="25"/>
      <c r="AZ29" s="25"/>
      <c r="BA29" s="25"/>
      <c r="BB29" s="25"/>
      <c r="BC29" s="25"/>
      <c r="BD29" s="25"/>
      <c r="BE29" s="25"/>
      <c r="BF29" s="823"/>
    </row>
    <row r="30" ht="69" customHeight="1">
      <c r="A30" s="504"/>
      <c r="B30" s="753"/>
      <c r="C30" t="s" s="754">
        <f>IF(LEFT(RIGHT($B$1,2),1)=" ",RIGHT($B$1,1),RIGHT($B$1,2))</f>
        <v>1913</v>
      </c>
      <c r="D30" s="755">
        <f>IF(LEFT(F30,5)="Bonne",D28+1,D29)</f>
        <v>1</v>
      </c>
      <c r="E30" t="s" s="778">
        <f>C30&amp;D30&amp;RIGHT(F30,1)</f>
        <v>1919</v>
      </c>
      <c r="F30" t="s" s="790">
        <v>1776</v>
      </c>
      <c r="G30" t="s" s="791">
        <f>VLOOKUP(E30,'BDD'!$A$2:$N$567,MATCH(G$24,'BDD'!$A$1:$P$1,0),FALSE)</f>
        <v>516</v>
      </c>
      <c r="H30" t="s" s="799">
        <f>IF(VLOOKUP($E30,'BDD'!$A$2:$N$567,MATCH($H$23,'BDD'!$A$1:$P$1,0),FALSE)=H$24,H$24,"")</f>
      </c>
      <c r="I30" t="s" s="792">
        <f>IF(VLOOKUP($E30,'BDD'!$A$2:$N$567,MATCH($H$23,'BDD'!$A$1:$P$1,0),FALSE)=I$24,I$24,"")</f>
        <v>1969</v>
      </c>
      <c r="J30" t="s" s="792">
        <f>IF(VLOOKUP($E30,'BDD'!$A$2:$N$567,MATCH($H$23,'BDD'!$A$1:$P$1,0),FALSE)=J$24,J$24,"")</f>
      </c>
      <c r="K30" t="s" s="792">
        <f>IF(VLOOKUP($E30,'BDD'!$A$2:$N$567,MATCH($H$23,'BDD'!$A$1:$P$1,0),FALSE)=K$24,K$24,"")</f>
      </c>
      <c r="L30" t="s" s="783">
        <f>IF(VLOOKUP($E30,'BDD'!$A$2:$N$567,MATCH($H$23,'BDD'!$A$1:$P$1,0),FALSE)=L$24,L$24,"")</f>
      </c>
      <c r="M30" s="794">
        <f>IF(N30="Exigences partiellement respectées",1,IF(N30="Exigences respectées",2,0))</f>
        <v>0</v>
      </c>
      <c r="N30" t="s" s="791">
        <f>VLOOKUP(VLOOKUP(E30,'BDD'!$A$2:$P$428,15,FALSE),'Suppl'!$D$64:$E$68,2,FALSE)</f>
        <v>1751</v>
      </c>
      <c r="O30" s="795"/>
      <c r="P30" s="796"/>
      <c r="Q30" s="796"/>
      <c r="R30" s="796"/>
      <c r="S30" s="797">
        <f>IF(N30='Suppl'!$E$65,0,IF(N30='Suppl'!$E$66,1/2/(_xlfn.COUNTIFS($D1:$D100,D30,$N1:$N100,"Exigences"&amp;"*")+_xlfn.COUNTIFS($D1:$D100,D30,$N1:$N100,"Non"&amp;"*")),IF(N30='Suppl'!$E$67,1/(_xlfn.COUNTIFS($D1:$D100,D30,$N1:$N100,"Exigences"&amp;"*")+_xlfn.COUNTIFS($D1:$D100,D30,$N1:$N100,"Non"&amp;"*")),0)))</f>
        <v>0</v>
      </c>
      <c r="T30" s="797"/>
      <c r="U30" s="797"/>
      <c r="V30" s="798"/>
      <c r="W30" s="789">
        <f>_xlfn.IFERROR(IF(N30='Suppl'!$E$65,0,IF(N30='Suppl'!$E$66,1/2/(_xlfn.COUNTIFS($N1:$N100,"Exigences"&amp;"*")+_xlfn.COUNTIFS($N1:$N100,"Non"&amp;"*")),IF(N30='Suppl'!$E$67,1/(_xlfn.COUNTIFS($N1:$N100,"Exigences"&amp;"*")+_xlfn.COUNTIFS($N1:$N100,"Non"&amp;"*")),0))),0)</f>
        <v>0</v>
      </c>
      <c r="X30" t="s" s="744">
        <v>171</v>
      </c>
      <c r="Y30" s="586"/>
      <c r="Z30" s="586"/>
      <c r="AA30" s="586"/>
      <c r="AB30" s="586"/>
      <c r="AC30" s="586"/>
      <c r="AD30" s="586"/>
      <c r="AE30" s="586"/>
      <c r="AF30" s="586"/>
      <c r="AG30" s="586"/>
      <c r="AH30" s="505"/>
      <c r="AI30" s="586"/>
      <c r="AJ30" s="25"/>
      <c r="AK30" s="25"/>
      <c r="AL30" s="25"/>
      <c r="AM30" s="25"/>
      <c r="AN30" s="25"/>
      <c r="AO30" s="25"/>
      <c r="AP30" s="25"/>
      <c r="AQ30" s="25"/>
      <c r="AR30" s="25"/>
      <c r="AS30" s="25"/>
      <c r="AT30" s="25"/>
      <c r="AU30" s="25"/>
      <c r="AV30" s="25"/>
      <c r="AW30" s="25"/>
      <c r="AX30" s="25"/>
      <c r="AY30" s="25"/>
      <c r="AZ30" s="25"/>
      <c r="BA30" s="25"/>
      <c r="BB30" s="25"/>
      <c r="BC30" s="25"/>
      <c r="BD30" s="25"/>
      <c r="BE30" s="25"/>
      <c r="BF30" s="823"/>
    </row>
    <row r="31" ht="41.4" customHeight="1">
      <c r="A31" s="504"/>
      <c r="B31" s="753"/>
      <c r="C31" t="s" s="754">
        <f>IF(LEFT(RIGHT($B$1,2),1)=" ",RIGHT($B$1,1),RIGHT($B$1,2))</f>
        <v>1913</v>
      </c>
      <c r="D31" s="755">
        <f>IF(LEFT(F31,5)="Bonne",D29+1,D30)</f>
        <v>1</v>
      </c>
      <c r="E31" t="s" s="778">
        <f>C31&amp;D31&amp;RIGHT(F31,1)</f>
        <v>1920</v>
      </c>
      <c r="F31" t="s" s="779">
        <v>1778</v>
      </c>
      <c r="G31" t="s" s="780">
        <f>VLOOKUP(E31,'BDD'!$A$2:$N$567,MATCH(G$24,'BDD'!$A$1:$P$1,0),FALSE)</f>
        <v>521</v>
      </c>
      <c r="H31" t="s" s="799">
        <f>IF(VLOOKUP($E31,'BDD'!$A$2:$N$567,MATCH($H$23,'BDD'!$A$1:$P$1,0),FALSE)=H$24,H$24,"")</f>
      </c>
      <c r="I31" t="s" s="792">
        <f>IF(VLOOKUP($E31,'BDD'!$A$2:$N$567,MATCH($H$23,'BDD'!$A$1:$P$1,0),FALSE)=I$24,I$24,"")</f>
      </c>
      <c r="J31" t="s" s="792">
        <f>IF(VLOOKUP($E31,'BDD'!$A$2:$N$567,MATCH($H$23,'BDD'!$A$1:$P$1,0),FALSE)=J$24,J$24,"")</f>
        <v>1967</v>
      </c>
      <c r="K31" t="s" s="792">
        <f>IF(VLOOKUP($E31,'BDD'!$A$2:$N$567,MATCH($H$23,'BDD'!$A$1:$P$1,0),FALSE)=K$24,K$24,"")</f>
      </c>
      <c r="L31" t="s" s="783">
        <f>IF(VLOOKUP($E31,'BDD'!$A$2:$N$567,MATCH($H$23,'BDD'!$A$1:$P$1,0),FALSE)=L$24,L$24,"")</f>
      </c>
      <c r="M31" s="794">
        <f>IF(N31="Exigences partiellement respectées",1,IF(N31="Exigences respectées",2,0))</f>
        <v>0</v>
      </c>
      <c r="N31" t="s" s="780">
        <f>VLOOKUP(VLOOKUP(E31,'BDD'!$A$2:$P$428,15,FALSE),'Suppl'!$D$64:$E$68,2,FALSE)</f>
        <v>1751</v>
      </c>
      <c r="O31" s="795"/>
      <c r="P31" s="796"/>
      <c r="Q31" s="796"/>
      <c r="R31" s="796"/>
      <c r="S31" s="797">
        <f>IF(N31='Suppl'!$E$65,0,IF(N31='Suppl'!$E$66,1/2/(_xlfn.COUNTIFS($D1:$D100,D31,$N1:$N100,"Exigences"&amp;"*")+_xlfn.COUNTIFS($D1:$D100,D31,$N1:$N100,"Non"&amp;"*")),IF(N31='Suppl'!$E$67,1/(_xlfn.COUNTIFS($D1:$D100,D31,$N1:$N100,"Exigences"&amp;"*")+_xlfn.COUNTIFS($D1:$D100,D31,$N1:$N100,"Non"&amp;"*")),0)))</f>
        <v>0</v>
      </c>
      <c r="T31" s="797"/>
      <c r="U31" s="797"/>
      <c r="V31" s="798"/>
      <c r="W31" s="789">
        <f>_xlfn.IFERROR(IF(N31='Suppl'!$E$65,0,IF(N31='Suppl'!$E$66,1/2/(_xlfn.COUNTIFS($N1:$N100,"Exigences"&amp;"*")+_xlfn.COUNTIFS($N1:$N100,"Non"&amp;"*")),IF(N31='Suppl'!$E$67,1/(_xlfn.COUNTIFS($N1:$N100,"Exigences"&amp;"*")+_xlfn.COUNTIFS($N1:$N100,"Non"&amp;"*")),0))),0)</f>
        <v>0</v>
      </c>
      <c r="X31" s="586"/>
      <c r="Y31" s="586"/>
      <c r="Z31" s="586"/>
      <c r="AA31" s="586"/>
      <c r="AB31" s="586"/>
      <c r="AC31" s="586"/>
      <c r="AD31" s="586"/>
      <c r="AE31" s="586"/>
      <c r="AF31" s="586"/>
      <c r="AG31" s="586"/>
      <c r="AH31" s="505"/>
      <c r="AI31" s="586"/>
      <c r="AJ31" s="25"/>
      <c r="AK31" s="25"/>
      <c r="AL31" s="25"/>
      <c r="AM31" s="25"/>
      <c r="AN31" s="25"/>
      <c r="AO31" s="25"/>
      <c r="AP31" s="25"/>
      <c r="AQ31" s="25"/>
      <c r="AR31" s="25"/>
      <c r="AS31" s="25"/>
      <c r="AT31" s="25"/>
      <c r="AU31" s="25"/>
      <c r="AV31" s="25"/>
      <c r="AW31" s="25"/>
      <c r="AX31" s="25"/>
      <c r="AY31" s="25"/>
      <c r="AZ31" s="25"/>
      <c r="BA31" s="25"/>
      <c r="BB31" s="25"/>
      <c r="BC31" s="25"/>
      <c r="BD31" s="25"/>
      <c r="BE31" s="25"/>
      <c r="BF31" s="823"/>
    </row>
    <row r="32" ht="30" customHeight="1">
      <c r="A32" s="504"/>
      <c r="B32" s="753"/>
      <c r="C32" t="s" s="754">
        <f>IF(LEFT(RIGHT($B$1,2),1)=" ",RIGHT($B$1,1),RIGHT($B$1,2))</f>
        <v>1913</v>
      </c>
      <c r="D32" s="755">
        <f>IF(LEFT(F32,5)="Bonne",D30+1,D31)</f>
        <v>1</v>
      </c>
      <c r="E32" t="s" s="778">
        <f>C32&amp;D32&amp;RIGHT(F32,1)</f>
        <v>1921</v>
      </c>
      <c r="F32" t="s" s="790">
        <v>1780</v>
      </c>
      <c r="G32" t="s" s="791">
        <f>VLOOKUP(E32,'BDD'!$A$2:$N$567,MATCH(G$24,'BDD'!$A$1:$P$1,0),FALSE)</f>
        <v>526</v>
      </c>
      <c r="H32" t="s" s="799">
        <f>IF(VLOOKUP($E32,'BDD'!$A$2:$N$567,MATCH($H$23,'BDD'!$A$1:$P$1,0),FALSE)=H$24,H$24,"")</f>
      </c>
      <c r="I32" t="s" s="792">
        <f>IF(VLOOKUP($E32,'BDD'!$A$2:$N$567,MATCH($H$23,'BDD'!$A$1:$P$1,0),FALSE)=I$24,I$24,"")</f>
        <v>1969</v>
      </c>
      <c r="J32" t="s" s="792">
        <f>IF(VLOOKUP($E32,'BDD'!$A$2:$N$567,MATCH($H$23,'BDD'!$A$1:$P$1,0),FALSE)=J$24,J$24,"")</f>
      </c>
      <c r="K32" t="s" s="792">
        <f>IF(VLOOKUP($E32,'BDD'!$A$2:$N$567,MATCH($H$23,'BDD'!$A$1:$P$1,0),FALSE)=K$24,K$24,"")</f>
      </c>
      <c r="L32" t="s" s="783">
        <f>IF(VLOOKUP($E32,'BDD'!$A$2:$N$567,MATCH($H$23,'BDD'!$A$1:$P$1,0),FALSE)=L$24,L$24,"")</f>
      </c>
      <c r="M32" s="794">
        <f>IF(N32="Exigences partiellement respectées",1,IF(N32="Exigences respectées",2,0))</f>
        <v>0</v>
      </c>
      <c r="N32" t="s" s="791">
        <f>VLOOKUP(VLOOKUP(E32,'BDD'!$A$2:$P$428,15,FALSE),'Suppl'!$D$64:$E$68,2,FALSE)</f>
        <v>1751</v>
      </c>
      <c r="O32" s="795"/>
      <c r="P32" s="796"/>
      <c r="Q32" s="796"/>
      <c r="R32" s="796"/>
      <c r="S32" s="797">
        <f>IF(N32='Suppl'!$E$65,0,IF(N32='Suppl'!$E$66,1/2/(_xlfn.COUNTIFS($D1:$D100,D32,$N1:$N100,"Exigences"&amp;"*")+_xlfn.COUNTIFS($D1:$D100,D32,$N1:$N100,"Non"&amp;"*")),IF(N32='Suppl'!$E$67,1/(_xlfn.COUNTIFS($D1:$D100,D32,$N1:$N100,"Exigences"&amp;"*")+_xlfn.COUNTIFS($D1:$D100,D32,$N1:$N100,"Non"&amp;"*")),0)))</f>
        <v>0</v>
      </c>
      <c r="T32" s="797"/>
      <c r="U32" s="797"/>
      <c r="V32" s="798"/>
      <c r="W32" s="789">
        <f>_xlfn.IFERROR(IF(N32='Suppl'!$E$65,0,IF(N32='Suppl'!$E$66,1/2/(_xlfn.COUNTIFS($N1:$N100,"Exigences"&amp;"*")+_xlfn.COUNTIFS($N1:$N100,"Non"&amp;"*")),IF(N32='Suppl'!$E$67,1/(_xlfn.COUNTIFS($N1:$N100,"Exigences"&amp;"*")+_xlfn.COUNTIFS($N1:$N100,"Non"&amp;"*")),0))),0)</f>
        <v>0</v>
      </c>
      <c r="X32" s="586"/>
      <c r="Y32" s="586"/>
      <c r="Z32" s="586"/>
      <c r="AA32" s="586"/>
      <c r="AB32" s="586"/>
      <c r="AC32" s="586"/>
      <c r="AD32" s="586"/>
      <c r="AE32" s="586"/>
      <c r="AF32" s="586"/>
      <c r="AG32" s="586"/>
      <c r="AH32" s="505"/>
      <c r="AI32" s="586"/>
      <c r="AJ32" s="25"/>
      <c r="AK32" s="25"/>
      <c r="AL32" s="25"/>
      <c r="AM32" s="25"/>
      <c r="AN32" s="25"/>
      <c r="AO32" s="25"/>
      <c r="AP32" s="25"/>
      <c r="AQ32" s="25"/>
      <c r="AR32" s="25"/>
      <c r="AS32" s="25"/>
      <c r="AT32" s="25"/>
      <c r="AU32" s="25"/>
      <c r="AV32" s="25"/>
      <c r="AW32" s="25"/>
      <c r="AX32" s="25"/>
      <c r="AY32" s="25"/>
      <c r="AZ32" s="25"/>
      <c r="BA32" s="25"/>
      <c r="BB32" s="25"/>
      <c r="BC32" s="25"/>
      <c r="BD32" s="25"/>
      <c r="BE32" s="25"/>
      <c r="BF32" t="s" s="873">
        <v>1970</v>
      </c>
    </row>
    <row r="33" ht="30" customHeight="1">
      <c r="A33" s="504"/>
      <c r="B33" s="753"/>
      <c r="C33" t="s" s="754">
        <f>IF(LEFT(RIGHT($B$1,2),1)=" ",RIGHT($B$1,1),RIGHT($B$1,2))</f>
        <v>1913</v>
      </c>
      <c r="D33" s="755">
        <f>IF(LEFT(F33,5)="Bonne",D31+1,D32)</f>
        <v>1</v>
      </c>
      <c r="E33" t="s" s="778">
        <f>C33&amp;D33&amp;RIGHT(F33,1)</f>
        <v>1922</v>
      </c>
      <c r="F33" t="s" s="779">
        <v>1782</v>
      </c>
      <c r="G33" t="s" s="780">
        <f>VLOOKUP(E33,'BDD'!$A$2:$N$567,MATCH(G$24,'BDD'!$A$1:$P$1,0),FALSE)</f>
        <v>530</v>
      </c>
      <c r="H33" t="s" s="799">
        <f>IF(VLOOKUP($E33,'BDD'!$A$2:$N$567,MATCH($H$23,'BDD'!$A$1:$P$1,0),FALSE)=H$24,H$24,"")</f>
      </c>
      <c r="I33" t="s" s="792">
        <f>IF(VLOOKUP($E33,'BDD'!$A$2:$N$567,MATCH($H$23,'BDD'!$A$1:$P$1,0),FALSE)=I$24,I$24,"")</f>
      </c>
      <c r="J33" t="s" s="792">
        <f>IF(VLOOKUP($E33,'BDD'!$A$2:$N$567,MATCH($H$23,'BDD'!$A$1:$P$1,0),FALSE)=J$24,J$24,"")</f>
        <v>1967</v>
      </c>
      <c r="K33" t="s" s="792">
        <f>IF(VLOOKUP($E33,'BDD'!$A$2:$N$567,MATCH($H$23,'BDD'!$A$1:$P$1,0),FALSE)=K$24,K$24,"")</f>
      </c>
      <c r="L33" t="s" s="783">
        <f>IF(VLOOKUP($E33,'BDD'!$A$2:$N$567,MATCH($H$23,'BDD'!$A$1:$P$1,0),FALSE)=L$24,L$24,"")</f>
      </c>
      <c r="M33" s="800">
        <f>IF(N33="Exigences partiellement respectées",1,IF(N33="Exigences respectées",2,0))</f>
        <v>0</v>
      </c>
      <c r="N33" t="s" s="780">
        <f>VLOOKUP(VLOOKUP(E33,'BDD'!$A$2:$P$428,15,FALSE),'Suppl'!$D$64:$E$68,2,FALSE)</f>
        <v>1751</v>
      </c>
      <c r="O33" s="801"/>
      <c r="P33" s="802"/>
      <c r="Q33" s="802"/>
      <c r="R33" s="802"/>
      <c r="S33" s="803">
        <f>IF(N33='Suppl'!$E$65,0,IF(N33='Suppl'!$E$66,1/2/(_xlfn.COUNTIFS($D1:$D100,D33,$N1:$N100,"Exigences"&amp;"*")+_xlfn.COUNTIFS($D1:$D100,D33,$N1:$N100,"Non"&amp;"*")),IF(N33='Suppl'!$E$67,1/(_xlfn.COUNTIFS($D1:$D100,D33,$N1:$N100,"Exigences"&amp;"*")+_xlfn.COUNTIFS($D1:$D100,D33,$N1:$N100,"Non"&amp;"*")),0)))</f>
        <v>0</v>
      </c>
      <c r="T33" s="803"/>
      <c r="U33" s="803"/>
      <c r="V33" s="804"/>
      <c r="W33" s="789">
        <f>_xlfn.IFERROR(IF(N33='Suppl'!$E$65,0,IF(N33='Suppl'!$E$66,1/2/(_xlfn.COUNTIFS($N1:$N100,"Exigences"&amp;"*")+_xlfn.COUNTIFS($N1:$N100,"Non"&amp;"*")),IF(N33='Suppl'!$E$67,1/(_xlfn.COUNTIFS($N1:$N100,"Exigences"&amp;"*")+_xlfn.COUNTIFS($N1:$N100,"Non"&amp;"*")),0))),0)</f>
        <v>0</v>
      </c>
      <c r="X33" s="586"/>
      <c r="Y33" s="586"/>
      <c r="Z33" s="586"/>
      <c r="AA33" s="586"/>
      <c r="AB33" s="586"/>
      <c r="AC33" s="586"/>
      <c r="AD33" s="586"/>
      <c r="AE33" s="586"/>
      <c r="AF33" s="586"/>
      <c r="AG33" s="586"/>
      <c r="AH33" s="505"/>
      <c r="AI33" s="586"/>
      <c r="AJ33" s="25"/>
      <c r="AK33" s="25"/>
      <c r="AL33" s="25"/>
      <c r="AM33" s="25"/>
      <c r="AN33" s="25"/>
      <c r="AO33" s="25"/>
      <c r="AP33" s="25"/>
      <c r="AQ33" s="25"/>
      <c r="AR33" s="25"/>
      <c r="AS33" s="25"/>
      <c r="AT33" s="25"/>
      <c r="AU33" s="25"/>
      <c r="AV33" s="25"/>
      <c r="AW33" s="25"/>
      <c r="AX33" s="25"/>
      <c r="AY33" s="25"/>
      <c r="AZ33" s="25"/>
      <c r="BA33" s="25"/>
      <c r="BB33" s="25"/>
      <c r="BC33" s="25"/>
      <c r="BD33" s="25"/>
      <c r="BE33" s="25"/>
      <c r="BF33" s="823"/>
    </row>
    <row r="34" ht="30" customHeight="1">
      <c r="A34" s="504"/>
      <c r="B34" s="753"/>
      <c r="C34" t="s" s="754">
        <f>IF(LEFT(RIGHT($B$1,2),1)=" ",RIGHT($B$1,1),RIGHT($B$1,2))</f>
        <v>1913</v>
      </c>
      <c r="D34" s="755">
        <f>IF(LEFT(F34,5)="Bonne",D32+1,D33)</f>
        <v>2</v>
      </c>
      <c r="E34" s="756"/>
      <c r="F34" t="s" s="757">
        <v>1785</v>
      </c>
      <c r="G34" t="s" s="758">
        <f>VLOOKUP(E36,'BDD'!$A$2:$N$567,6,FALSE)</f>
        <v>531</v>
      </c>
      <c r="H34" t="s" s="805">
        <f>VLOOKUP(E36,'BDD'!$A$2:$N$567,6,FALSE)</f>
        <v>531</v>
      </c>
      <c r="I34" s="760"/>
      <c r="J34" s="760"/>
      <c r="K34" s="760"/>
      <c r="L34" s="761"/>
      <c r="M34" s="762"/>
      <c r="N34" s="763"/>
      <c r="O34" s="764">
        <v>0</v>
      </c>
      <c r="P34" s="764"/>
      <c r="Q34" s="764"/>
      <c r="R34" s="764"/>
      <c r="S34" s="765">
        <f>_xlfn.SUMIFS(S1:S100,$D1:$D100,D34,$N1:$N100,"Exigences"&amp;"*")</f>
      </c>
      <c r="T34" s="765"/>
      <c r="U34" s="765"/>
      <c r="V34" s="766"/>
      <c r="W34" s="789">
        <f>_xlfn.IFERROR(IF(N34='Suppl'!$E$65,0,IF(N34='Suppl'!$E$66,1/2/(_xlfn.COUNTIFS($N1:$N100,"Exigences"&amp;"*")+_xlfn.COUNTIFS($N1:$N100,"Non"&amp;"*")),IF(N34='Suppl'!$E$67,1/(_xlfn.COUNTIFS($N1:$N100,"Exigences"&amp;"*")+_xlfn.COUNTIFS($N1:$N100,"Non"&amp;"*")),0))),0)</f>
        <v>0</v>
      </c>
      <c r="X34" s="586"/>
      <c r="Y34" s="586"/>
      <c r="Z34" s="586"/>
      <c r="AA34" s="586"/>
      <c r="AB34" s="586"/>
      <c r="AC34" s="586"/>
      <c r="AD34" s="586"/>
      <c r="AE34" s="586"/>
      <c r="AF34" s="586"/>
      <c r="AG34" s="586"/>
      <c r="AH34" s="505"/>
      <c r="AI34" s="586"/>
      <c r="AJ34" s="25"/>
      <c r="AK34" s="25"/>
      <c r="AL34" s="25"/>
      <c r="AM34" s="25"/>
      <c r="AN34" s="25"/>
      <c r="AO34" s="25"/>
      <c r="AP34" s="25"/>
      <c r="AQ34" s="25"/>
      <c r="AR34" s="25"/>
      <c r="AS34" s="25"/>
      <c r="AT34" s="25"/>
      <c r="AU34" s="25"/>
      <c r="AV34" s="25"/>
      <c r="AW34" s="25"/>
      <c r="AX34" s="25"/>
      <c r="AY34" s="25"/>
      <c r="AZ34" s="25"/>
      <c r="BA34" s="25"/>
      <c r="BB34" s="25"/>
      <c r="BC34" s="25"/>
      <c r="BD34" s="25"/>
      <c r="BE34" s="25"/>
      <c r="BF34" s="823"/>
    </row>
    <row r="35" ht="30" customHeight="1">
      <c r="A35" s="504"/>
      <c r="B35" s="753"/>
      <c r="C35" t="s" s="754">
        <f>IF(LEFT(RIGHT($B$1,2),1)=" ",RIGHT($B$1,1),RIGHT($B$1,2))</f>
        <v>1913</v>
      </c>
      <c r="D35" s="755">
        <f>IF(LEFT(F35,5)="Bonne",D33+1,D34)</f>
        <v>2</v>
      </c>
      <c r="E35" s="756"/>
      <c r="F35" t="s" s="769">
        <v>1835</v>
      </c>
      <c r="G35" t="s" s="809">
        <f>VLOOKUP(E37,'BDD'!$A$2:$N$567,7,FALSE)</f>
        <v>1971</v>
      </c>
      <c r="H35" s="810"/>
      <c r="I35" s="810"/>
      <c r="J35" s="810"/>
      <c r="K35" s="810"/>
      <c r="L35" s="810"/>
      <c r="M35" s="810"/>
      <c r="N35" s="811"/>
      <c r="O35" s="775"/>
      <c r="P35" s="775"/>
      <c r="Q35" s="775"/>
      <c r="R35" s="775"/>
      <c r="S35" s="776"/>
      <c r="T35" s="776"/>
      <c r="U35" s="776"/>
      <c r="V35" s="777"/>
      <c r="W35" s="789">
        <f>_xlfn.IFERROR(IF(N35='Suppl'!$E$65,0,IF(N35='Suppl'!$E$66,1/2/(_xlfn.COUNTIFS($N1:$N100,"Exigences"&amp;"*")+_xlfn.COUNTIFS($N1:$N100,"Non"&amp;"*")),IF(N35='Suppl'!$E$67,1/(_xlfn.COUNTIFS($N1:$N100,"Exigences"&amp;"*")+_xlfn.COUNTIFS($N1:$N100,"Non"&amp;"*")),0))),0)</f>
        <v>0</v>
      </c>
      <c r="X35" s="586"/>
      <c r="Y35" s="586"/>
      <c r="Z35" s="586"/>
      <c r="AA35" s="586"/>
      <c r="AB35" s="586"/>
      <c r="AC35" s="586"/>
      <c r="AD35" s="586"/>
      <c r="AE35" s="586"/>
      <c r="AF35" s="586"/>
      <c r="AG35" s="586"/>
      <c r="AH35" s="505"/>
      <c r="AI35" s="586"/>
      <c r="AJ35" s="25"/>
      <c r="AK35" s="25"/>
      <c r="AL35" s="25"/>
      <c r="AM35" s="25"/>
      <c r="AN35" s="25"/>
      <c r="AO35" s="25"/>
      <c r="AP35" s="25"/>
      <c r="AQ35" s="25"/>
      <c r="AR35" s="25"/>
      <c r="AS35" s="25"/>
      <c r="AT35" s="25"/>
      <c r="AU35" s="25"/>
      <c r="AV35" s="25"/>
      <c r="AW35" s="25"/>
      <c r="AX35" s="25"/>
      <c r="AY35" s="25"/>
      <c r="AZ35" s="25"/>
      <c r="BA35" s="25"/>
      <c r="BB35" s="25"/>
      <c r="BC35" s="25"/>
      <c r="BD35" s="25"/>
      <c r="BE35" s="25"/>
      <c r="BF35" s="823"/>
    </row>
    <row r="36" ht="30" customHeight="1">
      <c r="A36" s="504"/>
      <c r="B36" s="753"/>
      <c r="C36" t="s" s="754">
        <f>IF(LEFT(RIGHT($B$1,2),1)=" ",RIGHT($B$1,1),RIGHT($B$1,2))</f>
        <v>1913</v>
      </c>
      <c r="D36" s="755">
        <f>IF(LEFT(F36,5)="Bonne",D34+1,D35)</f>
        <v>2</v>
      </c>
      <c r="E36" t="s" s="778">
        <f>C36&amp;D36&amp;RIGHT(F36,1)</f>
        <v>1928</v>
      </c>
      <c r="F36" t="s" s="779">
        <v>1769</v>
      </c>
      <c r="G36" t="s" s="780">
        <f>VLOOKUP(E36,'BDD'!$A$2:$N$567,MATCH(G$24,'BDD'!$A$1:$P$1,0),FALSE)</f>
        <v>533</v>
      </c>
      <c r="H36" t="s" s="799">
        <f>IF(VLOOKUP($E36,'BDD'!$A$2:$N$567,MATCH($H$23,'BDD'!$A$1:$P$1,0),FALSE)=H$24,H$24,"")</f>
        <v>1966</v>
      </c>
      <c r="I36" t="s" s="792">
        <f>IF(VLOOKUP($E36,'BDD'!$A$2:$N$567,MATCH($H$23,'BDD'!$A$1:$P$1,0),FALSE)=I$24,I$24,"")</f>
      </c>
      <c r="J36" t="s" s="792">
        <f>IF(VLOOKUP($E36,'BDD'!$A$2:$N$567,MATCH($H$23,'BDD'!$A$1:$P$1,0),FALSE)=J$24,J$24,"")</f>
      </c>
      <c r="K36" t="s" s="792">
        <f>IF(VLOOKUP($E36,'BDD'!$A$2:$N$567,MATCH($H$23,'BDD'!$A$1:$P$1,0),FALSE)=K$24,K$24,"")</f>
      </c>
      <c r="L36" t="s" s="783">
        <f>IF(VLOOKUP($E36,'BDD'!$A$2:$N$567,MATCH($H$23,'BDD'!$A$1:$P$1,0),FALSE)=L$24,L$24,"")</f>
      </c>
      <c r="M36" s="784">
        <f>IF(N36="Exigences partiellement respectées",1,IF(N36="Exigences respectées",2,0))</f>
        <v>0</v>
      </c>
      <c r="N36" t="s" s="780">
        <f>VLOOKUP(VLOOKUP(E36,'BDD'!$A$2:$P$428,15,FALSE),'Suppl'!$D$64:$E$68,2,FALSE)</f>
        <v>1751</v>
      </c>
      <c r="O36" s="785"/>
      <c r="P36" s="786"/>
      <c r="Q36" s="786"/>
      <c r="R36" s="786"/>
      <c r="S36" s="787">
        <f>IF(N36='Suppl'!$E$65,0,IF(N36='Suppl'!$E$66,1/2/(_xlfn.COUNTIFS($D1:$D100,D36,$N1:$N100,"Exigences"&amp;"*")+_xlfn.COUNTIFS($D1:$D100,D36,$N1:$N100,"Non"&amp;"*")),IF(N36='Suppl'!$E$67,1/(_xlfn.COUNTIFS($D1:$D100,D36,$N1:$N100,"Exigences"&amp;"*")+_xlfn.COUNTIFS($D1:$D100,D36,$N1:$N100,"Non"&amp;"*")),0)))</f>
        <v>0</v>
      </c>
      <c r="T36" s="787"/>
      <c r="U36" s="787"/>
      <c r="V36" s="788"/>
      <c r="W36" s="789">
        <f>_xlfn.IFERROR(IF(N36='Suppl'!$E$65,0,IF(N36='Suppl'!$E$66,1/2/(_xlfn.COUNTIFS($N1:$N100,"Exigences"&amp;"*")+_xlfn.COUNTIFS($N1:$N100,"Non"&amp;"*")),IF(N36='Suppl'!$E$67,1/(_xlfn.COUNTIFS($N1:$N100,"Exigences"&amp;"*")+_xlfn.COUNTIFS($N1:$N100,"Non"&amp;"*")),0))),0)</f>
        <v>0</v>
      </c>
      <c r="X36" s="586"/>
      <c r="Y36" s="586"/>
      <c r="Z36" s="586"/>
      <c r="AA36" s="586"/>
      <c r="AB36" s="586"/>
      <c r="AC36" s="586"/>
      <c r="AD36" s="586"/>
      <c r="AE36" s="586"/>
      <c r="AF36" s="586"/>
      <c r="AG36" s="586"/>
      <c r="AH36" s="505"/>
      <c r="AI36" s="586"/>
      <c r="AJ36" s="25"/>
      <c r="AK36" s="25"/>
      <c r="AL36" s="25"/>
      <c r="AM36" s="25"/>
      <c r="AN36" s="25"/>
      <c r="AO36" s="25"/>
      <c r="AP36" s="25"/>
      <c r="AQ36" s="25"/>
      <c r="AR36" s="25"/>
      <c r="AS36" s="25"/>
      <c r="AT36" s="25"/>
      <c r="AU36" s="25"/>
      <c r="AV36" s="25"/>
      <c r="AW36" s="25"/>
      <c r="AX36" s="25"/>
      <c r="AY36" s="25"/>
      <c r="AZ36" s="25"/>
      <c r="BA36" s="25"/>
      <c r="BB36" s="25"/>
      <c r="BC36" s="25"/>
      <c r="BD36" s="25"/>
      <c r="BE36" s="25"/>
      <c r="BF36" s="823"/>
    </row>
    <row r="37" ht="41.4" customHeight="1">
      <c r="A37" s="504"/>
      <c r="B37" s="753"/>
      <c r="C37" t="s" s="754">
        <f>IF(LEFT(RIGHT($B$1,2),1)=" ",RIGHT($B$1,1),RIGHT($B$1,2))</f>
        <v>1913</v>
      </c>
      <c r="D37" s="755">
        <f>IF(LEFT(F37,5)="Bonne",D35+1,D36)</f>
        <v>2</v>
      </c>
      <c r="E37" t="s" s="778">
        <f>C37&amp;D37&amp;RIGHT(F37,1)</f>
        <v>1924</v>
      </c>
      <c r="F37" t="s" s="790">
        <v>1837</v>
      </c>
      <c r="G37" t="s" s="791">
        <f>VLOOKUP(E37,'BDD'!$A$2:$N$567,MATCH(G$24,'BDD'!$A$1:$P$1,0),FALSE)</f>
        <v>536</v>
      </c>
      <c r="H37" t="s" s="799">
        <f>IF(VLOOKUP($E37,'BDD'!$A$2:$N$567,MATCH($H$23,'BDD'!$A$1:$P$1,0),FALSE)=H$24,H$24,"")</f>
      </c>
      <c r="I37" t="s" s="792">
        <f>IF(VLOOKUP($E37,'BDD'!$A$2:$N$567,MATCH($H$23,'BDD'!$A$1:$P$1,0),FALSE)=I$24,I$24,"")</f>
        <v>1969</v>
      </c>
      <c r="J37" t="s" s="792">
        <f>IF(VLOOKUP($E37,'BDD'!$A$2:$N$567,MATCH($H$23,'BDD'!$A$1:$P$1,0),FALSE)=J$24,J$24,"")</f>
      </c>
      <c r="K37" t="s" s="792">
        <f>IF(VLOOKUP($E37,'BDD'!$A$2:$N$567,MATCH($H$23,'BDD'!$A$1:$P$1,0),FALSE)=K$24,K$24,"")</f>
      </c>
      <c r="L37" t="s" s="783">
        <f>IF(VLOOKUP($E37,'BDD'!$A$2:$N$567,MATCH($H$23,'BDD'!$A$1:$P$1,0),FALSE)=L$24,L$24,"")</f>
      </c>
      <c r="M37" s="794">
        <f>IF(N37="Exigences partiellement respectées",1,IF(N37="Exigences respectées",2,0))</f>
        <v>0</v>
      </c>
      <c r="N37" t="s" s="791">
        <f>VLOOKUP(VLOOKUP(E37,'BDD'!$A$2:$P$428,15,FALSE),'Suppl'!$D$64:$E$68,2,FALSE)</f>
        <v>1751</v>
      </c>
      <c r="O37" s="795"/>
      <c r="P37" s="796"/>
      <c r="Q37" s="796"/>
      <c r="R37" s="796"/>
      <c r="S37" s="797">
        <f>IF(N37='Suppl'!$E$65,0,IF(N37='Suppl'!$E$66,1/2/(_xlfn.COUNTIFS($D1:$D100,D37,$N1:$N100,"Exigences"&amp;"*")+_xlfn.COUNTIFS($D1:$D100,D37,$N1:$N100,"Non"&amp;"*")),IF(N37='Suppl'!$E$67,1/(_xlfn.COUNTIFS($D1:$D100,D37,$N1:$N100,"Exigences"&amp;"*")+_xlfn.COUNTIFS($D1:$D100,D37,$N1:$N100,"Non"&amp;"*")),0)))</f>
        <v>0</v>
      </c>
      <c r="T37" s="797"/>
      <c r="U37" s="797"/>
      <c r="V37" s="798"/>
      <c r="W37" s="789">
        <f>_xlfn.IFERROR(IF(N37='Suppl'!$E$65,0,IF(N37='Suppl'!$E$66,1/2/(_xlfn.COUNTIFS($N1:$N100,"Exigences"&amp;"*")+_xlfn.COUNTIFS($N1:$N100,"Non"&amp;"*")),IF(N37='Suppl'!$E$67,1/(_xlfn.COUNTIFS($N1:$N100,"Exigences"&amp;"*")+_xlfn.COUNTIFS($N1:$N100,"Non"&amp;"*")),0))),0)</f>
        <v>0</v>
      </c>
      <c r="X37" s="586"/>
      <c r="Y37" s="586"/>
      <c r="Z37" s="586"/>
      <c r="AA37" s="586"/>
      <c r="AB37" s="586"/>
      <c r="AC37" s="586"/>
      <c r="AD37" s="586"/>
      <c r="AE37" s="586"/>
      <c r="AF37" s="586"/>
      <c r="AG37" s="586"/>
      <c r="AH37" s="505"/>
      <c r="AI37" s="586"/>
      <c r="AJ37" s="25"/>
      <c r="AK37" s="25"/>
      <c r="AL37" s="25"/>
      <c r="AM37" s="25"/>
      <c r="AN37" s="25"/>
      <c r="AO37" s="25"/>
      <c r="AP37" s="25"/>
      <c r="AQ37" s="25"/>
      <c r="AR37" s="25"/>
      <c r="AS37" s="25"/>
      <c r="AT37" s="25"/>
      <c r="AU37" s="25"/>
      <c r="AV37" s="25"/>
      <c r="AW37" s="25"/>
      <c r="AX37" s="25"/>
      <c r="AY37" s="25"/>
      <c r="AZ37" s="25"/>
      <c r="BA37" s="25"/>
      <c r="BB37" s="25"/>
      <c r="BC37" s="25"/>
      <c r="BD37" s="25"/>
      <c r="BE37" s="25"/>
      <c r="BF37" s="823"/>
    </row>
    <row r="38" ht="60.6" customHeight="1">
      <c r="A38" s="504"/>
      <c r="B38" s="753"/>
      <c r="C38" t="s" s="754">
        <f>IF(LEFT(RIGHT($B$1,2),1)=" ",RIGHT($B$1,1),RIGHT($B$1,2))</f>
        <v>1913</v>
      </c>
      <c r="D38" s="755">
        <f>IF(LEFT(F38,5)="Bonne",D36+1,D37)</f>
        <v>2</v>
      </c>
      <c r="E38" t="s" s="778">
        <f>C38&amp;D38&amp;RIGHT(F38,1)</f>
        <v>1930</v>
      </c>
      <c r="F38" t="s" s="779">
        <v>1774</v>
      </c>
      <c r="G38" t="s" s="780">
        <f>VLOOKUP(E38,'BDD'!$A$2:$N$567,MATCH(G$24,'BDD'!$A$1:$P$1,0),FALSE)</f>
        <v>539</v>
      </c>
      <c r="H38" t="s" s="799">
        <f>IF(VLOOKUP($E38,'BDD'!$A$2:$N$567,MATCH($H$23,'BDD'!$A$1:$P$1,0),FALSE)=H$24,H$24,"")</f>
      </c>
      <c r="I38" t="s" s="792">
        <f>IF(VLOOKUP($E38,'BDD'!$A$2:$N$567,MATCH($H$23,'BDD'!$A$1:$P$1,0),FALSE)=I$24,I$24,"")</f>
        <v>1969</v>
      </c>
      <c r="J38" t="s" s="792">
        <f>IF(VLOOKUP($E38,'BDD'!$A$2:$N$567,MATCH($H$23,'BDD'!$A$1:$P$1,0),FALSE)=J$24,J$24,"")</f>
      </c>
      <c r="K38" t="s" s="792">
        <f>IF(VLOOKUP($E38,'BDD'!$A$2:$N$567,MATCH($H$23,'BDD'!$A$1:$P$1,0),FALSE)=K$24,K$24,"")</f>
      </c>
      <c r="L38" t="s" s="783">
        <f>IF(VLOOKUP($E38,'BDD'!$A$2:$N$567,MATCH($H$23,'BDD'!$A$1:$P$1,0),FALSE)=L$24,L$24,"")</f>
      </c>
      <c r="M38" s="794">
        <f>IF(N38="Exigences partiellement respectées",1,IF(N38="Exigences respectées",2,0))</f>
        <v>0</v>
      </c>
      <c r="N38" t="s" s="780">
        <f>VLOOKUP(VLOOKUP(E38,'BDD'!$A$2:$P$428,15,FALSE),'Suppl'!$D$64:$E$68,2,FALSE)</f>
        <v>1751</v>
      </c>
      <c r="O38" s="795"/>
      <c r="P38" s="796"/>
      <c r="Q38" s="796"/>
      <c r="R38" s="796"/>
      <c r="S38" s="797">
        <f>IF(N38='Suppl'!$E$65,0,IF(N38='Suppl'!$E$66,1/2/(_xlfn.COUNTIFS($D1:$D100,D38,$N1:$N100,"Exigences"&amp;"*")+_xlfn.COUNTIFS($D1:$D100,D38,$N1:$N100,"Non"&amp;"*")),IF(N38='Suppl'!$E$67,1/(_xlfn.COUNTIFS($D1:$D100,D38,$N1:$N100,"Exigences"&amp;"*")+_xlfn.COUNTIFS($D1:$D100,D38,$N1:$N100,"Non"&amp;"*")),0)))</f>
        <v>0</v>
      </c>
      <c r="T38" s="797"/>
      <c r="U38" s="797"/>
      <c r="V38" s="798"/>
      <c r="W38" s="789">
        <f>_xlfn.IFERROR(IF(N38='Suppl'!$E$65,0,IF(N38='Suppl'!$E$66,1/2/(_xlfn.COUNTIFS($N1:$N100,"Exigences"&amp;"*")+_xlfn.COUNTIFS($N1:$N100,"Non"&amp;"*")),IF(N38='Suppl'!$E$67,1/(_xlfn.COUNTIFS($N1:$N100,"Exigences"&amp;"*")+_xlfn.COUNTIFS($N1:$N100,"Non"&amp;"*")),0))),0)</f>
        <v>0</v>
      </c>
      <c r="X38" s="586"/>
      <c r="Y38" s="586"/>
      <c r="Z38" s="586"/>
      <c r="AA38" s="586"/>
      <c r="AB38" s="586"/>
      <c r="AC38" s="586"/>
      <c r="AD38" s="586"/>
      <c r="AE38" s="586"/>
      <c r="AF38" s="586"/>
      <c r="AG38" s="586"/>
      <c r="AH38" s="505"/>
      <c r="AI38" s="586"/>
      <c r="AJ38" s="25"/>
      <c r="AK38" s="25"/>
      <c r="AL38" s="25"/>
      <c r="AM38" s="25"/>
      <c r="AN38" s="25"/>
      <c r="AO38" s="25"/>
      <c r="AP38" s="25"/>
      <c r="AQ38" s="25"/>
      <c r="AR38" s="25"/>
      <c r="AS38" s="25"/>
      <c r="AT38" s="25"/>
      <c r="AU38" s="25"/>
      <c r="AV38" s="25"/>
      <c r="AW38" s="25"/>
      <c r="AX38" s="25"/>
      <c r="AY38" s="25"/>
      <c r="AZ38" s="25"/>
      <c r="BA38" s="25"/>
      <c r="BB38" s="25"/>
      <c r="BC38" s="25"/>
      <c r="BD38" s="25"/>
      <c r="BE38" s="25"/>
      <c r="BF38" s="823"/>
    </row>
    <row r="39" ht="96.6" customHeight="1">
      <c r="A39" s="504"/>
      <c r="B39" s="753"/>
      <c r="C39" t="s" s="754">
        <f>IF(LEFT(RIGHT($B$1,2),1)=" ",RIGHT($B$1,1),RIGHT($B$1,2))</f>
        <v>1913</v>
      </c>
      <c r="D39" s="755">
        <f>IF(LEFT(F39,5)="Bonne",D37+1,D38)</f>
        <v>2</v>
      </c>
      <c r="E39" t="s" s="778">
        <f>C39&amp;D39&amp;RIGHT(F39,1)</f>
        <v>1931</v>
      </c>
      <c r="F39" t="s" s="790">
        <v>1776</v>
      </c>
      <c r="G39" t="s" s="791">
        <f>VLOOKUP(E39,'BDD'!$A$2:$N$567,MATCH(G$24,'BDD'!$A$1:$P$1,0),FALSE)</f>
        <v>542</v>
      </c>
      <c r="H39" t="s" s="799">
        <f>IF(VLOOKUP($E39,'BDD'!$A$2:$N$567,MATCH($H$23,'BDD'!$A$1:$P$1,0),FALSE)=H$24,H$24,"")</f>
      </c>
      <c r="I39" t="s" s="792">
        <f>IF(VLOOKUP($E39,'BDD'!$A$2:$N$567,MATCH($H$23,'BDD'!$A$1:$P$1,0),FALSE)=I$24,I$24,"")</f>
      </c>
      <c r="J39" t="s" s="792">
        <f>IF(VLOOKUP($E39,'BDD'!$A$2:$N$567,MATCH($H$23,'BDD'!$A$1:$P$1,0),FALSE)=J$24,J$24,"")</f>
        <v>1967</v>
      </c>
      <c r="K39" t="s" s="792">
        <f>IF(VLOOKUP($E39,'BDD'!$A$2:$N$567,MATCH($H$23,'BDD'!$A$1:$P$1,0),FALSE)=K$24,K$24,"")</f>
      </c>
      <c r="L39" t="s" s="783">
        <f>IF(VLOOKUP($E39,'BDD'!$A$2:$N$567,MATCH($H$23,'BDD'!$A$1:$P$1,0),FALSE)=L$24,L$24,"")</f>
      </c>
      <c r="M39" s="794">
        <f>IF(N39="Exigences partiellement respectées",1,IF(N39="Exigences respectées",2,0))</f>
        <v>0</v>
      </c>
      <c r="N39" t="s" s="791">
        <f>VLOOKUP(VLOOKUP(E39,'BDD'!$A$2:$P$428,15,FALSE),'Suppl'!$D$64:$E$68,2,FALSE)</f>
        <v>1751</v>
      </c>
      <c r="O39" s="795"/>
      <c r="P39" s="796"/>
      <c r="Q39" s="796"/>
      <c r="R39" s="796"/>
      <c r="S39" s="797">
        <f>IF(N39='Suppl'!$E$65,0,IF(N39='Suppl'!$E$66,1/2/(_xlfn.COUNTIFS($D1:$D100,D39,$N1:$N100,"Exigences"&amp;"*")+_xlfn.COUNTIFS($D1:$D100,D39,$N1:$N100,"Non"&amp;"*")),IF(N39='Suppl'!$E$67,1/(_xlfn.COUNTIFS($D1:$D100,D39,$N1:$N100,"Exigences"&amp;"*")+_xlfn.COUNTIFS($D1:$D100,D39,$N1:$N100,"Non"&amp;"*")),0)))</f>
        <v>0</v>
      </c>
      <c r="T39" s="797"/>
      <c r="U39" s="797"/>
      <c r="V39" s="798"/>
      <c r="W39" s="789">
        <f>_xlfn.IFERROR(IF(N39='Suppl'!$E$65,0,IF(N39='Suppl'!$E$66,1/2/(_xlfn.COUNTIFS($N1:$N100,"Exigences"&amp;"*")+_xlfn.COUNTIFS($N1:$N100,"Non"&amp;"*")),IF(N39='Suppl'!$E$67,1/(_xlfn.COUNTIFS($N1:$N100,"Exigences"&amp;"*")+_xlfn.COUNTIFS($N1:$N100,"Non"&amp;"*")),0))),0)</f>
        <v>0</v>
      </c>
      <c r="X39" s="586"/>
      <c r="Y39" s="586"/>
      <c r="Z39" s="586"/>
      <c r="AA39" s="586"/>
      <c r="AB39" s="586"/>
      <c r="AC39" s="586"/>
      <c r="AD39" s="586"/>
      <c r="AE39" s="586"/>
      <c r="AF39" s="586"/>
      <c r="AG39" s="586"/>
      <c r="AH39" s="505"/>
      <c r="AI39" s="586"/>
      <c r="AJ39" s="25"/>
      <c r="AK39" s="25"/>
      <c r="AL39" s="25"/>
      <c r="AM39" s="25"/>
      <c r="AN39" s="25"/>
      <c r="AO39" s="25"/>
      <c r="AP39" s="25"/>
      <c r="AQ39" s="25"/>
      <c r="AR39" s="25"/>
      <c r="AS39" s="25"/>
      <c r="AT39" s="25"/>
      <c r="AU39" s="25"/>
      <c r="AV39" s="25"/>
      <c r="AW39" s="25"/>
      <c r="AX39" s="25"/>
      <c r="AY39" s="25"/>
      <c r="AZ39" s="25"/>
      <c r="BA39" s="25"/>
      <c r="BB39" s="25"/>
      <c r="BC39" s="25"/>
      <c r="BD39" s="25"/>
      <c r="BE39" s="25"/>
      <c r="BF39" s="823"/>
    </row>
    <row r="40" ht="42.6" customHeight="1">
      <c r="A40" s="504"/>
      <c r="B40" s="753"/>
      <c r="C40" t="s" s="754">
        <f>IF(LEFT(RIGHT($B$1,2),1)=" ",RIGHT($B$1,1),RIGHT($B$1,2))</f>
        <v>1913</v>
      </c>
      <c r="D40" s="755">
        <f>IF(LEFT(F40,5)="Bonne",D38+1,D39)</f>
        <v>2</v>
      </c>
      <c r="E40" t="s" s="778">
        <f>C40&amp;D40&amp;RIGHT(F40,1)</f>
        <v>1932</v>
      </c>
      <c r="F40" t="s" s="779">
        <v>1778</v>
      </c>
      <c r="G40" t="s" s="780">
        <f>VLOOKUP(E40,'BDD'!$A$2:$N$567,MATCH(G$24,'BDD'!$A$1:$P$1,0),FALSE)</f>
        <v>545</v>
      </c>
      <c r="H40" t="s" s="799">
        <f>IF(VLOOKUP($E40,'BDD'!$A$2:$N$567,MATCH($H$23,'BDD'!$A$1:$P$1,0),FALSE)=H$24,H$24,"")</f>
      </c>
      <c r="I40" t="s" s="792">
        <f>IF(VLOOKUP($E40,'BDD'!$A$2:$N$567,MATCH($H$23,'BDD'!$A$1:$P$1,0),FALSE)=I$24,I$24,"")</f>
        <v>1969</v>
      </c>
      <c r="J40" t="s" s="792">
        <f>IF(VLOOKUP($E40,'BDD'!$A$2:$N$567,MATCH($H$23,'BDD'!$A$1:$P$1,0),FALSE)=J$24,J$24,"")</f>
      </c>
      <c r="K40" t="s" s="792">
        <f>IF(VLOOKUP($E40,'BDD'!$A$2:$N$567,MATCH($H$23,'BDD'!$A$1:$P$1,0),FALSE)=K$24,K$24,"")</f>
      </c>
      <c r="L40" t="s" s="783">
        <f>IF(VLOOKUP($E40,'BDD'!$A$2:$N$567,MATCH($H$23,'BDD'!$A$1:$P$1,0),FALSE)=L$24,L$24,"")</f>
      </c>
      <c r="M40" s="794">
        <f>IF(N40="Exigences partiellement respectées",1,IF(N40="Exigences respectées",2,0))</f>
        <v>0</v>
      </c>
      <c r="N40" t="s" s="780">
        <f>VLOOKUP(VLOOKUP(E40,'BDD'!$A$2:$P$428,15,FALSE),'Suppl'!$D$64:$E$68,2,FALSE)</f>
        <v>1751</v>
      </c>
      <c r="O40" s="795"/>
      <c r="P40" s="796"/>
      <c r="Q40" s="796"/>
      <c r="R40" s="796"/>
      <c r="S40" s="797">
        <f>IF(N40='Suppl'!$E$65,0,IF(N40='Suppl'!$E$66,1/2/(_xlfn.COUNTIFS($D1:$D100,D40,$N1:$N100,"Exigences"&amp;"*")+_xlfn.COUNTIFS($D1:$D100,D40,$N1:$N100,"Non"&amp;"*")),IF(N40='Suppl'!$E$67,1/(_xlfn.COUNTIFS($D1:$D100,D40,$N1:$N100,"Exigences"&amp;"*")+_xlfn.COUNTIFS($D1:$D100,D40,$N1:$N100,"Non"&amp;"*")),0)))</f>
        <v>0</v>
      </c>
      <c r="T40" s="797"/>
      <c r="U40" s="797"/>
      <c r="V40" s="798"/>
      <c r="W40" s="789">
        <f>_xlfn.IFERROR(IF(N40='Suppl'!$E$65,0,IF(N40='Suppl'!$E$66,1/2/(_xlfn.COUNTIFS($N1:$N100,"Exigences"&amp;"*")+_xlfn.COUNTIFS($N1:$N100,"Non"&amp;"*")),IF(N40='Suppl'!$E$67,1/(_xlfn.COUNTIFS($N1:$N100,"Exigences"&amp;"*")+_xlfn.COUNTIFS($N1:$N100,"Non"&amp;"*")),0))),0)</f>
        <v>0</v>
      </c>
      <c r="X40" s="586"/>
      <c r="Y40" s="586"/>
      <c r="Z40" s="586"/>
      <c r="AA40" s="586"/>
      <c r="AB40" s="586"/>
      <c r="AC40" s="586"/>
      <c r="AD40" s="586"/>
      <c r="AE40" s="586"/>
      <c r="AF40" s="586"/>
      <c r="AG40" s="586"/>
      <c r="AH40" s="505"/>
      <c r="AI40" s="586"/>
      <c r="AJ40" s="25"/>
      <c r="AK40" s="25"/>
      <c r="AL40" s="25"/>
      <c r="AM40" s="25"/>
      <c r="AN40" s="25"/>
      <c r="AO40" s="25"/>
      <c r="AP40" s="25"/>
      <c r="AQ40" s="25"/>
      <c r="AR40" s="25"/>
      <c r="AS40" s="25"/>
      <c r="AT40" s="25"/>
      <c r="AU40" s="25"/>
      <c r="AV40" s="25"/>
      <c r="AW40" s="25"/>
      <c r="AX40" s="25"/>
      <c r="AY40" s="25"/>
      <c r="AZ40" s="25"/>
      <c r="BA40" s="25"/>
      <c r="BB40" s="25"/>
      <c r="BC40" s="25"/>
      <c r="BD40" s="25"/>
      <c r="BE40" s="25"/>
      <c r="BF40" s="823"/>
    </row>
    <row r="41" ht="42.6" customHeight="1">
      <c r="A41" s="504"/>
      <c r="B41" s="753"/>
      <c r="C41" t="s" s="754">
        <f>IF(LEFT(RIGHT($B$1,2),1)=" ",RIGHT($B$1,1),RIGHT($B$1,2))</f>
        <v>1913</v>
      </c>
      <c r="D41" s="755">
        <f>IF(LEFT(F41,5)="Bonne",D39+1,D40)</f>
        <v>2</v>
      </c>
      <c r="E41" t="s" s="778">
        <f>C41&amp;D41&amp;RIGHT(F41,1)</f>
        <v>1933</v>
      </c>
      <c r="F41" t="s" s="790">
        <v>1780</v>
      </c>
      <c r="G41" t="s" s="791">
        <f>VLOOKUP(E41,'BDD'!$A$2:$N$567,MATCH(G$24,'BDD'!$A$1:$P$1,0),FALSE)</f>
        <v>548</v>
      </c>
      <c r="H41" t="s" s="799">
        <f>IF(VLOOKUP($E41,'BDD'!$A$2:$N$567,MATCH($H$23,'BDD'!$A$1:$P$1,0),FALSE)=H$24,H$24,"")</f>
        <v>1966</v>
      </c>
      <c r="I41" t="s" s="792">
        <f>IF(VLOOKUP($E41,'BDD'!$A$2:$N$567,MATCH($H$23,'BDD'!$A$1:$P$1,0),FALSE)=I$24,I$24,"")</f>
      </c>
      <c r="J41" t="s" s="792">
        <f>IF(VLOOKUP($E41,'BDD'!$A$2:$N$567,MATCH($H$23,'BDD'!$A$1:$P$1,0),FALSE)=J$24,J$24,"")</f>
      </c>
      <c r="K41" t="s" s="792">
        <f>IF(VLOOKUP($E41,'BDD'!$A$2:$N$567,MATCH($H$23,'BDD'!$A$1:$P$1,0),FALSE)=K$24,K$24,"")</f>
      </c>
      <c r="L41" t="s" s="783">
        <f>IF(VLOOKUP($E41,'BDD'!$A$2:$N$567,MATCH($H$23,'BDD'!$A$1:$P$1,0),FALSE)=L$24,L$24,"")</f>
      </c>
      <c r="M41" s="794">
        <f>IF(N41="Exigences partiellement respectées",1,IF(N41="Exigences respectées",2,0))</f>
        <v>0</v>
      </c>
      <c r="N41" t="s" s="791">
        <f>VLOOKUP(VLOOKUP(E41,'BDD'!$A$2:$P$428,15,FALSE),'Suppl'!$D$64:$E$68,2,FALSE)</f>
        <v>1751</v>
      </c>
      <c r="O41" s="795"/>
      <c r="P41" s="796"/>
      <c r="Q41" s="796"/>
      <c r="R41" s="796"/>
      <c r="S41" s="797">
        <f>IF(N41='Suppl'!$E$65,0,IF(N41='Suppl'!$E$66,1/2/(_xlfn.COUNTIFS($D1:$D100,D41,$N1:$N100,"Exigences"&amp;"*")+_xlfn.COUNTIFS($D1:$D100,D41,$N1:$N100,"Non"&amp;"*")),IF(N41='Suppl'!$E$67,1/(_xlfn.COUNTIFS($D1:$D100,D41,$N1:$N100,"Exigences"&amp;"*")+_xlfn.COUNTIFS($D1:$D100,D41,$N1:$N100,"Non"&amp;"*")),0)))</f>
        <v>0</v>
      </c>
      <c r="T41" s="797"/>
      <c r="U41" s="797"/>
      <c r="V41" s="798"/>
      <c r="W41" s="789">
        <f>_xlfn.IFERROR(IF(N41='Suppl'!$E$65,0,IF(N41='Suppl'!$E$66,1/2/(_xlfn.COUNTIFS($N1:$N100,"Exigences"&amp;"*")+_xlfn.COUNTIFS($N1:$N100,"Non"&amp;"*")),IF(N41='Suppl'!$E$67,1/(_xlfn.COUNTIFS($N1:$N100,"Exigences"&amp;"*")+_xlfn.COUNTIFS($N1:$N100,"Non"&amp;"*")),0))),0)</f>
        <v>0</v>
      </c>
      <c r="X41" s="586"/>
      <c r="Y41" s="586"/>
      <c r="Z41" s="586"/>
      <c r="AA41" s="586"/>
      <c r="AB41" s="586"/>
      <c r="AC41" s="586"/>
      <c r="AD41" s="586"/>
      <c r="AE41" s="586"/>
      <c r="AF41" s="586"/>
      <c r="AG41" s="586"/>
      <c r="AH41" s="505"/>
      <c r="AI41" s="586"/>
      <c r="AJ41" s="25"/>
      <c r="AK41" s="25"/>
      <c r="AL41" s="25"/>
      <c r="AM41" s="25"/>
      <c r="AN41" s="25"/>
      <c r="AO41" s="25"/>
      <c r="AP41" s="25"/>
      <c r="AQ41" s="25"/>
      <c r="AR41" s="25"/>
      <c r="AS41" s="25"/>
      <c r="AT41" s="25"/>
      <c r="AU41" s="25"/>
      <c r="AV41" s="25"/>
      <c r="AW41" s="25"/>
      <c r="AX41" s="25"/>
      <c r="AY41" s="25"/>
      <c r="AZ41" s="25"/>
      <c r="BA41" s="25"/>
      <c r="BB41" s="25"/>
      <c r="BC41" s="25"/>
      <c r="BD41" s="25"/>
      <c r="BE41" s="25"/>
      <c r="BF41" s="823"/>
    </row>
    <row r="42" ht="42.6" customHeight="1">
      <c r="A42" s="504"/>
      <c r="B42" s="753"/>
      <c r="C42" t="s" s="754">
        <f>IF(LEFT(RIGHT($B$1,2),1)=" ",RIGHT($B$1,1),RIGHT($B$1,2))</f>
        <v>1913</v>
      </c>
      <c r="D42" s="755">
        <f>IF(LEFT(F42,5)="Bonne",D40+1,D41)</f>
        <v>2</v>
      </c>
      <c r="E42" t="s" s="806">
        <f>C42&amp;D42&amp;RIGHT(F42,1)</f>
        <v>1934</v>
      </c>
      <c r="F42" t="s" s="779">
        <v>1782</v>
      </c>
      <c r="G42" t="s" s="780">
        <f>VLOOKUP(E42,'BDD'!$A$2:$N$567,MATCH(G$24,'BDD'!$A$1:$P$1,0),FALSE)</f>
        <v>551</v>
      </c>
      <c r="H42" t="s" s="799">
        <f>IF(VLOOKUP($E42,'BDD'!$A$2:$N$567,MATCH($H$23,'BDD'!$A$1:$P$1,0),FALSE)=H$24,H$24,"")</f>
      </c>
      <c r="I42" t="s" s="792">
        <f>IF(VLOOKUP($E42,'BDD'!$A$2:$N$567,MATCH($H$23,'BDD'!$A$1:$P$1,0),FALSE)=I$24,I$24,"")</f>
      </c>
      <c r="J42" t="s" s="792">
        <f>IF(VLOOKUP($E42,'BDD'!$A$2:$N$567,MATCH($H$23,'BDD'!$A$1:$P$1,0),FALSE)=J$24,J$24,"")</f>
      </c>
      <c r="K42" t="s" s="792">
        <f>IF(VLOOKUP($E42,'BDD'!$A$2:$N$567,MATCH($H$23,'BDD'!$A$1:$P$1,0),FALSE)=K$24,K$24,"")</f>
        <v>1968</v>
      </c>
      <c r="L42" t="s" s="783">
        <f>IF(VLOOKUP($E42,'BDD'!$A$2:$N$567,MATCH($H$23,'BDD'!$A$1:$P$1,0),FALSE)=L$24,L$24,"")</f>
      </c>
      <c r="M42" s="800">
        <f>IF(N42="Exigences partiellement respectées",1,IF(N42="Exigences respectées",2,0))</f>
        <v>0</v>
      </c>
      <c r="N42" t="s" s="780">
        <f>VLOOKUP(VLOOKUP(E42,'BDD'!$A$2:$P$428,15,FALSE),'Suppl'!$D$64:$E$68,2,FALSE)</f>
        <v>1751</v>
      </c>
      <c r="O42" s="801"/>
      <c r="P42" s="802"/>
      <c r="Q42" s="802"/>
      <c r="R42" s="802"/>
      <c r="S42" s="803">
        <f>IF(N42='Suppl'!$E$65,0,IF(N42='Suppl'!$E$66,1/2/(_xlfn.COUNTIFS($D1:$D100,D42,$N1:$N100,"Exigences"&amp;"*")+_xlfn.COUNTIFS($D1:$D100,D42,$N1:$N100,"Non"&amp;"*")),IF(N42='Suppl'!$E$67,1/(_xlfn.COUNTIFS($D1:$D100,D42,$N1:$N100,"Exigences"&amp;"*")+_xlfn.COUNTIFS($D1:$D100,D42,$N1:$N100,"Non"&amp;"*")),0)))</f>
        <v>0</v>
      </c>
      <c r="T42" s="803"/>
      <c r="U42" s="803"/>
      <c r="V42" s="804"/>
      <c r="W42" s="789">
        <f>_xlfn.IFERROR(IF(N42='Suppl'!$E$65,0,IF(N42='Suppl'!$E$66,1/2/(_xlfn.COUNTIFS($N1:$N100,"Exigences"&amp;"*")+_xlfn.COUNTIFS($N1:$N100,"Non"&amp;"*")),IF(N42='Suppl'!$E$67,1/(_xlfn.COUNTIFS($N1:$N100,"Exigences"&amp;"*")+_xlfn.COUNTIFS($N1:$N100,"Non"&amp;"*")),0))),0)</f>
        <v>0</v>
      </c>
      <c r="X42" s="586"/>
      <c r="Y42" s="586"/>
      <c r="Z42" s="586"/>
      <c r="AA42" s="586"/>
      <c r="AB42" s="586"/>
      <c r="AC42" s="586"/>
      <c r="AD42" s="586"/>
      <c r="AE42" s="586"/>
      <c r="AF42" s="586"/>
      <c r="AG42" s="586"/>
      <c r="AH42" s="505"/>
      <c r="AI42" s="586"/>
      <c r="AJ42" s="25"/>
      <c r="AK42" s="25"/>
      <c r="AL42" s="25"/>
      <c r="AM42" s="25"/>
      <c r="AN42" s="25"/>
      <c r="AO42" s="25"/>
      <c r="AP42" s="25"/>
      <c r="AQ42" s="25"/>
      <c r="AR42" s="25"/>
      <c r="AS42" s="25"/>
      <c r="AT42" s="25"/>
      <c r="AU42" s="25"/>
      <c r="AV42" s="25"/>
      <c r="AW42" s="25"/>
      <c r="AX42" s="25"/>
      <c r="AY42" s="25"/>
      <c r="AZ42" s="25"/>
      <c r="BA42" s="25"/>
      <c r="BB42" s="25"/>
      <c r="BC42" s="25"/>
      <c r="BD42" s="25"/>
      <c r="BE42" s="25"/>
      <c r="BF42" s="823"/>
    </row>
    <row r="43" ht="30" customHeight="1">
      <c r="A43" s="504"/>
      <c r="B43" s="753"/>
      <c r="C43" t="s" s="754">
        <f>IF(LEFT(RIGHT($B$1,2),1)=" ",RIGHT($B$1,1),RIGHT($B$1,2))</f>
        <v>1913</v>
      </c>
      <c r="D43" s="755">
        <f>IF(LEFT(F43,5)="Bonne",D41+1,D42)</f>
        <v>3</v>
      </c>
      <c r="E43" s="807"/>
      <c r="F43" t="s" s="757">
        <v>1797</v>
      </c>
      <c r="G43" t="s" s="758">
        <f>VLOOKUP(E45,'BDD'!$A$2:$N$567,6,FALSE)</f>
        <v>553</v>
      </c>
      <c r="H43" s="759"/>
      <c r="I43" s="760"/>
      <c r="J43" s="760"/>
      <c r="K43" s="760"/>
      <c r="L43" s="761"/>
      <c r="M43" s="762"/>
      <c r="N43" s="763"/>
      <c r="O43" s="764">
        <v>0</v>
      </c>
      <c r="P43" s="764"/>
      <c r="Q43" s="764"/>
      <c r="R43" s="764"/>
      <c r="S43" s="765">
        <f>_xlfn.SUMIFS(S1:S100,$D1:$D100,D43,$N1:$N100,"Exigences"&amp;"*")</f>
      </c>
      <c r="T43" s="765"/>
      <c r="U43" s="765"/>
      <c r="V43" s="766"/>
      <c r="W43" s="789">
        <f>_xlfn.IFERROR(IF(N43='Suppl'!$E$65,0,IF(N43='Suppl'!$E$66,1/2/(_xlfn.COUNTIFS($N1:$N100,"Exigences"&amp;"*")+_xlfn.COUNTIFS($N1:$N100,"Non"&amp;"*")),IF(N43='Suppl'!$E$67,1/(_xlfn.COUNTIFS($N1:$N100,"Exigences"&amp;"*")+_xlfn.COUNTIFS($N1:$N100,"Non"&amp;"*")),0))),0)</f>
        <v>0</v>
      </c>
      <c r="X43" s="586"/>
      <c r="Y43" s="586"/>
      <c r="Z43" s="586"/>
      <c r="AA43" s="586"/>
      <c r="AB43" s="586"/>
      <c r="AC43" s="586"/>
      <c r="AD43" s="586"/>
      <c r="AE43" s="586"/>
      <c r="AF43" s="586"/>
      <c r="AG43" s="586"/>
      <c r="AH43" s="505"/>
      <c r="AI43" s="586"/>
      <c r="AJ43" s="25"/>
      <c r="AK43" s="25"/>
      <c r="AL43" s="25"/>
      <c r="AM43" s="25"/>
      <c r="AN43" s="25"/>
      <c r="AO43" s="25"/>
      <c r="AP43" s="25"/>
      <c r="AQ43" s="25"/>
      <c r="AR43" s="25"/>
      <c r="AS43" s="25"/>
      <c r="AT43" s="25"/>
      <c r="AU43" s="25"/>
      <c r="AV43" s="25"/>
      <c r="AW43" s="25"/>
      <c r="AX43" s="25"/>
      <c r="AY43" s="25"/>
      <c r="AZ43" s="25"/>
      <c r="BA43" s="25"/>
      <c r="BB43" s="25"/>
      <c r="BC43" s="25"/>
      <c r="BD43" s="25"/>
      <c r="BE43" s="25"/>
      <c r="BF43" s="823"/>
    </row>
    <row r="44" ht="30" customHeight="1">
      <c r="A44" s="504"/>
      <c r="B44" s="753"/>
      <c r="C44" t="s" s="754">
        <f>IF(LEFT(RIGHT($B$1,2),1)=" ",RIGHT($B$1,1),RIGHT($B$1,2))</f>
        <v>1913</v>
      </c>
      <c r="D44" s="755">
        <f>IF(LEFT(F44,5)="Bonne",D42+1,D43)</f>
        <v>3</v>
      </c>
      <c r="E44" s="808"/>
      <c r="F44" t="s" s="769">
        <v>1835</v>
      </c>
      <c r="G44" t="s" s="809">
        <f>VLOOKUP(E46,'BDD'!$A$2:$N$567,7,FALSE)</f>
        <v>1972</v>
      </c>
      <c r="H44" s="810"/>
      <c r="I44" s="810"/>
      <c r="J44" s="810"/>
      <c r="K44" s="810"/>
      <c r="L44" s="810"/>
      <c r="M44" s="810"/>
      <c r="N44" s="811"/>
      <c r="O44" s="775"/>
      <c r="P44" s="775"/>
      <c r="Q44" s="775"/>
      <c r="R44" s="775"/>
      <c r="S44" s="776"/>
      <c r="T44" s="776"/>
      <c r="U44" s="776"/>
      <c r="V44" s="777"/>
      <c r="W44" s="789">
        <f>_xlfn.IFERROR(IF(N44='Suppl'!$E$65,0,IF(N44='Suppl'!$E$66,1/2/(_xlfn.COUNTIFS($N1:$N100,"Exigences"&amp;"*")+_xlfn.COUNTIFS($N1:$N100,"Non"&amp;"*")),IF(N44='Suppl'!$E$67,1/(_xlfn.COUNTIFS($N1:$N100,"Exigences"&amp;"*")+_xlfn.COUNTIFS($N1:$N100,"Non"&amp;"*")),0))),0)</f>
        <v>0</v>
      </c>
      <c r="X44" s="586"/>
      <c r="Y44" s="586"/>
      <c r="Z44" s="586"/>
      <c r="AA44" s="586"/>
      <c r="AB44" s="586"/>
      <c r="AC44" s="586"/>
      <c r="AD44" s="586"/>
      <c r="AE44" s="586"/>
      <c r="AF44" s="586"/>
      <c r="AG44" s="586"/>
      <c r="AH44" s="505"/>
      <c r="AI44" s="586"/>
      <c r="AJ44" s="25"/>
      <c r="AK44" s="25"/>
      <c r="AL44" s="25"/>
      <c r="AM44" s="25"/>
      <c r="AN44" s="25"/>
      <c r="AO44" s="25"/>
      <c r="AP44" s="25"/>
      <c r="AQ44" s="25"/>
      <c r="AR44" s="25"/>
      <c r="AS44" s="25"/>
      <c r="AT44" s="25"/>
      <c r="AU44" s="25"/>
      <c r="AV44" s="25"/>
      <c r="AW44" s="25"/>
      <c r="AX44" s="25"/>
      <c r="AY44" s="25"/>
      <c r="AZ44" s="25"/>
      <c r="BA44" s="25"/>
      <c r="BB44" s="25"/>
      <c r="BC44" s="25"/>
      <c r="BD44" s="25"/>
      <c r="BE44" s="25"/>
      <c r="BF44" s="823"/>
    </row>
    <row r="45" ht="41.4" customHeight="1">
      <c r="A45" s="504"/>
      <c r="B45" s="753"/>
      <c r="C45" t="s" s="754">
        <f>IF(LEFT(RIGHT($B$1,2),1)=" ",RIGHT($B$1,1),RIGHT($B$1,2))</f>
        <v>1913</v>
      </c>
      <c r="D45" s="755">
        <f>IF(LEFT(F45,5)="Bonne",D43+1,D44)</f>
        <v>3</v>
      </c>
      <c r="E45" t="s" s="812">
        <f>C45&amp;D45&amp;RIGHT(F45,1)</f>
        <v>1939</v>
      </c>
      <c r="F45" t="s" s="779">
        <v>1769</v>
      </c>
      <c r="G45" t="s" s="780">
        <f>VLOOKUP(E45,'BDD'!$A$2:$N$567,MATCH(G$24,'BDD'!$A$1:$P$1,0),FALSE)</f>
        <v>555</v>
      </c>
      <c r="H45" t="s" s="799">
        <f>IF(VLOOKUP($E45,'BDD'!$A$2:$N$567,MATCH($H$23,'BDD'!$A$1:$P$1,0),FALSE)=H$24,H$24,"")</f>
      </c>
      <c r="I45" t="s" s="792">
        <f>IF(VLOOKUP($E45,'BDD'!$A$2:$N$567,MATCH($H$23,'BDD'!$A$1:$P$1,0),FALSE)=I$24,I$24,"")</f>
      </c>
      <c r="J45" t="s" s="792">
        <f>IF(VLOOKUP($E45,'BDD'!$A$2:$N$567,MATCH($H$23,'BDD'!$A$1:$P$1,0),FALSE)=J$24,J$24,"")</f>
      </c>
      <c r="K45" t="s" s="792">
        <f>IF(VLOOKUP($E45,'BDD'!$A$2:$N$567,MATCH($H$23,'BDD'!$A$1:$P$1,0),FALSE)=K$24,K$24,"")</f>
        <v>1968</v>
      </c>
      <c r="L45" t="s" s="783">
        <f>IF(VLOOKUP($E45,'BDD'!$A$2:$N$567,MATCH($H$23,'BDD'!$A$1:$P$1,0),FALSE)=L$24,L$24,"")</f>
      </c>
      <c r="M45" s="784">
        <f>IF(N45="Exigences partiellement respectées",1,IF(N45="Exigences respectées",2,0))</f>
        <v>0</v>
      </c>
      <c r="N45" t="s" s="780">
        <f>VLOOKUP(VLOOKUP(E45,'BDD'!$A$2:$P$428,15,FALSE),'Suppl'!$D$64:$E$68,2,FALSE)</f>
        <v>1751</v>
      </c>
      <c r="O45" s="785"/>
      <c r="P45" s="786"/>
      <c r="Q45" s="786"/>
      <c r="R45" s="786"/>
      <c r="S45" s="787">
        <f>IF(N45='Suppl'!$E$65,0,IF(N45='Suppl'!$E$66,1/2/(_xlfn.COUNTIFS($D1:$D100,D45,$N1:$N100,"Exigences"&amp;"*")+_xlfn.COUNTIFS($D1:$D100,D45,$N1:$N100,"Non"&amp;"*")),IF(N45='Suppl'!$E$67,1/(_xlfn.COUNTIFS($D1:$D100,D45,$N1:$N100,"Exigences"&amp;"*")+_xlfn.COUNTIFS($D1:$D100,D45,$N1:$N100,"Non"&amp;"*")),0)))</f>
        <v>0</v>
      </c>
      <c r="T45" s="787"/>
      <c r="U45" s="787"/>
      <c r="V45" s="788"/>
      <c r="W45" s="789">
        <f>_xlfn.IFERROR(IF(N45='Suppl'!$E$65,0,IF(N45='Suppl'!$E$66,1/2/(_xlfn.COUNTIFS($N1:$N100,"Exigences"&amp;"*")+_xlfn.COUNTIFS($N1:$N100,"Non"&amp;"*")),IF(N45='Suppl'!$E$67,1/(_xlfn.COUNTIFS($N1:$N100,"Exigences"&amp;"*")+_xlfn.COUNTIFS($N1:$N100,"Non"&amp;"*")),0))),0)</f>
        <v>0</v>
      </c>
      <c r="X45" s="586"/>
      <c r="Y45" s="586"/>
      <c r="Z45" s="586"/>
      <c r="AA45" s="586"/>
      <c r="AB45" s="586"/>
      <c r="AC45" s="586"/>
      <c r="AD45" s="586"/>
      <c r="AE45" s="586"/>
      <c r="AF45" s="586"/>
      <c r="AG45" s="586"/>
      <c r="AH45" s="505"/>
      <c r="AI45" s="586"/>
      <c r="AJ45" s="25"/>
      <c r="AK45" s="25"/>
      <c r="AL45" s="25"/>
      <c r="AM45" s="25"/>
      <c r="AN45" s="25"/>
      <c r="AO45" s="25"/>
      <c r="AP45" s="25"/>
      <c r="AQ45" s="25"/>
      <c r="AR45" s="25"/>
      <c r="AS45" s="25"/>
      <c r="AT45" s="25"/>
      <c r="AU45" s="25"/>
      <c r="AV45" s="25"/>
      <c r="AW45" s="25"/>
      <c r="AX45" s="25"/>
      <c r="AY45" s="25"/>
      <c r="AZ45" s="25"/>
      <c r="BA45" s="25"/>
      <c r="BB45" s="25"/>
      <c r="BC45" s="25"/>
      <c r="BD45" s="25"/>
      <c r="BE45" s="25"/>
      <c r="BF45" s="823"/>
    </row>
    <row r="46" ht="55.2" customHeight="1">
      <c r="A46" s="504"/>
      <c r="B46" s="753"/>
      <c r="C46" t="s" s="754">
        <f>IF(LEFT(RIGHT($B$1,2),1)=" ",RIGHT($B$1,1),RIGHT($B$1,2))</f>
        <v>1913</v>
      </c>
      <c r="D46" s="755">
        <f>IF(LEFT(F46,5)="Bonne",D44+1,D45)</f>
        <v>3</v>
      </c>
      <c r="E46" t="s" s="778">
        <f>C46&amp;D46&amp;RIGHT(F46,1)</f>
        <v>1940</v>
      </c>
      <c r="F46" t="s" s="790">
        <v>1837</v>
      </c>
      <c r="G46" t="s" s="791">
        <f>VLOOKUP(E46,'BDD'!$A$2:$N$567,MATCH(G$24,'BDD'!$A$1:$P$1,0),FALSE)</f>
        <v>558</v>
      </c>
      <c r="H46" t="s" s="799">
        <f>IF(VLOOKUP($E46,'BDD'!$A$2:$N$567,MATCH($H$23,'BDD'!$A$1:$P$1,0),FALSE)=H$24,H$24,"")</f>
      </c>
      <c r="I46" t="s" s="792">
        <f>IF(VLOOKUP($E46,'BDD'!$A$2:$N$567,MATCH($H$23,'BDD'!$A$1:$P$1,0),FALSE)=I$24,I$24,"")</f>
      </c>
      <c r="J46" t="s" s="792">
        <f>IF(VLOOKUP($E46,'BDD'!$A$2:$N$567,MATCH($H$23,'BDD'!$A$1:$P$1,0),FALSE)=J$24,J$24,"")</f>
      </c>
      <c r="K46" t="s" s="792">
        <f>IF(VLOOKUP($E46,'BDD'!$A$2:$N$567,MATCH($H$23,'BDD'!$A$1:$P$1,0),FALSE)=K$24,K$24,"")</f>
        <v>1968</v>
      </c>
      <c r="L46" t="s" s="783">
        <f>IF(VLOOKUP($E46,'BDD'!$A$2:$N$567,MATCH($H$23,'BDD'!$A$1:$P$1,0),FALSE)=L$24,L$24,"")</f>
      </c>
      <c r="M46" s="794">
        <f>IF(N46="Exigences partiellement respectées",1,IF(N46="Exigences respectées",2,0))</f>
        <v>0</v>
      </c>
      <c r="N46" t="s" s="791">
        <f>VLOOKUP(VLOOKUP(E46,'BDD'!$A$2:$P$428,15,FALSE),'Suppl'!$D$64:$E$68,2,FALSE)</f>
        <v>1751</v>
      </c>
      <c r="O46" s="795"/>
      <c r="P46" s="796"/>
      <c r="Q46" s="796"/>
      <c r="R46" s="796"/>
      <c r="S46" s="797">
        <f>IF(N46='Suppl'!$E$65,0,IF(N46='Suppl'!$E$66,1/2/(_xlfn.COUNTIFS($D1:$D100,D46,$N1:$N100,"Exigences"&amp;"*")+_xlfn.COUNTIFS($D1:$D100,D46,$N1:$N100,"Non"&amp;"*")),IF(N46='Suppl'!$E$67,1/(_xlfn.COUNTIFS($D1:$D100,D46,$N1:$N100,"Exigences"&amp;"*")+_xlfn.COUNTIFS($D1:$D100,D46,$N1:$N100,"Non"&amp;"*")),0)))</f>
        <v>0</v>
      </c>
      <c r="T46" s="797"/>
      <c r="U46" s="797"/>
      <c r="V46" s="798"/>
      <c r="W46" s="789">
        <f>_xlfn.IFERROR(IF(N46='Suppl'!$E$65,0,IF(N46='Suppl'!$E$66,1/2/(_xlfn.COUNTIFS($N1:$N100,"Exigences"&amp;"*")+_xlfn.COUNTIFS($N1:$N100,"Non"&amp;"*")),IF(N46='Suppl'!$E$67,1/(_xlfn.COUNTIFS($N1:$N100,"Exigences"&amp;"*")+_xlfn.COUNTIFS($N1:$N100,"Non"&amp;"*")),0))),0)</f>
        <v>0</v>
      </c>
      <c r="X46" s="586"/>
      <c r="Y46" s="586"/>
      <c r="Z46" s="586"/>
      <c r="AA46" s="586"/>
      <c r="AB46" s="586"/>
      <c r="AC46" s="586"/>
      <c r="AD46" s="586"/>
      <c r="AE46" s="586"/>
      <c r="AF46" s="586"/>
      <c r="AG46" s="586"/>
      <c r="AH46" s="505"/>
      <c r="AI46" s="586"/>
      <c r="AJ46" s="25"/>
      <c r="AK46" s="25"/>
      <c r="AL46" s="25"/>
      <c r="AM46" s="25"/>
      <c r="AN46" s="25"/>
      <c r="AO46" s="25"/>
      <c r="AP46" s="25"/>
      <c r="AQ46" s="25"/>
      <c r="AR46" s="25"/>
      <c r="AS46" s="25"/>
      <c r="AT46" s="25"/>
      <c r="AU46" s="25"/>
      <c r="AV46" s="25"/>
      <c r="AW46" s="25"/>
      <c r="AX46" s="25"/>
      <c r="AY46" s="25"/>
      <c r="AZ46" s="25"/>
      <c r="BA46" s="25"/>
      <c r="BB46" s="25"/>
      <c r="BC46" s="25"/>
      <c r="BD46" s="25"/>
      <c r="BE46" s="25"/>
      <c r="BF46" s="823"/>
    </row>
    <row r="47" ht="41.4" customHeight="1">
      <c r="A47" s="504"/>
      <c r="B47" s="753"/>
      <c r="C47" t="s" s="754">
        <f>IF(LEFT(RIGHT($B$1,2),1)=" ",RIGHT($B$1,1),RIGHT($B$1,2))</f>
        <v>1913</v>
      </c>
      <c r="D47" s="755">
        <f>IF(LEFT(F47,5)="Bonne",D45+1,D46)</f>
        <v>3</v>
      </c>
      <c r="E47" t="s" s="806">
        <f>C47&amp;D47&amp;RIGHT(F47,1)</f>
        <v>1935</v>
      </c>
      <c r="F47" t="s" s="779">
        <v>1774</v>
      </c>
      <c r="G47" t="s" s="780">
        <f>VLOOKUP(E47,'BDD'!$A$2:$N$567,MATCH(G$24,'BDD'!$A$1:$P$1,0),FALSE)</f>
        <v>561</v>
      </c>
      <c r="H47" t="s" s="799">
        <f>IF(VLOOKUP($E47,'BDD'!$A$2:$N$567,MATCH($H$23,'BDD'!$A$1:$P$1,0),FALSE)=H$24,H$24,"")</f>
      </c>
      <c r="I47" t="s" s="792">
        <f>IF(VLOOKUP($E47,'BDD'!$A$2:$N$567,MATCH($H$23,'BDD'!$A$1:$P$1,0),FALSE)=I$24,I$24,"")</f>
      </c>
      <c r="J47" t="s" s="792">
        <f>IF(VLOOKUP($E47,'BDD'!$A$2:$N$567,MATCH($H$23,'BDD'!$A$1:$P$1,0),FALSE)=J$24,J$24,"")</f>
        <v>1967</v>
      </c>
      <c r="K47" t="s" s="792">
        <f>IF(VLOOKUP($E47,'BDD'!$A$2:$N$567,MATCH($H$23,'BDD'!$A$1:$P$1,0),FALSE)=K$24,K$24,"")</f>
      </c>
      <c r="L47" t="s" s="783">
        <f>IF(VLOOKUP($E47,'BDD'!$A$2:$N$567,MATCH($H$23,'BDD'!$A$1:$P$1,0),FALSE)=L$24,L$24,"")</f>
      </c>
      <c r="M47" s="800">
        <f>IF(N47="Exigences partiellement respectées",1,IF(N47="Exigences respectées",2,0))</f>
        <v>0</v>
      </c>
      <c r="N47" t="s" s="780">
        <f>VLOOKUP(VLOOKUP(E47,'BDD'!$A$2:$P$428,15,FALSE),'Suppl'!$D$64:$E$68,2,FALSE)</f>
        <v>1751</v>
      </c>
      <c r="O47" s="801"/>
      <c r="P47" s="802"/>
      <c r="Q47" s="802"/>
      <c r="R47" s="802"/>
      <c r="S47" s="803">
        <f>IF(N47='Suppl'!$E$65,0,IF(N47='Suppl'!$E$66,1/2/(_xlfn.COUNTIFS($D1:$D100,D47,$N1:$N100,"Exigences"&amp;"*")+_xlfn.COUNTIFS($D1:$D100,D47,$N1:$N100,"Non"&amp;"*")),IF(N47='Suppl'!$E$67,1/(_xlfn.COUNTIFS($D1:$D100,D47,$N1:$N100,"Exigences"&amp;"*")+_xlfn.COUNTIFS($D1:$D100,D47,$N1:$N100,"Non"&amp;"*")),0)))</f>
        <v>0</v>
      </c>
      <c r="T47" s="803"/>
      <c r="U47" s="803"/>
      <c r="V47" s="804"/>
      <c r="W47" s="789">
        <f>_xlfn.IFERROR(IF(N47='Suppl'!$E$65,0,IF(N47='Suppl'!$E$66,1/2/(_xlfn.COUNTIFS($N1:$N100,"Exigences"&amp;"*")+_xlfn.COUNTIFS($N1:$N100,"Non"&amp;"*")),IF(N47='Suppl'!$E$67,1/(_xlfn.COUNTIFS($N1:$N100,"Exigences"&amp;"*")+_xlfn.COUNTIFS($N1:$N100,"Non"&amp;"*")),0))),0)</f>
        <v>0</v>
      </c>
      <c r="X47" s="586"/>
      <c r="Y47" s="586"/>
      <c r="Z47" s="586"/>
      <c r="AA47" s="586"/>
      <c r="AB47" s="586"/>
      <c r="AC47" s="586"/>
      <c r="AD47" s="586"/>
      <c r="AE47" s="586"/>
      <c r="AF47" s="586"/>
      <c r="AG47" s="586"/>
      <c r="AH47" s="505"/>
      <c r="AI47" s="586"/>
      <c r="AJ47" s="25"/>
      <c r="AK47" s="25"/>
      <c r="AL47" s="25"/>
      <c r="AM47" s="25"/>
      <c r="AN47" s="25"/>
      <c r="AO47" s="25"/>
      <c r="AP47" s="25"/>
      <c r="AQ47" s="25"/>
      <c r="AR47" s="25"/>
      <c r="AS47" s="25"/>
      <c r="AT47" s="25"/>
      <c r="AU47" s="25"/>
      <c r="AV47" s="25"/>
      <c r="AW47" s="25"/>
      <c r="AX47" s="25"/>
      <c r="AY47" s="25"/>
      <c r="AZ47" s="25"/>
      <c r="BA47" s="25"/>
      <c r="BB47" s="25"/>
      <c r="BC47" s="25"/>
      <c r="BD47" s="25"/>
      <c r="BE47" s="25"/>
      <c r="BF47" s="823"/>
    </row>
    <row r="48" ht="30" customHeight="1">
      <c r="A48" s="504"/>
      <c r="B48" s="753"/>
      <c r="C48" t="s" s="754">
        <f>IF(LEFT(RIGHT($B$1,2),1)=" ",RIGHT($B$1,1),RIGHT($B$1,2))</f>
        <v>1913</v>
      </c>
      <c r="D48" s="755">
        <v>4</v>
      </c>
      <c r="E48" s="807"/>
      <c r="F48" t="s" s="757">
        <v>1806</v>
      </c>
      <c r="G48" t="s" s="758">
        <f>VLOOKUP(E50,'BDD'!$A$2:$N$567,6,FALSE)</f>
        <v>566</v>
      </c>
      <c r="H48" s="759"/>
      <c r="I48" s="760"/>
      <c r="J48" s="760"/>
      <c r="K48" s="760"/>
      <c r="L48" s="761"/>
      <c r="M48" s="762"/>
      <c r="N48" s="763"/>
      <c r="O48" s="764">
        <v>0</v>
      </c>
      <c r="P48" s="764"/>
      <c r="Q48" s="764"/>
      <c r="R48" s="764"/>
      <c r="S48" s="765">
        <f>_xlfn.SUMIFS(S1:S100,$D1:$D100,D48,$N1:$N100,"Exigences"&amp;"*")</f>
      </c>
      <c r="T48" s="765"/>
      <c r="U48" s="765"/>
      <c r="V48" s="766"/>
      <c r="W48" s="789">
        <f>_xlfn.IFERROR(IF(N48='Suppl'!$E$65,0,IF(N48='Suppl'!$E$66,1/2/(_xlfn.COUNTIFS($N1:$N100,"Exigences"&amp;"*")+_xlfn.COUNTIFS($N1:$N100,"Non"&amp;"*")),IF(N48='Suppl'!$E$67,1/(_xlfn.COUNTIFS($N1:$N100,"Exigences"&amp;"*")+_xlfn.COUNTIFS($N1:$N100,"Non"&amp;"*")),0))),0)</f>
        <v>0</v>
      </c>
      <c r="X48" s="586"/>
      <c r="Y48" s="586"/>
      <c r="Z48" s="586"/>
      <c r="AA48" s="586"/>
      <c r="AB48" s="586"/>
      <c r="AC48" s="586"/>
      <c r="AD48" s="586"/>
      <c r="AE48" s="586"/>
      <c r="AF48" s="586"/>
      <c r="AG48" s="586"/>
      <c r="AH48" s="505"/>
      <c r="AI48" s="586"/>
      <c r="AJ48" s="25"/>
      <c r="AK48" s="25"/>
      <c r="AL48" s="25"/>
      <c r="AM48" s="25"/>
      <c r="AN48" s="25"/>
      <c r="AO48" s="25"/>
      <c r="AP48" s="25"/>
      <c r="AQ48" s="25"/>
      <c r="AR48" s="25"/>
      <c r="AS48" s="25"/>
      <c r="AT48" s="25"/>
      <c r="AU48" s="25"/>
      <c r="AV48" s="25"/>
      <c r="AW48" s="25"/>
      <c r="AX48" s="25"/>
      <c r="AY48" s="25"/>
      <c r="AZ48" s="25"/>
      <c r="BA48" s="25"/>
      <c r="BB48" s="25"/>
      <c r="BC48" s="25"/>
      <c r="BD48" s="25"/>
      <c r="BE48" s="25"/>
      <c r="BF48" s="823"/>
    </row>
    <row r="49" ht="30" customHeight="1">
      <c r="A49" s="504"/>
      <c r="B49" s="753"/>
      <c r="C49" t="s" s="754">
        <f>IF(LEFT(RIGHT($B$1,2),1)=" ",RIGHT($B$1,1),RIGHT($B$1,2))</f>
        <v>1913</v>
      </c>
      <c r="D49" s="755">
        <v>4</v>
      </c>
      <c r="E49" s="808"/>
      <c r="F49" t="s" s="769">
        <v>1835</v>
      </c>
      <c r="G49" t="s" s="770">
        <f>VLOOKUP(E51,'BDD'!$A$2:$N$567,7,FALSE)</f>
        <v>1973</v>
      </c>
      <c r="H49" s="771"/>
      <c r="I49" s="771"/>
      <c r="J49" s="771"/>
      <c r="K49" s="771"/>
      <c r="L49" s="772"/>
      <c r="M49" s="773"/>
      <c r="N49" s="774"/>
      <c r="O49" s="775"/>
      <c r="P49" s="775"/>
      <c r="Q49" s="775"/>
      <c r="R49" s="775"/>
      <c r="S49" s="776"/>
      <c r="T49" s="776"/>
      <c r="U49" s="776"/>
      <c r="V49" s="777"/>
      <c r="W49" s="789">
        <f>_xlfn.IFERROR(IF(N49='Suppl'!$E$65,0,IF(N49='Suppl'!$E$66,1/2/(_xlfn.COUNTIFS($N1:$N100,"Exigences"&amp;"*")+_xlfn.COUNTIFS($N1:$N100,"Non"&amp;"*")),IF(N49='Suppl'!$E$67,1/(_xlfn.COUNTIFS($N1:$N100,"Exigences"&amp;"*")+_xlfn.COUNTIFS($N1:$N100,"Non"&amp;"*")),0))),0)</f>
        <v>0</v>
      </c>
      <c r="X49" s="586"/>
      <c r="Y49" s="586"/>
      <c r="Z49" s="586"/>
      <c r="AA49" s="586"/>
      <c r="AB49" s="586"/>
      <c r="AC49" s="586"/>
      <c r="AD49" s="586"/>
      <c r="AE49" s="586"/>
      <c r="AF49" s="586"/>
      <c r="AG49" s="586"/>
      <c r="AH49" s="505"/>
      <c r="AI49" s="586"/>
      <c r="AJ49" s="25"/>
      <c r="AK49" s="25"/>
      <c r="AL49" s="25"/>
      <c r="AM49" s="25"/>
      <c r="AN49" s="25"/>
      <c r="AO49" s="25"/>
      <c r="AP49" s="25"/>
      <c r="AQ49" s="25"/>
      <c r="AR49" s="25"/>
      <c r="AS49" s="25"/>
      <c r="AT49" s="25"/>
      <c r="AU49" s="25"/>
      <c r="AV49" s="25"/>
      <c r="AW49" s="25"/>
      <c r="AX49" s="25"/>
      <c r="AY49" s="25"/>
      <c r="AZ49" s="25"/>
      <c r="BA49" s="25"/>
      <c r="BB49" s="25"/>
      <c r="BC49" s="25"/>
      <c r="BD49" s="25"/>
      <c r="BE49" s="25"/>
      <c r="BF49" s="823"/>
    </row>
    <row r="50" ht="30" customHeight="1">
      <c r="A50" s="504"/>
      <c r="B50" s="753"/>
      <c r="C50" t="s" s="754">
        <f>IF(LEFT(RIGHT($B$1,2),1)=" ",RIGHT($B$1,1),RIGHT($B$1,2))</f>
        <v>1913</v>
      </c>
      <c r="D50" s="755">
        <f>IF(LEFT(F50,5)="Bonne",D48+1,D49)</f>
        <v>4</v>
      </c>
      <c r="E50" t="s" s="812">
        <f>C50&amp;D50&amp;RIGHT(F50,1)</f>
        <v>1947</v>
      </c>
      <c r="F50" t="s" s="779">
        <v>1769</v>
      </c>
      <c r="G50" t="s" s="780">
        <f>VLOOKUP(E50,'BDD'!$A$2:$N$567,MATCH(G$24,'BDD'!$A$1:$P$1,0),FALSE)</f>
        <v>568</v>
      </c>
      <c r="H50" t="s" s="799">
        <f>IF(VLOOKUP($E50,'BDD'!$A$2:$N$567,MATCH($H$23,'BDD'!$A$1:$P$1,0),FALSE)=H$24,H$24,"")</f>
        <v>1966</v>
      </c>
      <c r="I50" t="s" s="792">
        <f>IF(VLOOKUP($E50,'BDD'!$A$2:$N$567,MATCH($H$23,'BDD'!$A$1:$P$1,0),FALSE)=I$24,I$24,"")</f>
      </c>
      <c r="J50" t="s" s="792">
        <f>IF(VLOOKUP($E50,'BDD'!$A$2:$N$567,MATCH($H$23,'BDD'!$A$1:$P$1,0),FALSE)=J$24,J$24,"")</f>
      </c>
      <c r="K50" t="s" s="792">
        <f>IF(VLOOKUP($E50,'BDD'!$A$2:$N$567,MATCH($H$23,'BDD'!$A$1:$P$1,0),FALSE)=K$24,K$24,"")</f>
      </c>
      <c r="L50" t="s" s="783">
        <f>IF(VLOOKUP($E50,'BDD'!$A$2:$N$567,MATCH($H$23,'BDD'!$A$1:$P$1,0),FALSE)=L$24,L$24,"")</f>
      </c>
      <c r="M50" s="784">
        <f>IF(N50="Exigences partiellement respectées",1,IF(N50="Exigences respectées",2,0))</f>
        <v>0</v>
      </c>
      <c r="N50" t="s" s="780">
        <f>VLOOKUP(VLOOKUP(E50,'BDD'!$A$2:$P$428,15,FALSE),'Suppl'!$D$64:$E$68,2,FALSE)</f>
        <v>1751</v>
      </c>
      <c r="O50" s="785"/>
      <c r="P50" s="786"/>
      <c r="Q50" s="786"/>
      <c r="R50" s="786"/>
      <c r="S50" s="787">
        <f>IF(N50='Suppl'!$E$65,0,IF(N50='Suppl'!$E$66,1/2/(_xlfn.COUNTIFS($D1:$D100,D50,$N1:$N100,"Exigences"&amp;"*")+_xlfn.COUNTIFS($D1:$D100,D50,$N1:$N100,"Non"&amp;"*")),IF(N50='Suppl'!$E$67,1/(_xlfn.COUNTIFS($D1:$D100,D50,$N1:$N100,"Exigences"&amp;"*")+_xlfn.COUNTIFS($D1:$D100,D50,$N1:$N100,"Non"&amp;"*")),0)))</f>
        <v>0</v>
      </c>
      <c r="T50" s="787"/>
      <c r="U50" s="787"/>
      <c r="V50" s="788"/>
      <c r="W50" s="789">
        <f>_xlfn.IFERROR(IF(N50='Suppl'!$E$65,0,IF(N50='Suppl'!$E$66,1/2/(_xlfn.COUNTIFS($N1:$N100,"Exigences"&amp;"*")+_xlfn.COUNTIFS($N1:$N100,"Non"&amp;"*")),IF(N50='Suppl'!$E$67,1/(_xlfn.COUNTIFS($N1:$N100,"Exigences"&amp;"*")+_xlfn.COUNTIFS($N1:$N100,"Non"&amp;"*")),0))),0)</f>
        <v>0</v>
      </c>
      <c r="X50" s="586"/>
      <c r="Y50" s="586"/>
      <c r="Z50" s="586"/>
      <c r="AA50" s="586"/>
      <c r="AB50" s="586"/>
      <c r="AC50" s="586"/>
      <c r="AD50" s="586"/>
      <c r="AE50" s="586"/>
      <c r="AF50" s="586"/>
      <c r="AG50" s="586"/>
      <c r="AH50" s="505"/>
      <c r="AI50" s="586"/>
      <c r="AJ50" s="25"/>
      <c r="AK50" s="25"/>
      <c r="AL50" s="25"/>
      <c r="AM50" s="25"/>
      <c r="AN50" s="25"/>
      <c r="AO50" s="25"/>
      <c r="AP50" s="25"/>
      <c r="AQ50" s="25"/>
      <c r="AR50" s="25"/>
      <c r="AS50" s="25"/>
      <c r="AT50" s="25"/>
      <c r="AU50" s="25"/>
      <c r="AV50" s="25"/>
      <c r="AW50" s="25"/>
      <c r="AX50" s="25"/>
      <c r="AY50" s="25"/>
      <c r="AZ50" s="25"/>
      <c r="BA50" s="25"/>
      <c r="BB50" s="25"/>
      <c r="BC50" s="25"/>
      <c r="BD50" s="25"/>
      <c r="BE50" s="25"/>
      <c r="BF50" s="823"/>
    </row>
    <row r="51" ht="41.4" customHeight="1">
      <c r="A51" s="504"/>
      <c r="B51" s="753"/>
      <c r="C51" t="s" s="754">
        <f>IF(LEFT(RIGHT($B$1,2),1)=" ",RIGHT($B$1,1),RIGHT($B$1,2))</f>
        <v>1913</v>
      </c>
      <c r="D51" s="755">
        <f>IF(LEFT(F51,5)="Bonne",D49+1,D50)</f>
        <v>4</v>
      </c>
      <c r="E51" t="s" s="778">
        <f>C51&amp;D51&amp;RIGHT(F51,1)</f>
        <v>1948</v>
      </c>
      <c r="F51" t="s" s="790">
        <v>1837</v>
      </c>
      <c r="G51" t="s" s="791">
        <f>VLOOKUP(E51,'BDD'!$A$2:$N$567,MATCH(G$24,'BDD'!$A$1:$P$1,0),FALSE)</f>
        <v>570</v>
      </c>
      <c r="H51" t="s" s="799">
        <f>IF(VLOOKUP($E51,'BDD'!$A$2:$N$567,MATCH($H$23,'BDD'!$A$1:$P$1,0),FALSE)=H$24,H$24,"")</f>
        <v>1966</v>
      </c>
      <c r="I51" t="s" s="792">
        <f>IF(VLOOKUP($E51,'BDD'!$A$2:$N$567,MATCH($H$23,'BDD'!$A$1:$P$1,0),FALSE)=I$24,I$24,"")</f>
      </c>
      <c r="J51" t="s" s="792">
        <f>IF(VLOOKUP($E51,'BDD'!$A$2:$N$567,MATCH($H$23,'BDD'!$A$1:$P$1,0),FALSE)=J$24,J$24,"")</f>
      </c>
      <c r="K51" t="s" s="792">
        <f>IF(VLOOKUP($E51,'BDD'!$A$2:$N$567,MATCH($H$23,'BDD'!$A$1:$P$1,0),FALSE)=K$24,K$24,"")</f>
      </c>
      <c r="L51" t="s" s="783">
        <f>IF(VLOOKUP($E51,'BDD'!$A$2:$N$567,MATCH($H$23,'BDD'!$A$1:$P$1,0),FALSE)=L$24,L$24,"")</f>
      </c>
      <c r="M51" s="794">
        <f>IF(N51="Exigences partiellement respectées",1,IF(N51="Exigences respectées",2,0))</f>
        <v>0</v>
      </c>
      <c r="N51" t="s" s="791">
        <f>VLOOKUP(VLOOKUP(E51,'BDD'!$A$2:$P$428,15,FALSE),'Suppl'!$D$64:$E$68,2,FALSE)</f>
        <v>1751</v>
      </c>
      <c r="O51" s="795"/>
      <c r="P51" s="796"/>
      <c r="Q51" s="796"/>
      <c r="R51" s="796"/>
      <c r="S51" s="797">
        <f>IF(N51='Suppl'!$E$65,0,IF(N51='Suppl'!$E$66,1/2/(_xlfn.COUNTIFS($D1:$D100,D51,$N1:$N100,"Exigences"&amp;"*")+_xlfn.COUNTIFS($D1:$D100,D51,$N1:$N100,"Non"&amp;"*")),IF(N51='Suppl'!$E$67,1/(_xlfn.COUNTIFS($D1:$D100,D51,$N1:$N100,"Exigences"&amp;"*")+_xlfn.COUNTIFS($D1:$D100,D51,$N1:$N100,"Non"&amp;"*")),0)))</f>
        <v>0</v>
      </c>
      <c r="T51" s="797"/>
      <c r="U51" s="797"/>
      <c r="V51" s="798"/>
      <c r="W51" s="789">
        <f>_xlfn.IFERROR(IF(N51='Suppl'!$E$65,0,IF(N51='Suppl'!$E$66,1/2/(_xlfn.COUNTIFS($N1:$N100,"Exigences"&amp;"*")+_xlfn.COUNTIFS($N1:$N100,"Non"&amp;"*")),IF(N51='Suppl'!$E$67,1/(_xlfn.COUNTIFS($N1:$N100,"Exigences"&amp;"*")+_xlfn.COUNTIFS($N1:$N100,"Non"&amp;"*")),0))),0)</f>
        <v>0</v>
      </c>
      <c r="X51" s="586"/>
      <c r="Y51" s="586"/>
      <c r="Z51" s="586"/>
      <c r="AA51" s="586"/>
      <c r="AB51" s="586"/>
      <c r="AC51" s="586"/>
      <c r="AD51" s="586"/>
      <c r="AE51" s="586"/>
      <c r="AF51" s="586"/>
      <c r="AG51" s="586"/>
      <c r="AH51" s="505"/>
      <c r="AI51" s="586"/>
      <c r="AJ51" s="25"/>
      <c r="AK51" s="25"/>
      <c r="AL51" s="25"/>
      <c r="AM51" s="25"/>
      <c r="AN51" s="25"/>
      <c r="AO51" s="25"/>
      <c r="AP51" s="25"/>
      <c r="AQ51" s="25"/>
      <c r="AR51" s="25"/>
      <c r="AS51" s="25"/>
      <c r="AT51" s="25"/>
      <c r="AU51" s="25"/>
      <c r="AV51" s="25"/>
      <c r="AW51" s="25"/>
      <c r="AX51" s="25"/>
      <c r="AY51" s="25"/>
      <c r="AZ51" s="25"/>
      <c r="BA51" s="25"/>
      <c r="BB51" s="25"/>
      <c r="BC51" s="25"/>
      <c r="BD51" s="25"/>
      <c r="BE51" s="25"/>
      <c r="BF51" s="823"/>
    </row>
    <row r="52" ht="59.4" customHeight="1">
      <c r="A52" s="504"/>
      <c r="B52" s="753"/>
      <c r="C52" t="s" s="754">
        <f>IF(LEFT(RIGHT($B$1,2),1)=" ",RIGHT($B$1,1),RIGHT($B$1,2))</f>
        <v>1913</v>
      </c>
      <c r="D52" s="755">
        <f>IF(LEFT(F52,5)="Bonne",D50+1,D51)</f>
        <v>4</v>
      </c>
      <c r="E52" t="s" s="778">
        <f>C52&amp;D52&amp;RIGHT(F52,1)</f>
        <v>1949</v>
      </c>
      <c r="F52" t="s" s="779">
        <v>1774</v>
      </c>
      <c r="G52" t="s" s="780">
        <f>VLOOKUP(E52,'BDD'!$A$2:$N$567,MATCH(G$24,'BDD'!$A$1:$P$1,0),FALSE)</f>
        <v>573</v>
      </c>
      <c r="H52" t="s" s="799">
        <f>IF(VLOOKUP($E52,'BDD'!$A$2:$N$567,MATCH($H$23,'BDD'!$A$1:$P$1,0),FALSE)=H$24,H$24,"")</f>
        <v>1966</v>
      </c>
      <c r="I52" t="s" s="792">
        <f>IF(VLOOKUP($E52,'BDD'!$A$2:$N$567,MATCH($H$23,'BDD'!$A$1:$P$1,0),FALSE)=I$24,I$24,"")</f>
      </c>
      <c r="J52" t="s" s="792">
        <f>IF(VLOOKUP($E52,'BDD'!$A$2:$N$567,MATCH($H$23,'BDD'!$A$1:$P$1,0),FALSE)=J$24,J$24,"")</f>
      </c>
      <c r="K52" t="s" s="792">
        <f>IF(VLOOKUP($E52,'BDD'!$A$2:$N$567,MATCH($H$23,'BDD'!$A$1:$P$1,0),FALSE)=K$24,K$24,"")</f>
      </c>
      <c r="L52" t="s" s="783">
        <f>IF(VLOOKUP($E52,'BDD'!$A$2:$N$567,MATCH($H$23,'BDD'!$A$1:$P$1,0),FALSE)=L$24,L$24,"")</f>
      </c>
      <c r="M52" s="794">
        <f>IF(N52="Exigences partiellement respectées",1,IF(N52="Exigences respectées",2,0))</f>
        <v>0</v>
      </c>
      <c r="N52" t="s" s="780">
        <f>VLOOKUP(VLOOKUP(E52,'BDD'!$A$2:$P$428,15,FALSE),'Suppl'!$D$64:$E$68,2,FALSE)</f>
        <v>1751</v>
      </c>
      <c r="O52" s="795"/>
      <c r="P52" s="796"/>
      <c r="Q52" s="796"/>
      <c r="R52" s="796"/>
      <c r="S52" s="797">
        <f>IF(N52='Suppl'!$E$65,0,IF(N52='Suppl'!$E$66,1/2/(_xlfn.COUNTIFS($D1:$D100,D52,$N1:$N100,"Exigences"&amp;"*")+_xlfn.COUNTIFS($D1:$D100,D52,$N1:$N100,"Non"&amp;"*")),IF(N52='Suppl'!$E$67,1/(_xlfn.COUNTIFS($D1:$D100,D52,$N1:$N100,"Exigences"&amp;"*")+_xlfn.COUNTIFS($D1:$D100,D52,$N1:$N100,"Non"&amp;"*")),0)))</f>
        <v>0</v>
      </c>
      <c r="T52" s="797"/>
      <c r="U52" s="797"/>
      <c r="V52" s="798"/>
      <c r="W52" s="789">
        <f>_xlfn.IFERROR(IF(N52='Suppl'!$E$65,0,IF(N52='Suppl'!$E$66,1/2/(_xlfn.COUNTIFS($N1:$N100,"Exigences"&amp;"*")+_xlfn.COUNTIFS($N1:$N100,"Non"&amp;"*")),IF(N52='Suppl'!$E$67,1/(_xlfn.COUNTIFS($N1:$N100,"Exigences"&amp;"*")+_xlfn.COUNTIFS($N1:$N100,"Non"&amp;"*")),0))),0)</f>
        <v>0</v>
      </c>
      <c r="X52" s="586"/>
      <c r="Y52" s="586"/>
      <c r="Z52" s="586"/>
      <c r="AA52" s="586"/>
      <c r="AB52" s="586"/>
      <c r="AC52" s="586"/>
      <c r="AD52" s="586"/>
      <c r="AE52" s="586"/>
      <c r="AF52" s="586"/>
      <c r="AG52" s="586"/>
      <c r="AH52" s="505"/>
      <c r="AI52" s="586"/>
      <c r="AJ52" s="25"/>
      <c r="AK52" s="25"/>
      <c r="AL52" s="25"/>
      <c r="AM52" s="25"/>
      <c r="AN52" s="25"/>
      <c r="AO52" s="25"/>
      <c r="AP52" s="25"/>
      <c r="AQ52" s="25"/>
      <c r="AR52" s="25"/>
      <c r="AS52" s="25"/>
      <c r="AT52" s="25"/>
      <c r="AU52" s="25"/>
      <c r="AV52" s="25"/>
      <c r="AW52" s="25"/>
      <c r="AX52" s="25"/>
      <c r="AY52" s="25"/>
      <c r="AZ52" s="25"/>
      <c r="BA52" s="25"/>
      <c r="BB52" s="25"/>
      <c r="BC52" s="25"/>
      <c r="BD52" s="25"/>
      <c r="BE52" s="25"/>
      <c r="BF52" s="823"/>
    </row>
    <row r="53" ht="30" customHeight="1">
      <c r="A53" s="504"/>
      <c r="B53" s="753"/>
      <c r="C53" t="s" s="754">
        <f>IF(LEFT(RIGHT($B$1,2),1)=" ",RIGHT($B$1,1),RIGHT($B$1,2))</f>
        <v>1913</v>
      </c>
      <c r="D53" s="755">
        <f>IF(LEFT(F53,5)="Bonne",D51+1,D52)</f>
        <v>4</v>
      </c>
      <c r="E53" t="s" s="778">
        <f>C53&amp;D53&amp;RIGHT(F53,1)</f>
        <v>1945</v>
      </c>
      <c r="F53" t="s" s="790">
        <v>1776</v>
      </c>
      <c r="G53" t="s" s="791">
        <f>VLOOKUP(E53,'BDD'!$A$2:$N$567,MATCH(G$24,'BDD'!$A$1:$P$1,0),FALSE)</f>
        <v>576</v>
      </c>
      <c r="H53" t="s" s="799">
        <f>IF(VLOOKUP($E53,'BDD'!$A$2:$N$567,MATCH($H$23,'BDD'!$A$1:$P$1,0),FALSE)=H$24,H$24,"")</f>
      </c>
      <c r="I53" t="s" s="792">
        <f>IF(VLOOKUP($E53,'BDD'!$A$2:$N$567,MATCH($H$23,'BDD'!$A$1:$P$1,0),FALSE)=I$24,I$24,"")</f>
        <v>1969</v>
      </c>
      <c r="J53" t="s" s="792">
        <f>IF(VLOOKUP($E53,'BDD'!$A$2:$N$567,MATCH($H$23,'BDD'!$A$1:$P$1,0),FALSE)=J$24,J$24,"")</f>
      </c>
      <c r="K53" t="s" s="792">
        <f>IF(VLOOKUP($E53,'BDD'!$A$2:$N$567,MATCH($H$23,'BDD'!$A$1:$P$1,0),FALSE)=K$24,K$24,"")</f>
      </c>
      <c r="L53" t="s" s="783">
        <f>IF(VLOOKUP($E53,'BDD'!$A$2:$N$567,MATCH($H$23,'BDD'!$A$1:$P$1,0),FALSE)=L$24,L$24,"")</f>
      </c>
      <c r="M53" s="794">
        <f>IF(N53="Exigences partiellement respectées",1,IF(N53="Exigences respectées",2,0))</f>
        <v>0</v>
      </c>
      <c r="N53" t="s" s="791">
        <f>VLOOKUP(VLOOKUP(E53,'BDD'!$A$2:$P$428,15,FALSE),'Suppl'!$D$64:$E$68,2,FALSE)</f>
        <v>1751</v>
      </c>
      <c r="O53" s="795"/>
      <c r="P53" s="796"/>
      <c r="Q53" s="796"/>
      <c r="R53" s="796"/>
      <c r="S53" s="797">
        <f>IF(N53='Suppl'!$E$65,0,IF(N53='Suppl'!$E$66,1/2/(_xlfn.COUNTIFS($D1:$D100,D53,$N1:$N100,"Exigences"&amp;"*")+_xlfn.COUNTIFS($D1:$D100,D53,$N1:$N100,"Non"&amp;"*")),IF(N53='Suppl'!$E$67,1/(_xlfn.COUNTIFS($D1:$D100,D53,$N1:$N100,"Exigences"&amp;"*")+_xlfn.COUNTIFS($D1:$D100,D53,$N1:$N100,"Non"&amp;"*")),0)))</f>
        <v>0</v>
      </c>
      <c r="T53" s="797"/>
      <c r="U53" s="797"/>
      <c r="V53" s="798"/>
      <c r="W53" s="789">
        <f>_xlfn.IFERROR(IF(N53='Suppl'!$E$65,0,IF(N53='Suppl'!$E$66,1/2/(_xlfn.COUNTIFS($N1:$N100,"Exigences"&amp;"*")+_xlfn.COUNTIFS($N1:$N100,"Non"&amp;"*")),IF(N53='Suppl'!$E$67,1/(_xlfn.COUNTIFS($N1:$N100,"Exigences"&amp;"*")+_xlfn.COUNTIFS($N1:$N100,"Non"&amp;"*")),0))),0)</f>
        <v>0</v>
      </c>
      <c r="X53" s="586"/>
      <c r="Y53" s="586"/>
      <c r="Z53" s="586"/>
      <c r="AA53" s="586"/>
      <c r="AB53" s="586"/>
      <c r="AC53" s="586"/>
      <c r="AD53" s="586"/>
      <c r="AE53" s="586"/>
      <c r="AF53" s="586"/>
      <c r="AG53" s="586"/>
      <c r="AH53" s="505"/>
      <c r="AI53" s="586"/>
      <c r="AJ53" s="25"/>
      <c r="AK53" s="25"/>
      <c r="AL53" s="25"/>
      <c r="AM53" s="25"/>
      <c r="AN53" s="25"/>
      <c r="AO53" s="25"/>
      <c r="AP53" s="25"/>
      <c r="AQ53" s="25"/>
      <c r="AR53" s="25"/>
      <c r="AS53" s="25"/>
      <c r="AT53" s="25"/>
      <c r="AU53" s="25"/>
      <c r="AV53" s="25"/>
      <c r="AW53" s="25"/>
      <c r="AX53" s="25"/>
      <c r="AY53" s="25"/>
      <c r="AZ53" s="25"/>
      <c r="BA53" s="25"/>
      <c r="BB53" s="25"/>
      <c r="BC53" s="25"/>
      <c r="BD53" s="25"/>
      <c r="BE53" s="25"/>
      <c r="BF53" s="823"/>
    </row>
    <row r="54" ht="30" customHeight="1">
      <c r="A54" s="504"/>
      <c r="B54" s="753"/>
      <c r="C54" t="s" s="754">
        <f>IF(LEFT(RIGHT($B$1,2),1)=" ",RIGHT($B$1,1),RIGHT($B$1,2))</f>
        <v>1913</v>
      </c>
      <c r="D54" s="755">
        <f>IF(LEFT(F54,5)="Bonne",D52+1,D53)</f>
        <v>4</v>
      </c>
      <c r="E54" t="s" s="778">
        <f>C54&amp;D54&amp;RIGHT(F54,1)</f>
        <v>1950</v>
      </c>
      <c r="F54" t="s" s="779">
        <v>1778</v>
      </c>
      <c r="G54" t="s" s="780">
        <f>VLOOKUP(E54,'BDD'!$A$2:$N$567,MATCH(G$24,'BDD'!$A$1:$P$1,0),FALSE)</f>
        <v>579</v>
      </c>
      <c r="H54" t="s" s="799">
        <f>IF(VLOOKUP($E54,'BDD'!$A$2:$N$567,MATCH($H$23,'BDD'!$A$1:$P$1,0),FALSE)=H$24,H$24,"")</f>
      </c>
      <c r="I54" t="s" s="792">
        <f>IF(VLOOKUP($E54,'BDD'!$A$2:$N$567,MATCH($H$23,'BDD'!$A$1:$P$1,0),FALSE)=I$24,I$24,"")</f>
      </c>
      <c r="J54" t="s" s="792">
        <f>IF(VLOOKUP($E54,'BDD'!$A$2:$N$567,MATCH($H$23,'BDD'!$A$1:$P$1,0),FALSE)=J$24,J$24,"")</f>
      </c>
      <c r="K54" t="s" s="792">
        <f>IF(VLOOKUP($E54,'BDD'!$A$2:$N$567,MATCH($H$23,'BDD'!$A$1:$P$1,0),FALSE)=K$24,K$24,"")</f>
        <v>1968</v>
      </c>
      <c r="L54" t="s" s="783">
        <f>IF(VLOOKUP($E54,'BDD'!$A$2:$N$567,MATCH($H$23,'BDD'!$A$1:$P$1,0),FALSE)=L$24,L$24,"")</f>
      </c>
      <c r="M54" s="794">
        <f>IF(N54="Exigences partiellement respectées",1,IF(N54="Exigences respectées",2,0))</f>
        <v>0</v>
      </c>
      <c r="N54" t="s" s="780">
        <f>VLOOKUP(VLOOKUP(E54,'BDD'!$A$2:$P$428,15,FALSE),'Suppl'!$D$64:$E$68,2,FALSE)</f>
        <v>1751</v>
      </c>
      <c r="O54" s="795"/>
      <c r="P54" s="796"/>
      <c r="Q54" s="796"/>
      <c r="R54" s="796"/>
      <c r="S54" s="797">
        <f>IF(N54='Suppl'!$E$65,0,IF(N54='Suppl'!$E$66,1/2/(_xlfn.COUNTIFS($D1:$D100,D54,$N1:$N100,"Exigences"&amp;"*")+_xlfn.COUNTIFS($D1:$D100,D54,$N1:$N100,"Non"&amp;"*")),IF(N54='Suppl'!$E$67,1/(_xlfn.COUNTIFS($D1:$D100,D54,$N1:$N100,"Exigences"&amp;"*")+_xlfn.COUNTIFS($D1:$D100,D54,$N1:$N100,"Non"&amp;"*")),0)))</f>
        <v>0</v>
      </c>
      <c r="T54" s="797"/>
      <c r="U54" s="797"/>
      <c r="V54" s="798"/>
      <c r="W54" s="789">
        <f>_xlfn.IFERROR(IF(N54='Suppl'!$E$65,0,IF(N54='Suppl'!$E$66,1/2/(_xlfn.COUNTIFS($N1:$N100,"Exigences"&amp;"*")+_xlfn.COUNTIFS($N1:$N100,"Non"&amp;"*")),IF(N54='Suppl'!$E$67,1/(_xlfn.COUNTIFS($N1:$N100,"Exigences"&amp;"*")+_xlfn.COUNTIFS($N1:$N100,"Non"&amp;"*")),0))),0)</f>
        <v>0</v>
      </c>
      <c r="X54" s="586"/>
      <c r="Y54" s="586"/>
      <c r="Z54" s="586"/>
      <c r="AA54" s="586"/>
      <c r="AB54" s="586"/>
      <c r="AC54" s="586"/>
      <c r="AD54" s="586"/>
      <c r="AE54" s="586"/>
      <c r="AF54" s="586"/>
      <c r="AG54" s="586"/>
      <c r="AH54" s="505"/>
      <c r="AI54" s="586"/>
      <c r="AJ54" s="25"/>
      <c r="AK54" s="25"/>
      <c r="AL54" s="25"/>
      <c r="AM54" s="25"/>
      <c r="AN54" s="25"/>
      <c r="AO54" s="25"/>
      <c r="AP54" s="25"/>
      <c r="AQ54" s="25"/>
      <c r="AR54" s="25"/>
      <c r="AS54" s="25"/>
      <c r="AT54" s="25"/>
      <c r="AU54" s="25"/>
      <c r="AV54" s="25"/>
      <c r="AW54" s="25"/>
      <c r="AX54" s="25"/>
      <c r="AY54" s="25"/>
      <c r="AZ54" s="25"/>
      <c r="BA54" s="25"/>
      <c r="BB54" s="25"/>
      <c r="BC54" s="25"/>
      <c r="BD54" s="25"/>
      <c r="BE54" s="25"/>
      <c r="BF54" s="823"/>
    </row>
    <row r="55" ht="41.4" customHeight="1">
      <c r="A55" s="504"/>
      <c r="B55" s="753"/>
      <c r="C55" t="s" s="754">
        <f>IF(LEFT(RIGHT($B$1,2),1)=" ",RIGHT($B$1,1),RIGHT($B$1,2))</f>
        <v>1913</v>
      </c>
      <c r="D55" s="755">
        <f>IF(LEFT(F55,5)="Bonne",D53+1,D54)</f>
        <v>4</v>
      </c>
      <c r="E55" t="s" s="806">
        <f>C55&amp;D55&amp;RIGHT(F55,1)</f>
        <v>1951</v>
      </c>
      <c r="F55" t="s" s="790">
        <v>1780</v>
      </c>
      <c r="G55" t="s" s="791">
        <f>VLOOKUP(E55,'BDD'!$A$2:$N$567,MATCH(G$24,'BDD'!$A$1:$P$1,0),FALSE)</f>
        <v>581</v>
      </c>
      <c r="H55" t="s" s="799">
        <f>IF(VLOOKUP($E55,'BDD'!$A$2:$N$567,MATCH($H$23,'BDD'!$A$1:$P$1,0),FALSE)=H$24,H$24,"")</f>
      </c>
      <c r="I55" t="s" s="792">
        <f>IF(VLOOKUP($E55,'BDD'!$A$2:$N$567,MATCH($H$23,'BDD'!$A$1:$P$1,0),FALSE)=I$24,I$24,"")</f>
        <v>1969</v>
      </c>
      <c r="J55" t="s" s="792">
        <f>IF(VLOOKUP($E55,'BDD'!$A$2:$N$567,MATCH($H$23,'BDD'!$A$1:$P$1,0),FALSE)=J$24,J$24,"")</f>
      </c>
      <c r="K55" t="s" s="792">
        <f>IF(VLOOKUP($E55,'BDD'!$A$2:$N$567,MATCH($H$23,'BDD'!$A$1:$P$1,0),FALSE)=K$24,K$24,"")</f>
      </c>
      <c r="L55" t="s" s="783">
        <f>IF(VLOOKUP($E55,'BDD'!$A$2:$N$567,MATCH($H$23,'BDD'!$A$1:$P$1,0),FALSE)=L$24,L$24,"")</f>
      </c>
      <c r="M55" s="800">
        <f>IF(N55="Exigences partiellement respectées",1,IF(N55="Exigences respectées",2,0))</f>
        <v>0</v>
      </c>
      <c r="N55" t="s" s="791">
        <f>VLOOKUP(VLOOKUP(E55,'BDD'!$A$2:$P$428,15,FALSE),'Suppl'!$D$64:$E$68,2,FALSE)</f>
        <v>1751</v>
      </c>
      <c r="O55" s="801"/>
      <c r="P55" s="802"/>
      <c r="Q55" s="802"/>
      <c r="R55" s="802"/>
      <c r="S55" s="803">
        <f>IF(N55='Suppl'!$E$65,0,IF(N55='Suppl'!$E$66,1/2/(_xlfn.COUNTIFS($D1:$D100,D55,$N1:$N100,"Exigences"&amp;"*")+_xlfn.COUNTIFS($D1:$D100,D55,$N1:$N100,"Non"&amp;"*")),IF(N55='Suppl'!$E$67,1/(_xlfn.COUNTIFS($D1:$D100,D55,$N1:$N100,"Exigences"&amp;"*")+_xlfn.COUNTIFS($D1:$D100,D55,$N1:$N100,"Non"&amp;"*")),0)))</f>
        <v>0</v>
      </c>
      <c r="T55" s="803"/>
      <c r="U55" s="803"/>
      <c r="V55" s="804"/>
      <c r="W55" s="789">
        <f>_xlfn.IFERROR(IF(N55='Suppl'!$E$65,0,IF(N55='Suppl'!$E$66,1/2/(_xlfn.COUNTIFS($N1:$N100,"Exigences"&amp;"*")+_xlfn.COUNTIFS($N1:$N100,"Non"&amp;"*")),IF(N55='Suppl'!$E$67,1/(_xlfn.COUNTIFS($N1:$N100,"Exigences"&amp;"*")+_xlfn.COUNTIFS($N1:$N100,"Non"&amp;"*")),0))),0)</f>
        <v>0</v>
      </c>
      <c r="X55" s="586"/>
      <c r="Y55" s="586"/>
      <c r="Z55" s="586"/>
      <c r="AA55" s="586"/>
      <c r="AB55" s="586"/>
      <c r="AC55" s="586"/>
      <c r="AD55" s="586"/>
      <c r="AE55" s="586"/>
      <c r="AF55" s="586"/>
      <c r="AG55" s="586"/>
      <c r="AH55" s="505"/>
      <c r="AI55" s="586"/>
      <c r="AJ55" s="25"/>
      <c r="AK55" s="25"/>
      <c r="AL55" s="25"/>
      <c r="AM55" s="25"/>
      <c r="AN55" s="25"/>
      <c r="AO55" s="25"/>
      <c r="AP55" s="25"/>
      <c r="AQ55" s="25"/>
      <c r="AR55" s="25"/>
      <c r="AS55" s="25"/>
      <c r="AT55" s="25"/>
      <c r="AU55" s="25"/>
      <c r="AV55" s="25"/>
      <c r="AW55" s="25"/>
      <c r="AX55" s="25"/>
      <c r="AY55" s="25"/>
      <c r="AZ55" s="25"/>
      <c r="BA55" s="25"/>
      <c r="BB55" s="25"/>
      <c r="BC55" s="25"/>
      <c r="BD55" s="25"/>
      <c r="BE55" s="25"/>
      <c r="BF55" s="823"/>
    </row>
    <row r="56" ht="30" customHeight="1">
      <c r="A56" s="504"/>
      <c r="B56" s="753"/>
      <c r="C56" t="s" s="754">
        <f>IF(LEFT(RIGHT($B$1,2),1)=" ",RIGHT($B$1,1),RIGHT($B$1,2))</f>
        <v>1913</v>
      </c>
      <c r="D56" s="755">
        <f>IF(LEFT(F56,5)="Bonne",D54+1,D55)</f>
        <v>5</v>
      </c>
      <c r="E56" s="807"/>
      <c r="F56" t="s" s="757">
        <v>1814</v>
      </c>
      <c r="G56" t="s" s="758">
        <f>VLOOKUP(E58,'BDD'!$A$2:$N$567,6,FALSE)</f>
        <v>584</v>
      </c>
      <c r="H56" s="759"/>
      <c r="I56" s="760"/>
      <c r="J56" s="760"/>
      <c r="K56" s="760"/>
      <c r="L56" s="761"/>
      <c r="M56" s="762"/>
      <c r="N56" s="763"/>
      <c r="O56" s="764">
        <v>0</v>
      </c>
      <c r="P56" s="764"/>
      <c r="Q56" s="764"/>
      <c r="R56" s="764"/>
      <c r="S56" s="765">
        <f>_xlfn.SUMIFS(S1:S100,$D1:$D100,D56,$N1:$N100,"Exigences"&amp;"*")</f>
      </c>
      <c r="T56" s="765"/>
      <c r="U56" s="765"/>
      <c r="V56" s="766"/>
      <c r="W56" s="789">
        <f>_xlfn.IFERROR(IF(N56='Suppl'!$E$65,0,IF(N56='Suppl'!$E$66,1/2/(_xlfn.COUNTIFS($N1:$N100,"Exigences"&amp;"*")+_xlfn.COUNTIFS($N1:$N100,"Non"&amp;"*")),IF(N56='Suppl'!$E$67,1/(_xlfn.COUNTIFS($N1:$N100,"Exigences"&amp;"*")+_xlfn.COUNTIFS($N1:$N100,"Non"&amp;"*")),0))),0)</f>
        <v>0</v>
      </c>
      <c r="X56" s="586"/>
      <c r="Y56" s="586"/>
      <c r="Z56" s="586"/>
      <c r="AA56" s="586"/>
      <c r="AB56" s="586"/>
      <c r="AC56" s="586"/>
      <c r="AD56" s="586"/>
      <c r="AE56" s="586"/>
      <c r="AF56" s="586"/>
      <c r="AG56" s="586"/>
      <c r="AH56" s="505"/>
      <c r="AI56" s="586"/>
      <c r="AJ56" s="25"/>
      <c r="AK56" s="25"/>
      <c r="AL56" s="25"/>
      <c r="AM56" s="25"/>
      <c r="AN56" s="25"/>
      <c r="AO56" s="25"/>
      <c r="AP56" s="25"/>
      <c r="AQ56" s="25"/>
      <c r="AR56" s="25"/>
      <c r="AS56" s="25"/>
      <c r="AT56" s="25"/>
      <c r="AU56" s="25"/>
      <c r="AV56" s="25"/>
      <c r="AW56" s="25"/>
      <c r="AX56" s="25"/>
      <c r="AY56" s="25"/>
      <c r="AZ56" s="25"/>
      <c r="BA56" s="25"/>
      <c r="BB56" s="25"/>
      <c r="BC56" s="25"/>
      <c r="BD56" s="25"/>
      <c r="BE56" s="25"/>
      <c r="BF56" s="823"/>
    </row>
    <row r="57" ht="30" customHeight="1">
      <c r="A57" s="504"/>
      <c r="B57" s="753"/>
      <c r="C57" t="s" s="754">
        <f>IF(LEFT(RIGHT($B$1,2),1)=" ",RIGHT($B$1,1),RIGHT($B$1,2))</f>
        <v>1913</v>
      </c>
      <c r="D57" s="755">
        <f>IF(LEFT(F57,5)="Bonne",D55+1,D56)</f>
        <v>5</v>
      </c>
      <c r="E57" s="808"/>
      <c r="F57" t="s" s="769">
        <v>1835</v>
      </c>
      <c r="G57" t="s" s="770">
        <f>VLOOKUP(E59,'BDD'!$A$2:$N$567,7,FALSE)</f>
        <v>1974</v>
      </c>
      <c r="H57" s="771"/>
      <c r="I57" s="771"/>
      <c r="J57" s="771"/>
      <c r="K57" s="771"/>
      <c r="L57" s="772"/>
      <c r="M57" s="773"/>
      <c r="N57" s="774"/>
      <c r="O57" s="775"/>
      <c r="P57" s="775"/>
      <c r="Q57" s="775"/>
      <c r="R57" s="775"/>
      <c r="S57" s="776"/>
      <c r="T57" s="776"/>
      <c r="U57" s="776"/>
      <c r="V57" s="777"/>
      <c r="W57" s="789">
        <f>_xlfn.IFERROR(IF(N57='Suppl'!$E$65,0,IF(N57='Suppl'!$E$66,1/2/(_xlfn.COUNTIFS($N1:$N100,"Exigences"&amp;"*")+_xlfn.COUNTIFS($N1:$N100,"Non"&amp;"*")),IF(N57='Suppl'!$E$67,1/(_xlfn.COUNTIFS($N1:$N100,"Exigences"&amp;"*")+_xlfn.COUNTIFS($N1:$N100,"Non"&amp;"*")),0))),0)</f>
        <v>0</v>
      </c>
      <c r="X57" s="586"/>
      <c r="Y57" s="586"/>
      <c r="Z57" s="586"/>
      <c r="AA57" s="586"/>
      <c r="AB57" s="586"/>
      <c r="AC57" s="586"/>
      <c r="AD57" s="586"/>
      <c r="AE57" s="586"/>
      <c r="AF57" s="586"/>
      <c r="AG57" s="586"/>
      <c r="AH57" s="505"/>
      <c r="AI57" s="586"/>
      <c r="AJ57" s="25"/>
      <c r="AK57" s="25"/>
      <c r="AL57" s="25"/>
      <c r="AM57" s="25"/>
      <c r="AN57" s="25"/>
      <c r="AO57" s="25"/>
      <c r="AP57" s="25"/>
      <c r="AQ57" s="25"/>
      <c r="AR57" s="25"/>
      <c r="AS57" s="25"/>
      <c r="AT57" s="25"/>
      <c r="AU57" s="25"/>
      <c r="AV57" s="25"/>
      <c r="AW57" s="25"/>
      <c r="AX57" s="25"/>
      <c r="AY57" s="25"/>
      <c r="AZ57" s="25"/>
      <c r="BA57" s="25"/>
      <c r="BB57" s="25"/>
      <c r="BC57" s="25"/>
      <c r="BD57" s="25"/>
      <c r="BE57" s="25"/>
      <c r="BF57" s="823"/>
    </row>
    <row r="58" ht="30" customHeight="1">
      <c r="A58" s="504"/>
      <c r="B58" s="753"/>
      <c r="C58" t="s" s="754">
        <f>IF(LEFT(RIGHT($B$1,2),1)=" ",RIGHT($B$1,1),RIGHT($B$1,2))</f>
        <v>1913</v>
      </c>
      <c r="D58" s="755">
        <f>IF(LEFT(F58,5)="Bonne",D56+1,D57)</f>
        <v>5</v>
      </c>
      <c r="E58" t="s" s="812">
        <f>C58&amp;D58&amp;RIGHT(F58,1)</f>
        <v>1975</v>
      </c>
      <c r="F58" t="s" s="779">
        <v>1769</v>
      </c>
      <c r="G58" t="s" s="780">
        <f>VLOOKUP(E58,'BDD'!$A$2:$N$567,MATCH(G$24,'BDD'!$A$1:$P$1,0),FALSE)</f>
        <v>586</v>
      </c>
      <c r="H58" t="s" s="799">
        <f>IF(VLOOKUP($E58,'BDD'!$A$2:$N$567,MATCH($H$23,'BDD'!$A$1:$P$1,0),FALSE)=H$24,H$24,"")</f>
        <v>1966</v>
      </c>
      <c r="I58" t="s" s="792">
        <f>IF(VLOOKUP($E58,'BDD'!$A$2:$N$567,MATCH($H$23,'BDD'!$A$1:$P$1,0),FALSE)=I$24,I$24,"")</f>
      </c>
      <c r="J58" t="s" s="792">
        <f>IF(VLOOKUP($E58,'BDD'!$A$2:$N$567,MATCH($H$23,'BDD'!$A$1:$P$1,0),FALSE)=J$24,J$24,"")</f>
      </c>
      <c r="K58" t="s" s="792">
        <f>IF(VLOOKUP($E58,'BDD'!$A$2:$N$567,MATCH($H$23,'BDD'!$A$1:$P$1,0),FALSE)=K$24,K$24,"")</f>
      </c>
      <c r="L58" t="s" s="783">
        <f>IF(VLOOKUP($E58,'BDD'!$A$2:$N$567,MATCH($H$23,'BDD'!$A$1:$P$1,0),FALSE)=L$24,L$24,"")</f>
      </c>
      <c r="M58" s="784">
        <f>IF(N58="Exigences partiellement respectées",1,IF(N58="Exigences respectées",2,0))</f>
        <v>0</v>
      </c>
      <c r="N58" t="s" s="780">
        <f>VLOOKUP(VLOOKUP(E58,'BDD'!$A$2:$P$428,15,FALSE),'Suppl'!$D$64:$E$68,2,FALSE)</f>
        <v>1751</v>
      </c>
      <c r="O58" s="785"/>
      <c r="P58" s="786"/>
      <c r="Q58" s="786"/>
      <c r="R58" s="786"/>
      <c r="S58" s="787">
        <f>IF(N58='Suppl'!$E$65,0,IF(N58='Suppl'!$E$66,1/2/(_xlfn.COUNTIFS($D1:$D100,D58,$N1:$N100,"Exigences"&amp;"*")+_xlfn.COUNTIFS($D1:$D100,D58,$N1:$N100,"Non"&amp;"*")),IF(N58='Suppl'!$E$67,1/(_xlfn.COUNTIFS($D1:$D100,D58,$N1:$N100,"Exigences"&amp;"*")+_xlfn.COUNTIFS($D1:$D100,D58,$N1:$N100,"Non"&amp;"*")),0)))</f>
        <v>0</v>
      </c>
      <c r="T58" s="787"/>
      <c r="U58" s="787"/>
      <c r="V58" s="788"/>
      <c r="W58" s="789">
        <f>_xlfn.IFERROR(IF(N58='Suppl'!$E$65,0,IF(N58='Suppl'!$E$66,1/2/(_xlfn.COUNTIFS($N1:$N100,"Exigences"&amp;"*")+_xlfn.COUNTIFS($N1:$N100,"Non"&amp;"*")),IF(N58='Suppl'!$E$67,1/(_xlfn.COUNTIFS($N1:$N100,"Exigences"&amp;"*")+_xlfn.COUNTIFS($N1:$N100,"Non"&amp;"*")),0))),0)</f>
        <v>0</v>
      </c>
      <c r="X58" s="586"/>
      <c r="Y58" s="586"/>
      <c r="Z58" s="586"/>
      <c r="AA58" s="586"/>
      <c r="AB58" s="586"/>
      <c r="AC58" s="586"/>
      <c r="AD58" s="586"/>
      <c r="AE58" s="586"/>
      <c r="AF58" s="586"/>
      <c r="AG58" s="586"/>
      <c r="AH58" s="505"/>
      <c r="AI58" s="586"/>
      <c r="AJ58" s="25"/>
      <c r="AK58" s="25"/>
      <c r="AL58" s="25"/>
      <c r="AM58" s="25"/>
      <c r="AN58" s="25"/>
      <c r="AO58" s="25"/>
      <c r="AP58" s="25"/>
      <c r="AQ58" s="25"/>
      <c r="AR58" s="25"/>
      <c r="AS58" s="25"/>
      <c r="AT58" s="25"/>
      <c r="AU58" s="25"/>
      <c r="AV58" s="25"/>
      <c r="AW58" s="25"/>
      <c r="AX58" s="25"/>
      <c r="AY58" s="25"/>
      <c r="AZ58" s="25"/>
      <c r="BA58" s="25"/>
      <c r="BB58" s="25"/>
      <c r="BC58" s="25"/>
      <c r="BD58" s="25"/>
      <c r="BE58" s="25"/>
      <c r="BF58" s="823"/>
    </row>
    <row r="59" ht="41.4" customHeight="1">
      <c r="A59" s="504"/>
      <c r="B59" s="753"/>
      <c r="C59" t="s" s="754">
        <f>IF(LEFT(RIGHT($B$1,2),1)=" ",RIGHT($B$1,1),RIGHT($B$1,2))</f>
        <v>1913</v>
      </c>
      <c r="D59" s="755">
        <f>IF(LEFT(F59,5)="Bonne",D57+1,D58)</f>
        <v>5</v>
      </c>
      <c r="E59" t="s" s="778">
        <f>C59&amp;D59&amp;RIGHT(F59,1)</f>
        <v>1976</v>
      </c>
      <c r="F59" t="s" s="790">
        <v>1837</v>
      </c>
      <c r="G59" t="s" s="791">
        <f>VLOOKUP(E59,'BDD'!$A$2:$N$567,MATCH(G$24,'BDD'!$A$1:$P$1,0),FALSE)</f>
        <v>589</v>
      </c>
      <c r="H59" t="s" s="799">
        <f>IF(VLOOKUP($E59,'BDD'!$A$2:$N$567,MATCH($H$23,'BDD'!$A$1:$P$1,0),FALSE)=H$24,H$24,"")</f>
        <v>1966</v>
      </c>
      <c r="I59" t="s" s="792">
        <f>IF(VLOOKUP($E59,'BDD'!$A$2:$N$567,MATCH($H$23,'BDD'!$A$1:$P$1,0),FALSE)=I$24,I$24,"")</f>
      </c>
      <c r="J59" t="s" s="792">
        <f>IF(VLOOKUP($E59,'BDD'!$A$2:$N$567,MATCH($H$23,'BDD'!$A$1:$P$1,0),FALSE)=J$24,J$24,"")</f>
      </c>
      <c r="K59" t="s" s="792">
        <f>IF(VLOOKUP($E59,'BDD'!$A$2:$N$567,MATCH($H$23,'BDD'!$A$1:$P$1,0),FALSE)=K$24,K$24,"")</f>
      </c>
      <c r="L59" t="s" s="783">
        <f>IF(VLOOKUP($E59,'BDD'!$A$2:$N$567,MATCH($H$23,'BDD'!$A$1:$P$1,0),FALSE)=L$24,L$24,"")</f>
      </c>
      <c r="M59" s="794">
        <f>IF(N59="Exigences partiellement respectées",1,IF(N59="Exigences respectées",2,0))</f>
        <v>0</v>
      </c>
      <c r="N59" t="s" s="791">
        <f>VLOOKUP(VLOOKUP(E59,'BDD'!$A$2:$P$428,15,FALSE),'Suppl'!$D$64:$E$68,2,FALSE)</f>
        <v>1751</v>
      </c>
      <c r="O59" s="795"/>
      <c r="P59" s="796"/>
      <c r="Q59" s="796"/>
      <c r="R59" s="796"/>
      <c r="S59" s="797">
        <f>IF(N59='Suppl'!$E$65,0,IF(N59='Suppl'!$E$66,1/2/(_xlfn.COUNTIFS($D1:$D100,D59,$N1:$N100,"Exigences"&amp;"*")+_xlfn.COUNTIFS($D1:$D100,D59,$N1:$N100,"Non"&amp;"*")),IF(N59='Suppl'!$E$67,1/(_xlfn.COUNTIFS($D1:$D100,D59,$N1:$N100,"Exigences"&amp;"*")+_xlfn.COUNTIFS($D1:$D100,D59,$N1:$N100,"Non"&amp;"*")),0)))</f>
        <v>0</v>
      </c>
      <c r="T59" s="797"/>
      <c r="U59" s="797"/>
      <c r="V59" s="798"/>
      <c r="W59" s="789">
        <f>_xlfn.IFERROR(IF(N59='Suppl'!$E$65,0,IF(N59='Suppl'!$E$66,1/2/(_xlfn.COUNTIFS($N1:$N100,"Exigences"&amp;"*")+_xlfn.COUNTIFS($N1:$N100,"Non"&amp;"*")),IF(N59='Suppl'!$E$67,1/(_xlfn.COUNTIFS($N1:$N100,"Exigences"&amp;"*")+_xlfn.COUNTIFS($N1:$N100,"Non"&amp;"*")),0))),0)</f>
        <v>0</v>
      </c>
      <c r="X59" s="586"/>
      <c r="Y59" s="586"/>
      <c r="Z59" s="586"/>
      <c r="AA59" s="586"/>
      <c r="AB59" s="586"/>
      <c r="AC59" s="586"/>
      <c r="AD59" s="586"/>
      <c r="AE59" s="586"/>
      <c r="AF59" s="586"/>
      <c r="AG59" s="586"/>
      <c r="AH59" s="505"/>
      <c r="AI59" s="586"/>
      <c r="AJ59" s="25"/>
      <c r="AK59" s="25"/>
      <c r="AL59" s="25"/>
      <c r="AM59" s="25"/>
      <c r="AN59" s="25"/>
      <c r="AO59" s="25"/>
      <c r="AP59" s="25"/>
      <c r="AQ59" s="25"/>
      <c r="AR59" s="25"/>
      <c r="AS59" s="25"/>
      <c r="AT59" s="25"/>
      <c r="AU59" s="25"/>
      <c r="AV59" s="25"/>
      <c r="AW59" s="25"/>
      <c r="AX59" s="25"/>
      <c r="AY59" s="25"/>
      <c r="AZ59" s="25"/>
      <c r="BA59" s="25"/>
      <c r="BB59" s="25"/>
      <c r="BC59" s="25"/>
      <c r="BD59" s="25"/>
      <c r="BE59" s="25"/>
      <c r="BF59" s="823"/>
    </row>
    <row r="60" ht="30" customHeight="1">
      <c r="A60" s="504"/>
      <c r="B60" s="753"/>
      <c r="C60" t="s" s="754">
        <f>IF(LEFT(RIGHT($B$1,2),1)=" ",RIGHT($B$1,1),RIGHT($B$1,2))</f>
        <v>1913</v>
      </c>
      <c r="D60" s="755">
        <f>IF(LEFT(F60,5)="Bonne",D58+1,D59)</f>
        <v>5</v>
      </c>
      <c r="E60" t="s" s="778">
        <f>C60&amp;D60&amp;RIGHT(F60,1)</f>
        <v>1977</v>
      </c>
      <c r="F60" t="s" s="779">
        <v>1774</v>
      </c>
      <c r="G60" t="s" s="780">
        <f>VLOOKUP(E60,'BDD'!$A$2:$N$567,MATCH(G$24,'BDD'!$A$1:$P$1,0),FALSE)</f>
        <v>592</v>
      </c>
      <c r="H60" t="s" s="799">
        <f>IF(VLOOKUP($E60,'BDD'!$A$2:$N$567,MATCH($H$23,'BDD'!$A$1:$P$1,0),FALSE)=H$24,H$24,"")</f>
      </c>
      <c r="I60" t="s" s="792">
        <f>IF(VLOOKUP($E60,'BDD'!$A$2:$N$567,MATCH($H$23,'BDD'!$A$1:$P$1,0),FALSE)=I$24,I$24,"")</f>
        <v>1969</v>
      </c>
      <c r="J60" t="s" s="792">
        <f>IF(VLOOKUP($E60,'BDD'!$A$2:$N$567,MATCH($H$23,'BDD'!$A$1:$P$1,0),FALSE)=J$24,J$24,"")</f>
      </c>
      <c r="K60" t="s" s="792">
        <f>IF(VLOOKUP($E60,'BDD'!$A$2:$N$567,MATCH($H$23,'BDD'!$A$1:$P$1,0),FALSE)=K$24,K$24,"")</f>
      </c>
      <c r="L60" t="s" s="783">
        <f>IF(VLOOKUP($E60,'BDD'!$A$2:$N$567,MATCH($H$23,'BDD'!$A$1:$P$1,0),FALSE)=L$24,L$24,"")</f>
      </c>
      <c r="M60" s="794">
        <f>IF(N60="Exigences partiellement respectées",1,IF(N60="Exigences respectées",2,0))</f>
        <v>0</v>
      </c>
      <c r="N60" t="s" s="780">
        <f>VLOOKUP(VLOOKUP(E60,'BDD'!$A$2:$P$428,15,FALSE),'Suppl'!$D$64:$E$68,2,FALSE)</f>
        <v>1751</v>
      </c>
      <c r="O60" s="795"/>
      <c r="P60" s="796"/>
      <c r="Q60" s="796"/>
      <c r="R60" s="796"/>
      <c r="S60" s="797">
        <f>IF(N60='Suppl'!$E$65,0,IF(N60='Suppl'!$E$66,1/2/(_xlfn.COUNTIFS($D1:$D100,D60,$N1:$N100,"Exigences"&amp;"*")+_xlfn.COUNTIFS($D1:$D100,D60,$N1:$N100,"Non"&amp;"*")),IF(N60='Suppl'!$E$67,1/(_xlfn.COUNTIFS($D1:$D100,D60,$N1:$N100,"Exigences"&amp;"*")+_xlfn.COUNTIFS($D1:$D100,D60,$N1:$N100,"Non"&amp;"*")),0)))</f>
        <v>0</v>
      </c>
      <c r="T60" s="797"/>
      <c r="U60" s="797"/>
      <c r="V60" s="798"/>
      <c r="W60" s="789">
        <f>_xlfn.IFERROR(IF(N60='Suppl'!$E$65,0,IF(N60='Suppl'!$E$66,1/2/(_xlfn.COUNTIFS($N1:$N100,"Exigences"&amp;"*")+_xlfn.COUNTIFS($N1:$N100,"Non"&amp;"*")),IF(N60='Suppl'!$E$67,1/(_xlfn.COUNTIFS($N1:$N100,"Exigences"&amp;"*")+_xlfn.COUNTIFS($N1:$N100,"Non"&amp;"*")),0))),0)</f>
        <v>0</v>
      </c>
      <c r="X60" s="586"/>
      <c r="Y60" s="586"/>
      <c r="Z60" s="586"/>
      <c r="AA60" s="586"/>
      <c r="AB60" s="586"/>
      <c r="AC60" s="586"/>
      <c r="AD60" s="586"/>
      <c r="AE60" s="586"/>
      <c r="AF60" s="586"/>
      <c r="AG60" s="586"/>
      <c r="AH60" s="505"/>
      <c r="AI60" s="586"/>
      <c r="AJ60" s="25"/>
      <c r="AK60" s="25"/>
      <c r="AL60" s="25"/>
      <c r="AM60" s="25"/>
      <c r="AN60" s="25"/>
      <c r="AO60" s="25"/>
      <c r="AP60" s="25"/>
      <c r="AQ60" s="25"/>
      <c r="AR60" s="25"/>
      <c r="AS60" s="25"/>
      <c r="AT60" s="25"/>
      <c r="AU60" s="25"/>
      <c r="AV60" s="25"/>
      <c r="AW60" s="25"/>
      <c r="AX60" s="25"/>
      <c r="AY60" s="25"/>
      <c r="AZ60" s="25"/>
      <c r="BA60" s="25"/>
      <c r="BB60" s="25"/>
      <c r="BC60" s="25"/>
      <c r="BD60" s="25"/>
      <c r="BE60" s="25"/>
      <c r="BF60" s="823"/>
    </row>
    <row r="61" ht="30" customHeight="1">
      <c r="A61" s="504"/>
      <c r="B61" s="753"/>
      <c r="C61" t="s" s="754">
        <f>IF(LEFT(RIGHT($B$1,2),1)=" ",RIGHT($B$1,1),RIGHT($B$1,2))</f>
        <v>1913</v>
      </c>
      <c r="D61" s="755">
        <f>IF(LEFT(F61,5)="Bonne",D59+1,D60)</f>
        <v>5</v>
      </c>
      <c r="E61" t="s" s="778">
        <f>C61&amp;D61&amp;RIGHT(F61,1)</f>
        <v>1978</v>
      </c>
      <c r="F61" t="s" s="790">
        <v>1776</v>
      </c>
      <c r="G61" t="s" s="791">
        <f>VLOOKUP(E61,'BDD'!$A$2:$N$567,MATCH(G$24,'BDD'!$A$1:$P$1,0),FALSE)</f>
        <v>594</v>
      </c>
      <c r="H61" t="s" s="799">
        <f>IF(VLOOKUP($E61,'BDD'!$A$2:$N$567,MATCH($H$23,'BDD'!$A$1:$P$1,0),FALSE)=H$24,H$24,"")</f>
      </c>
      <c r="I61" t="s" s="792">
        <f>IF(VLOOKUP($E61,'BDD'!$A$2:$N$567,MATCH($H$23,'BDD'!$A$1:$P$1,0),FALSE)=I$24,I$24,"")</f>
        <v>1969</v>
      </c>
      <c r="J61" t="s" s="792">
        <f>IF(VLOOKUP($E61,'BDD'!$A$2:$N$567,MATCH($H$23,'BDD'!$A$1:$P$1,0),FALSE)=J$24,J$24,"")</f>
      </c>
      <c r="K61" t="s" s="792">
        <f>IF(VLOOKUP($E61,'BDD'!$A$2:$N$567,MATCH($H$23,'BDD'!$A$1:$P$1,0),FALSE)=K$24,K$24,"")</f>
      </c>
      <c r="L61" t="s" s="783">
        <f>IF(VLOOKUP($E61,'BDD'!$A$2:$N$567,MATCH($H$23,'BDD'!$A$1:$P$1,0),FALSE)=L$24,L$24,"")</f>
      </c>
      <c r="M61" s="794">
        <f>IF(N61="Exigences partiellement respectées",1,IF(N61="Exigences respectées",2,0))</f>
        <v>0</v>
      </c>
      <c r="N61" t="s" s="791">
        <f>VLOOKUP(VLOOKUP(E61,'BDD'!$A$2:$P$428,15,FALSE),'Suppl'!$D$64:$E$68,2,FALSE)</f>
        <v>1751</v>
      </c>
      <c r="O61" s="795"/>
      <c r="P61" s="796"/>
      <c r="Q61" s="796"/>
      <c r="R61" s="796"/>
      <c r="S61" s="797">
        <f>IF(N61='Suppl'!$E$65,0,IF(N61='Suppl'!$E$66,1/2/(_xlfn.COUNTIFS($D1:$D100,D61,$N1:$N100,"Exigences"&amp;"*")+_xlfn.COUNTIFS($D1:$D100,D61,$N1:$N100,"Non"&amp;"*")),IF(N61='Suppl'!$E$67,1/(_xlfn.COUNTIFS($D1:$D100,D61,$N1:$N100,"Exigences"&amp;"*")+_xlfn.COUNTIFS($D1:$D100,D61,$N1:$N100,"Non"&amp;"*")),0)))</f>
        <v>0</v>
      </c>
      <c r="T61" s="797"/>
      <c r="U61" s="797"/>
      <c r="V61" s="798"/>
      <c r="W61" s="789">
        <f>_xlfn.IFERROR(IF(N61='Suppl'!$E$65,0,IF(N61='Suppl'!$E$66,1/2/(_xlfn.COUNTIFS($N1:$N100,"Exigences"&amp;"*")+_xlfn.COUNTIFS($N1:$N100,"Non"&amp;"*")),IF(N61='Suppl'!$E$67,1/(_xlfn.COUNTIFS($N1:$N100,"Exigences"&amp;"*")+_xlfn.COUNTIFS($N1:$N100,"Non"&amp;"*")),0))),0)</f>
        <v>0</v>
      </c>
      <c r="X61" s="586"/>
      <c r="Y61" s="586"/>
      <c r="Z61" s="586"/>
      <c r="AA61" s="586"/>
      <c r="AB61" s="586"/>
      <c r="AC61" s="586"/>
      <c r="AD61" s="586"/>
      <c r="AE61" s="586"/>
      <c r="AF61" s="586"/>
      <c r="AG61" s="586"/>
      <c r="AH61" s="505"/>
      <c r="AI61" s="586"/>
      <c r="AJ61" s="25"/>
      <c r="AK61" s="25"/>
      <c r="AL61" s="25"/>
      <c r="AM61" s="25"/>
      <c r="AN61" s="25"/>
      <c r="AO61" s="25"/>
      <c r="AP61" s="25"/>
      <c r="AQ61" s="25"/>
      <c r="AR61" s="25"/>
      <c r="AS61" s="25"/>
      <c r="AT61" s="25"/>
      <c r="AU61" s="25"/>
      <c r="AV61" s="25"/>
      <c r="AW61" s="25"/>
      <c r="AX61" s="25"/>
      <c r="AY61" s="25"/>
      <c r="AZ61" s="25"/>
      <c r="BA61" s="25"/>
      <c r="BB61" s="25"/>
      <c r="BC61" s="25"/>
      <c r="BD61" s="25"/>
      <c r="BE61" s="25"/>
      <c r="BF61" s="823"/>
    </row>
    <row r="62" ht="30" customHeight="1">
      <c r="A62" s="504"/>
      <c r="B62" s="753"/>
      <c r="C62" t="s" s="754">
        <f>IF(LEFT(RIGHT($B$1,2),1)=" ",RIGHT($B$1,1),RIGHT($B$1,2))</f>
        <v>1913</v>
      </c>
      <c r="D62" s="755">
        <f>IF(LEFT(F62,5)="Bonne",D60+1,D61)</f>
        <v>5</v>
      </c>
      <c r="E62" t="s" s="806">
        <f>C62&amp;D62&amp;RIGHT(F62,1)</f>
        <v>1979</v>
      </c>
      <c r="F62" t="s" s="779">
        <v>1778</v>
      </c>
      <c r="G62" t="s" s="780">
        <f>VLOOKUP(E62,'BDD'!$A$2:$N$567,MATCH(G$24,'BDD'!$A$1:$P$1,0),FALSE)</f>
        <v>597</v>
      </c>
      <c r="H62" t="s" s="799">
        <f>IF(VLOOKUP($E62,'BDD'!$A$2:$N$567,MATCH($H$23,'BDD'!$A$1:$P$1,0),FALSE)=H$24,H$24,"")</f>
        <v>1966</v>
      </c>
      <c r="I62" t="s" s="792">
        <f>IF(VLOOKUP($E62,'BDD'!$A$2:$N$567,MATCH($H$23,'BDD'!$A$1:$P$1,0),FALSE)=I$24,I$24,"")</f>
      </c>
      <c r="J62" t="s" s="792">
        <f>IF(VLOOKUP($E62,'BDD'!$A$2:$N$567,MATCH($H$23,'BDD'!$A$1:$P$1,0),FALSE)=J$24,J$24,"")</f>
      </c>
      <c r="K62" t="s" s="792">
        <f>IF(VLOOKUP($E62,'BDD'!$A$2:$N$567,MATCH($H$23,'BDD'!$A$1:$P$1,0),FALSE)=K$24,K$24,"")</f>
      </c>
      <c r="L62" t="s" s="783">
        <f>IF(VLOOKUP($E62,'BDD'!$A$2:$N$567,MATCH($H$23,'BDD'!$A$1:$P$1,0),FALSE)=L$24,L$24,"")</f>
      </c>
      <c r="M62" s="800">
        <f>IF(N62="Exigences partiellement respectées",1,IF(N62="Exigences respectées",2,0))</f>
        <v>0</v>
      </c>
      <c r="N62" t="s" s="780">
        <f>VLOOKUP(VLOOKUP(E62,'BDD'!$A$2:$P$428,15,FALSE),'Suppl'!$D$64:$E$68,2,FALSE)</f>
        <v>1751</v>
      </c>
      <c r="O62" s="801"/>
      <c r="P62" s="802"/>
      <c r="Q62" s="802"/>
      <c r="R62" s="802"/>
      <c r="S62" s="803">
        <f>IF(N62='Suppl'!$E$65,0,IF(N62='Suppl'!$E$66,1/2/(_xlfn.COUNTIFS($D1:$D100,D62,$N1:$N100,"Exigences"&amp;"*")+_xlfn.COUNTIFS($D1:$D100,D62,$N1:$N100,"Non"&amp;"*")),IF(N62='Suppl'!$E$67,1/(_xlfn.COUNTIFS($D1:$D100,D62,$N1:$N100,"Exigences"&amp;"*")+_xlfn.COUNTIFS($D1:$D100,D62,$N1:$N100,"Non"&amp;"*")),0)))</f>
        <v>0</v>
      </c>
      <c r="T62" s="803"/>
      <c r="U62" s="803"/>
      <c r="V62" s="804"/>
      <c r="W62" s="789">
        <f>_xlfn.IFERROR(IF(N62='Suppl'!$E$65,0,IF(N62='Suppl'!$E$66,1/2/(_xlfn.COUNTIFS($N1:$N100,"Exigences"&amp;"*")+_xlfn.COUNTIFS($N1:$N100,"Non"&amp;"*")),IF(N62='Suppl'!$E$67,1/(_xlfn.COUNTIFS($N1:$N100,"Exigences"&amp;"*")+_xlfn.COUNTIFS($N1:$N100,"Non"&amp;"*")),0))),0)</f>
        <v>0</v>
      </c>
      <c r="X62" s="586"/>
      <c r="Y62" s="586"/>
      <c r="Z62" s="586"/>
      <c r="AA62" s="586"/>
      <c r="AB62" s="586"/>
      <c r="AC62" s="586"/>
      <c r="AD62" s="586"/>
      <c r="AE62" s="586"/>
      <c r="AF62" s="586"/>
      <c r="AG62" s="586"/>
      <c r="AH62" s="505"/>
      <c r="AI62" s="586"/>
      <c r="AJ62" s="25"/>
      <c r="AK62" s="25"/>
      <c r="AL62" s="25"/>
      <c r="AM62" s="25"/>
      <c r="AN62" s="25"/>
      <c r="AO62" s="25"/>
      <c r="AP62" s="25"/>
      <c r="AQ62" s="25"/>
      <c r="AR62" s="25"/>
      <c r="AS62" s="25"/>
      <c r="AT62" s="25"/>
      <c r="AU62" s="25"/>
      <c r="AV62" s="25"/>
      <c r="AW62" s="25"/>
      <c r="AX62" s="25"/>
      <c r="AY62" s="25"/>
      <c r="AZ62" s="25"/>
      <c r="BA62" s="25"/>
      <c r="BB62" s="25"/>
      <c r="BC62" s="25"/>
      <c r="BD62" s="25"/>
      <c r="BE62" s="25"/>
      <c r="BF62" s="823"/>
    </row>
    <row r="63" ht="30" customHeight="1">
      <c r="A63" s="504"/>
      <c r="B63" s="753"/>
      <c r="C63" t="s" s="754">
        <f>IF(LEFT(RIGHT($B$1,2),1)=" ",RIGHT($B$1,1),RIGHT($B$1,2))</f>
        <v>1913</v>
      </c>
      <c r="D63" s="755">
        <f>IF(LEFT(F63,5)="Bonne",D60+1,D61)</f>
        <v>6</v>
      </c>
      <c r="E63" s="807"/>
      <c r="F63" t="s" s="757">
        <v>1887</v>
      </c>
      <c r="G63" t="s" s="758">
        <f>VLOOKUP(E65,'BDD'!$A$2:$N$567,6,FALSE)</f>
        <v>601</v>
      </c>
      <c r="H63" s="759"/>
      <c r="I63" s="760"/>
      <c r="J63" s="760"/>
      <c r="K63" s="760"/>
      <c r="L63" s="761"/>
      <c r="M63" s="762"/>
      <c r="N63" s="763"/>
      <c r="O63" s="764">
        <v>0</v>
      </c>
      <c r="P63" s="764"/>
      <c r="Q63" s="764"/>
      <c r="R63" s="764"/>
      <c r="S63" s="765">
        <f>_xlfn.SUMIFS(S1:S100,$D1:$D100,D63,$N1:$N100,"Exigences"&amp;"*")</f>
      </c>
      <c r="T63" s="765"/>
      <c r="U63" s="765"/>
      <c r="V63" s="766"/>
      <c r="W63" s="789">
        <f>_xlfn.IFERROR(IF(N63='Suppl'!$E$65,0,IF(N63='Suppl'!$E$66,1/2/(_xlfn.COUNTIFS($N1:$N100,"Exigences"&amp;"*")+_xlfn.COUNTIFS($N1:$N100,"Non"&amp;"*")),IF(N63='Suppl'!$E$67,1/(_xlfn.COUNTIFS($N1:$N100,"Exigences"&amp;"*")+_xlfn.COUNTIFS($N1:$N100,"Non"&amp;"*")),0))),0)</f>
        <v>0</v>
      </c>
      <c r="X63" s="586"/>
      <c r="Y63" s="586"/>
      <c r="Z63" s="586"/>
      <c r="AA63" s="586"/>
      <c r="AB63" s="586"/>
      <c r="AC63" s="586"/>
      <c r="AD63" s="586"/>
      <c r="AE63" s="586"/>
      <c r="AF63" s="586"/>
      <c r="AG63" s="586"/>
      <c r="AH63" s="505"/>
      <c r="AI63" s="586"/>
      <c r="AJ63" s="25"/>
      <c r="AK63" s="25"/>
      <c r="AL63" s="25"/>
      <c r="AM63" s="25"/>
      <c r="AN63" s="25"/>
      <c r="AO63" s="25"/>
      <c r="AP63" s="25"/>
      <c r="AQ63" s="25"/>
      <c r="AR63" s="25"/>
      <c r="AS63" s="25"/>
      <c r="AT63" s="25"/>
      <c r="AU63" s="25"/>
      <c r="AV63" s="25"/>
      <c r="AW63" s="25"/>
      <c r="AX63" s="25"/>
      <c r="AY63" s="25"/>
      <c r="AZ63" s="25"/>
      <c r="BA63" s="25"/>
      <c r="BB63" s="25"/>
      <c r="BC63" s="25"/>
      <c r="BD63" s="25"/>
      <c r="BE63" s="25"/>
      <c r="BF63" s="823"/>
    </row>
    <row r="64" ht="30" customHeight="1">
      <c r="A64" s="504"/>
      <c r="B64" s="753"/>
      <c r="C64" t="s" s="754">
        <f>IF(LEFT(RIGHT($B$1,2),1)=" ",RIGHT($B$1,1),RIGHT($B$1,2))</f>
        <v>1913</v>
      </c>
      <c r="D64" s="755">
        <f>IF(LEFT(F64,5)="Bonne",D61+1,D63)</f>
        <v>6</v>
      </c>
      <c r="E64" s="808"/>
      <c r="F64" t="s" s="769">
        <v>1835</v>
      </c>
      <c r="G64" t="s" s="809">
        <f>VLOOKUP(E66,'BDD'!$A$2:$N$567,7,FALSE)</f>
        <v>1980</v>
      </c>
      <c r="H64" s="810"/>
      <c r="I64" s="810"/>
      <c r="J64" s="810"/>
      <c r="K64" s="810"/>
      <c r="L64" s="810"/>
      <c r="M64" s="810"/>
      <c r="N64" s="811"/>
      <c r="O64" s="775"/>
      <c r="P64" s="775"/>
      <c r="Q64" s="775"/>
      <c r="R64" s="775"/>
      <c r="S64" s="776"/>
      <c r="T64" s="776"/>
      <c r="U64" s="776"/>
      <c r="V64" s="777"/>
      <c r="W64" s="789">
        <f>_xlfn.IFERROR(IF(N64='Suppl'!$E$65,0,IF(N64='Suppl'!$E$66,1/2/(_xlfn.COUNTIFS($N1:$N100,"Exigences"&amp;"*")+_xlfn.COUNTIFS($N1:$N100,"Non"&amp;"*")),IF(N64='Suppl'!$E$67,1/(_xlfn.COUNTIFS($N1:$N100,"Exigences"&amp;"*")+_xlfn.COUNTIFS($N1:$N100,"Non"&amp;"*")),0))),0)</f>
        <v>0</v>
      </c>
      <c r="X64" s="586"/>
      <c r="Y64" s="586"/>
      <c r="Z64" s="586"/>
      <c r="AA64" s="586"/>
      <c r="AB64" s="586"/>
      <c r="AC64" s="586"/>
      <c r="AD64" s="586"/>
      <c r="AE64" s="586"/>
      <c r="AF64" s="586"/>
      <c r="AG64" s="586"/>
      <c r="AH64" s="505"/>
      <c r="AI64" s="586"/>
      <c r="AJ64" s="25"/>
      <c r="AK64" s="25"/>
      <c r="AL64" s="25"/>
      <c r="AM64" s="25"/>
      <c r="AN64" s="25"/>
      <c r="AO64" s="25"/>
      <c r="AP64" s="25"/>
      <c r="AQ64" s="25"/>
      <c r="AR64" s="25"/>
      <c r="AS64" s="25"/>
      <c r="AT64" s="25"/>
      <c r="AU64" s="25"/>
      <c r="AV64" s="25"/>
      <c r="AW64" s="25"/>
      <c r="AX64" s="25"/>
      <c r="AY64" s="25"/>
      <c r="AZ64" s="25"/>
      <c r="BA64" s="25"/>
      <c r="BB64" s="25"/>
      <c r="BC64" s="25"/>
      <c r="BD64" s="25"/>
      <c r="BE64" s="25"/>
      <c r="BF64" s="823"/>
    </row>
    <row r="65" ht="30" customHeight="1">
      <c r="A65" s="504"/>
      <c r="B65" s="753"/>
      <c r="C65" t="s" s="754">
        <f>IF(LEFT(RIGHT($B$1,2),1)=" ",RIGHT($B$1,1),RIGHT($B$1,2))</f>
        <v>1913</v>
      </c>
      <c r="D65" s="755">
        <f>IF(LEFT(F65,5)="Bonne",D63+1,D64)</f>
        <v>6</v>
      </c>
      <c r="E65" t="s" s="812">
        <f>C65&amp;D65&amp;RIGHT(F65,1)</f>
        <v>1981</v>
      </c>
      <c r="F65" t="s" s="779">
        <v>1769</v>
      </c>
      <c r="G65" t="s" s="780">
        <f>VLOOKUP(E65,'BDD'!$A$2:$N$567,MATCH(G$24,'BDD'!$A$1:$P$1,0),FALSE)</f>
        <v>604</v>
      </c>
      <c r="H65" t="s" s="799">
        <f>IF(VLOOKUP($E65,'BDD'!$A$2:$N$567,MATCH($H$23,'BDD'!$A$1:$P$1,0),FALSE)=H$24,H$24,"")</f>
        <v>1966</v>
      </c>
      <c r="I65" t="s" s="792">
        <f>IF(VLOOKUP($E65,'BDD'!$A$2:$N$567,MATCH($H$23,'BDD'!$A$1:$P$1,0),FALSE)=I$24,I$24,"")</f>
      </c>
      <c r="J65" t="s" s="792">
        <f>IF(VLOOKUP($E65,'BDD'!$A$2:$N$567,MATCH($H$23,'BDD'!$A$1:$P$1,0),FALSE)=J$24,J$24,"")</f>
      </c>
      <c r="K65" t="s" s="792">
        <f>IF(VLOOKUP($E65,'BDD'!$A$2:$N$567,MATCH($H$23,'BDD'!$A$1:$P$1,0),FALSE)=K$24,K$24,"")</f>
      </c>
      <c r="L65" t="s" s="783">
        <f>IF(VLOOKUP($E65,'BDD'!$A$2:$N$567,MATCH($H$23,'BDD'!$A$1:$P$1,0),FALSE)=L$24,L$24,"")</f>
      </c>
      <c r="M65" s="784">
        <f>IF(N65="Exigences partiellement respectées",1,IF(N65="Exigences respectées",2,0))</f>
        <v>0</v>
      </c>
      <c r="N65" t="s" s="780">
        <f>VLOOKUP(VLOOKUP(E65,'BDD'!$A$2:$P$428,15,FALSE),'Suppl'!$D$64:$E$68,2,FALSE)</f>
        <v>1751</v>
      </c>
      <c r="O65" s="785"/>
      <c r="P65" s="786"/>
      <c r="Q65" s="786"/>
      <c r="R65" s="786"/>
      <c r="S65" s="787">
        <f>IF(N65='Suppl'!$E$65,0,IF(N65='Suppl'!$E$66,1/2/(_xlfn.COUNTIFS($D1:$D100,D65,$N1:$N100,"Exigences"&amp;"*")+_xlfn.COUNTIFS($D1:$D100,D65,$N1:$N100,"Non"&amp;"*")),IF(N65='Suppl'!$E$67,1/(_xlfn.COUNTIFS($D1:$D100,D65,$N1:$N100,"Exigences"&amp;"*")+_xlfn.COUNTIFS($D1:$D100,D65,$N1:$N100,"Non"&amp;"*")),0)))</f>
        <v>0</v>
      </c>
      <c r="T65" s="787"/>
      <c r="U65" s="787"/>
      <c r="V65" s="788"/>
      <c r="W65" s="789">
        <f>_xlfn.IFERROR(IF(N65='Suppl'!$E$65,0,IF(N65='Suppl'!$E$66,1/2/(_xlfn.COUNTIFS($N1:$N100,"Exigences"&amp;"*")+_xlfn.COUNTIFS($N1:$N100,"Non"&amp;"*")),IF(N65='Suppl'!$E$67,1/(_xlfn.COUNTIFS($N1:$N100,"Exigences"&amp;"*")+_xlfn.COUNTIFS($N1:$N100,"Non"&amp;"*")),0))),0)</f>
        <v>0</v>
      </c>
      <c r="X65" s="586"/>
      <c r="Y65" s="586"/>
      <c r="Z65" s="586"/>
      <c r="AA65" s="586"/>
      <c r="AB65" s="586"/>
      <c r="AC65" s="586"/>
      <c r="AD65" s="586"/>
      <c r="AE65" s="586"/>
      <c r="AF65" s="586"/>
      <c r="AG65" s="586"/>
      <c r="AH65" s="505"/>
      <c r="AI65" s="586"/>
      <c r="AJ65" s="25"/>
      <c r="AK65" s="25"/>
      <c r="AL65" s="25"/>
      <c r="AM65" s="25"/>
      <c r="AN65" s="25"/>
      <c r="AO65" s="25"/>
      <c r="AP65" s="25"/>
      <c r="AQ65" s="25"/>
      <c r="AR65" s="25"/>
      <c r="AS65" s="25"/>
      <c r="AT65" s="25"/>
      <c r="AU65" s="25"/>
      <c r="AV65" s="25"/>
      <c r="AW65" s="25"/>
      <c r="AX65" s="25"/>
      <c r="AY65" s="25"/>
      <c r="AZ65" s="25"/>
      <c r="BA65" s="25"/>
      <c r="BB65" s="25"/>
      <c r="BC65" s="25"/>
      <c r="BD65" s="25"/>
      <c r="BE65" s="25"/>
      <c r="BF65" s="823"/>
    </row>
    <row r="66" ht="69" customHeight="1">
      <c r="A66" s="504"/>
      <c r="B66" s="753"/>
      <c r="C66" t="s" s="754">
        <f>IF(LEFT(RIGHT($B$1,2),1)=" ",RIGHT($B$1,1),RIGHT($B$1,2))</f>
        <v>1913</v>
      </c>
      <c r="D66" s="755">
        <f>IF(LEFT(F66,5)="Bonne",D64+1,D65)</f>
        <v>6</v>
      </c>
      <c r="E66" t="s" s="778">
        <f>C66&amp;D66&amp;RIGHT(F66,1)</f>
        <v>1982</v>
      </c>
      <c r="F66" t="s" s="790">
        <v>1837</v>
      </c>
      <c r="G66" t="s" s="791">
        <f>VLOOKUP(E66,'BDD'!$A$2:$N$567,MATCH(G$24,'BDD'!$A$1:$P$1,0),FALSE)</f>
        <v>607</v>
      </c>
      <c r="H66" t="s" s="799">
        <f>IF(VLOOKUP($E66,'BDD'!$A$2:$N$567,MATCH($H$23,'BDD'!$A$1:$P$1,0),FALSE)=H$24,H$24,"")</f>
      </c>
      <c r="I66" t="s" s="792">
        <f>IF(VLOOKUP($E66,'BDD'!$A$2:$N$567,MATCH($H$23,'BDD'!$A$1:$P$1,0),FALSE)=I$24,I$24,"")</f>
      </c>
      <c r="J66" t="s" s="792">
        <f>IF(VLOOKUP($E66,'BDD'!$A$2:$N$567,MATCH($H$23,'BDD'!$A$1:$P$1,0),FALSE)=J$24,J$24,"")</f>
        <v>1967</v>
      </c>
      <c r="K66" t="s" s="792">
        <f>IF(VLOOKUP($E66,'BDD'!$A$2:$N$567,MATCH($H$23,'BDD'!$A$1:$P$1,0),FALSE)=K$24,K$24,"")</f>
      </c>
      <c r="L66" t="s" s="783">
        <f>IF(VLOOKUP($E66,'BDD'!$A$2:$N$567,MATCH($H$23,'BDD'!$A$1:$P$1,0),FALSE)=L$24,L$24,"")</f>
      </c>
      <c r="M66" s="794">
        <f>IF(N66="Exigences partiellement respectées",1,IF(N66="Exigences respectées",2,0))</f>
        <v>0</v>
      </c>
      <c r="N66" t="s" s="791">
        <f>VLOOKUP(VLOOKUP(E66,'BDD'!$A$2:$P$428,15,FALSE),'Suppl'!$D$64:$E$68,2,FALSE)</f>
        <v>1751</v>
      </c>
      <c r="O66" s="795"/>
      <c r="P66" s="796"/>
      <c r="Q66" s="796"/>
      <c r="R66" s="796"/>
      <c r="S66" s="797">
        <f>IF(N66='Suppl'!$E$65,0,IF(N66='Suppl'!$E$66,1/2/(_xlfn.COUNTIFS($D1:$D100,D66,$N1:$N100,"Exigences"&amp;"*")+_xlfn.COUNTIFS($D1:$D100,D66,$N1:$N100,"Non"&amp;"*")),IF(N66='Suppl'!$E$67,1/(_xlfn.COUNTIFS($D1:$D100,D66,$N1:$N100,"Exigences"&amp;"*")+_xlfn.COUNTIFS($D1:$D100,D66,$N1:$N100,"Non"&amp;"*")),0)))</f>
        <v>0</v>
      </c>
      <c r="T66" s="797"/>
      <c r="U66" s="797"/>
      <c r="V66" s="798"/>
      <c r="W66" s="789">
        <f>_xlfn.IFERROR(IF(N66='Suppl'!$E$65,0,IF(N66='Suppl'!$E$66,1/2/(_xlfn.COUNTIFS($N1:$N100,"Exigences"&amp;"*")+_xlfn.COUNTIFS($N1:$N100,"Non"&amp;"*")),IF(N66='Suppl'!$E$67,1/(_xlfn.COUNTIFS($N1:$N100,"Exigences"&amp;"*")+_xlfn.COUNTIFS($N1:$N100,"Non"&amp;"*")),0))),0)</f>
        <v>0</v>
      </c>
      <c r="X66" s="586"/>
      <c r="Y66" s="586"/>
      <c r="Z66" s="586"/>
      <c r="AA66" s="586"/>
      <c r="AB66" s="586"/>
      <c r="AC66" s="586"/>
      <c r="AD66" s="586"/>
      <c r="AE66" s="586"/>
      <c r="AF66" s="586"/>
      <c r="AG66" s="586"/>
      <c r="AH66" s="505"/>
      <c r="AI66" s="586"/>
      <c r="AJ66" s="25"/>
      <c r="AK66" s="25"/>
      <c r="AL66" s="25"/>
      <c r="AM66" s="25"/>
      <c r="AN66" s="25"/>
      <c r="AO66" s="25"/>
      <c r="AP66" s="25"/>
      <c r="AQ66" s="25"/>
      <c r="AR66" s="25"/>
      <c r="AS66" s="25"/>
      <c r="AT66" s="25"/>
      <c r="AU66" s="25"/>
      <c r="AV66" s="25"/>
      <c r="AW66" s="25"/>
      <c r="AX66" s="25"/>
      <c r="AY66" s="25"/>
      <c r="AZ66" s="25"/>
      <c r="BA66" s="25"/>
      <c r="BB66" s="25"/>
      <c r="BC66" s="25"/>
      <c r="BD66" s="25"/>
      <c r="BE66" s="25"/>
      <c r="BF66" s="823"/>
    </row>
    <row r="67" ht="30" customHeight="1">
      <c r="A67" s="504"/>
      <c r="B67" s="753"/>
      <c r="C67" t="s" s="754">
        <f>IF(LEFT(RIGHT($B$1,2),1)=" ",RIGHT($B$1,1),RIGHT($B$1,2))</f>
        <v>1913</v>
      </c>
      <c r="D67" s="755">
        <f>IF(LEFT(F67,5)="Bonne",D65+1,D66)</f>
        <v>6</v>
      </c>
      <c r="E67" t="s" s="778">
        <f>C67&amp;D67&amp;RIGHT(F67,1)</f>
        <v>1983</v>
      </c>
      <c r="F67" t="s" s="779">
        <v>1774</v>
      </c>
      <c r="G67" t="s" s="780">
        <f>VLOOKUP(E67,'BDD'!$A$2:$N$567,MATCH(G$24,'BDD'!$A$1:$P$1,0),FALSE)</f>
        <v>609</v>
      </c>
      <c r="H67" t="s" s="799">
        <f>IF(VLOOKUP($E67,'BDD'!$A$2:$N$567,MATCH($H$23,'BDD'!$A$1:$P$1,0),FALSE)=H$24,H$24,"")</f>
      </c>
      <c r="I67" t="s" s="792">
        <f>IF(VLOOKUP($E67,'BDD'!$A$2:$N$567,MATCH($H$23,'BDD'!$A$1:$P$1,0),FALSE)=I$24,I$24,"")</f>
      </c>
      <c r="J67" t="s" s="792">
        <f>IF(VLOOKUP($E67,'BDD'!$A$2:$N$567,MATCH($H$23,'BDD'!$A$1:$P$1,0),FALSE)=J$24,J$24,"")</f>
      </c>
      <c r="K67" t="s" s="792">
        <f>IF(VLOOKUP($E67,'BDD'!$A$2:$N$567,MATCH($H$23,'BDD'!$A$1:$P$1,0),FALSE)=K$24,K$24,"")</f>
        <v>1968</v>
      </c>
      <c r="L67" t="s" s="783">
        <f>IF(VLOOKUP($E67,'BDD'!$A$2:$N$567,MATCH($H$23,'BDD'!$A$1:$P$1,0),FALSE)=L$24,L$24,"")</f>
      </c>
      <c r="M67" s="794">
        <f>IF(N67="Exigences partiellement respectées",1,IF(N67="Exigences respectées",2,0))</f>
        <v>0</v>
      </c>
      <c r="N67" t="s" s="780">
        <f>VLOOKUP(VLOOKUP(E67,'BDD'!$A$2:$P$428,15,FALSE),'Suppl'!$D$64:$E$68,2,FALSE)</f>
        <v>1751</v>
      </c>
      <c r="O67" s="795"/>
      <c r="P67" s="796"/>
      <c r="Q67" s="796"/>
      <c r="R67" s="796"/>
      <c r="S67" s="797">
        <f>IF(N67='Suppl'!$E$65,0,IF(N67='Suppl'!$E$66,1/2/(_xlfn.COUNTIFS($D1:$D100,D67,$N1:$N100,"Exigences"&amp;"*")+_xlfn.COUNTIFS($D1:$D100,D67,$N1:$N100,"Non"&amp;"*")),IF(N67='Suppl'!$E$67,1/(_xlfn.COUNTIFS($D1:$D100,D67,$N1:$N100,"Exigences"&amp;"*")+_xlfn.COUNTIFS($D1:$D100,D67,$N1:$N100,"Non"&amp;"*")),0)))</f>
        <v>0</v>
      </c>
      <c r="T67" s="797"/>
      <c r="U67" s="797"/>
      <c r="V67" s="798"/>
      <c r="W67" s="789">
        <f>_xlfn.IFERROR(IF(N67='Suppl'!$E$65,0,IF(N67='Suppl'!$E$66,1/2/(_xlfn.COUNTIFS($N1:$N100,"Exigences"&amp;"*")+_xlfn.COUNTIFS($N1:$N100,"Non"&amp;"*")),IF(N67='Suppl'!$E$67,1/(_xlfn.COUNTIFS($N1:$N100,"Exigences"&amp;"*")+_xlfn.COUNTIFS($N1:$N100,"Non"&amp;"*")),0))),0)</f>
        <v>0</v>
      </c>
      <c r="X67" s="586"/>
      <c r="Y67" s="586"/>
      <c r="Z67" s="586"/>
      <c r="AA67" s="586"/>
      <c r="AB67" s="586"/>
      <c r="AC67" s="586"/>
      <c r="AD67" s="586"/>
      <c r="AE67" s="586"/>
      <c r="AF67" s="586"/>
      <c r="AG67" s="586"/>
      <c r="AH67" s="505"/>
      <c r="AI67" s="586"/>
      <c r="AJ67" s="25"/>
      <c r="AK67" s="25"/>
      <c r="AL67" s="25"/>
      <c r="AM67" s="25"/>
      <c r="AN67" s="25"/>
      <c r="AO67" s="25"/>
      <c r="AP67" s="25"/>
      <c r="AQ67" s="25"/>
      <c r="AR67" s="25"/>
      <c r="AS67" s="25"/>
      <c r="AT67" s="25"/>
      <c r="AU67" s="25"/>
      <c r="AV67" s="25"/>
      <c r="AW67" s="25"/>
      <c r="AX67" s="25"/>
      <c r="AY67" s="25"/>
      <c r="AZ67" s="25"/>
      <c r="BA67" s="25"/>
      <c r="BB67" s="25"/>
      <c r="BC67" s="25"/>
      <c r="BD67" s="25"/>
      <c r="BE67" s="25"/>
      <c r="BF67" s="823"/>
    </row>
    <row r="68" ht="43.2" customHeight="1">
      <c r="A68" s="504"/>
      <c r="B68" s="753"/>
      <c r="C68" t="s" s="754">
        <f>IF(LEFT(RIGHT($B$1,2),1)=" ",RIGHT($B$1,1),RIGHT($B$1,2))</f>
        <v>1913</v>
      </c>
      <c r="D68" s="755">
        <f>IF(LEFT(F68,5)="Bonne",D66+1,D67)</f>
        <v>6</v>
      </c>
      <c r="E68" t="s" s="778">
        <f>C68&amp;D68&amp;RIGHT(F68,1)</f>
        <v>1984</v>
      </c>
      <c r="F68" t="s" s="790">
        <v>1776</v>
      </c>
      <c r="G68" t="s" s="791">
        <f>VLOOKUP(E68,'BDD'!$A$2:$N$567,MATCH(G$24,'BDD'!$A$1:$P$1,0),FALSE)</f>
        <v>612</v>
      </c>
      <c r="H68" t="s" s="799">
        <f>IF(VLOOKUP($E68,'BDD'!$A$2:$N$567,MATCH($H$23,'BDD'!$A$1:$P$1,0),FALSE)=H$24,H$24,"")</f>
      </c>
      <c r="I68" t="s" s="792">
        <f>IF(VLOOKUP($E68,'BDD'!$A$2:$N$567,MATCH($H$23,'BDD'!$A$1:$P$1,0),FALSE)=I$24,I$24,"")</f>
      </c>
      <c r="J68" t="s" s="792">
        <f>IF(VLOOKUP($E68,'BDD'!$A$2:$N$567,MATCH($H$23,'BDD'!$A$1:$P$1,0),FALSE)=J$24,J$24,"")</f>
      </c>
      <c r="K68" t="s" s="792">
        <f>IF(VLOOKUP($E68,'BDD'!$A$2:$N$567,MATCH($H$23,'BDD'!$A$1:$P$1,0),FALSE)=K$24,K$24,"")</f>
      </c>
      <c r="L68" t="s" s="783">
        <f>IF(VLOOKUP($E68,'BDD'!$A$2:$N$567,MATCH($H$23,'BDD'!$A$1:$P$1,0),FALSE)=L$24,L$24,"")</f>
        <v>1985</v>
      </c>
      <c r="M68" s="794">
        <f>IF(N68="Exigences partiellement respectées",1,IF(N68="Exigences respectées",2,0))</f>
        <v>0</v>
      </c>
      <c r="N68" t="s" s="791">
        <f>VLOOKUP(VLOOKUP(E68,'BDD'!$A$2:$P$428,15,FALSE),'Suppl'!$D$64:$E$68,2,FALSE)</f>
        <v>1751</v>
      </c>
      <c r="O68" s="795"/>
      <c r="P68" s="796"/>
      <c r="Q68" s="796"/>
      <c r="R68" s="796"/>
      <c r="S68" s="797">
        <f>IF(N68='Suppl'!$E$65,0,IF(N68='Suppl'!$E$66,1/2/(_xlfn.COUNTIFS($D1:$D100,D68,$N1:$N100,"Exigences"&amp;"*")+_xlfn.COUNTIFS($D1:$D100,D68,$N1:$N100,"Non"&amp;"*")),IF(N68='Suppl'!$E$67,1/(_xlfn.COUNTIFS($D1:$D100,D68,$N1:$N100,"Exigences"&amp;"*")+_xlfn.COUNTIFS($D1:$D100,D68,$N1:$N100,"Non"&amp;"*")),0)))</f>
        <v>0</v>
      </c>
      <c r="T68" s="797"/>
      <c r="U68" s="797"/>
      <c r="V68" s="798"/>
      <c r="W68" s="789">
        <f>_xlfn.IFERROR(IF(N68='Suppl'!$E$65,0,IF(N68='Suppl'!$E$66,1/2/(_xlfn.COUNTIFS($N1:$N100,"Exigences"&amp;"*")+_xlfn.COUNTIFS($N1:$N100,"Non"&amp;"*")),IF(N68='Suppl'!$E$67,1/(_xlfn.COUNTIFS($N1:$N100,"Exigences"&amp;"*")+_xlfn.COUNTIFS($N1:$N100,"Non"&amp;"*")),0))),0)</f>
        <v>0</v>
      </c>
      <c r="X68" s="586"/>
      <c r="Y68" s="586"/>
      <c r="Z68" s="586"/>
      <c r="AA68" s="586"/>
      <c r="AB68" s="586"/>
      <c r="AC68" s="586"/>
      <c r="AD68" s="586"/>
      <c r="AE68" s="586"/>
      <c r="AF68" s="586"/>
      <c r="AG68" s="586"/>
      <c r="AH68" s="505"/>
      <c r="AI68" s="586"/>
      <c r="AJ68" s="25"/>
      <c r="AK68" s="25"/>
      <c r="AL68" s="25"/>
      <c r="AM68" s="25"/>
      <c r="AN68" s="25"/>
      <c r="AO68" s="25"/>
      <c r="AP68" s="25"/>
      <c r="AQ68" s="25"/>
      <c r="AR68" s="25"/>
      <c r="AS68" s="25"/>
      <c r="AT68" s="25"/>
      <c r="AU68" s="25"/>
      <c r="AV68" s="25"/>
      <c r="AW68" s="25"/>
      <c r="AX68" s="25"/>
      <c r="AY68" s="25"/>
      <c r="AZ68" s="25"/>
      <c r="BA68" s="25"/>
      <c r="BB68" s="25"/>
      <c r="BC68" s="25"/>
      <c r="BD68" s="25"/>
      <c r="BE68" s="25"/>
      <c r="BF68" s="823"/>
    </row>
    <row r="69" ht="30" customHeight="1">
      <c r="A69" s="504"/>
      <c r="B69" s="753"/>
      <c r="C69" t="s" s="754">
        <f>IF(LEFT(RIGHT($B$1,2),1)=" ",RIGHT($B$1,1),RIGHT($B$1,2))</f>
        <v>1913</v>
      </c>
      <c r="D69" s="755">
        <f>IF(LEFT(F69,5)="Bonne",D67+1,D68)</f>
        <v>6</v>
      </c>
      <c r="E69" t="s" s="806">
        <f>C69&amp;D69&amp;RIGHT(F69,1)</f>
        <v>1986</v>
      </c>
      <c r="F69" t="s" s="779">
        <v>1778</v>
      </c>
      <c r="G69" t="s" s="780">
        <f>VLOOKUP(E69,'BDD'!$A$2:$N$567,MATCH(G$24,'BDD'!$A$1:$P$1,0),FALSE)</f>
        <v>614</v>
      </c>
      <c r="H69" t="s" s="799">
        <f>IF(VLOOKUP($E69,'BDD'!$A$2:$N$567,MATCH($H$23,'BDD'!$A$1:$P$1,0),FALSE)=H$24,H$24,"")</f>
      </c>
      <c r="I69" t="s" s="792">
        <f>IF(VLOOKUP($E69,'BDD'!$A$2:$N$567,MATCH($H$23,'BDD'!$A$1:$P$1,0),FALSE)=I$24,I$24,"")</f>
      </c>
      <c r="J69" t="s" s="792">
        <f>IF(VLOOKUP($E69,'BDD'!$A$2:$N$567,MATCH($H$23,'BDD'!$A$1:$P$1,0),FALSE)=J$24,J$24,"")</f>
      </c>
      <c r="K69" t="s" s="792">
        <f>IF(VLOOKUP($E69,'BDD'!$A$2:$N$567,MATCH($H$23,'BDD'!$A$1:$P$1,0),FALSE)=K$24,K$24,"")</f>
      </c>
      <c r="L69" t="s" s="783">
        <f>IF(VLOOKUP($E69,'BDD'!$A$2:$N$567,MATCH($H$23,'BDD'!$A$1:$P$1,0),FALSE)=L$24,L$24,"")</f>
        <v>1985</v>
      </c>
      <c r="M69" s="800">
        <f>IF(N69="Exigences partiellement respectées",1,IF(N69="Exigences respectées",2,0))</f>
        <v>0</v>
      </c>
      <c r="N69" t="s" s="780">
        <f>VLOOKUP(VLOOKUP(E69,'BDD'!$A$2:$P$428,15,FALSE),'Suppl'!$D$64:$E$68,2,FALSE)</f>
        <v>1751</v>
      </c>
      <c r="O69" s="801"/>
      <c r="P69" s="802"/>
      <c r="Q69" s="802"/>
      <c r="R69" s="802"/>
      <c r="S69" s="803">
        <f>IF(N69='Suppl'!$E$65,0,IF(N69='Suppl'!$E$66,1/2/(_xlfn.COUNTIFS($D1:$D100,D69,$N1:$N100,"Exigences"&amp;"*")+_xlfn.COUNTIFS($D1:$D100,D69,$N1:$N100,"Non"&amp;"*")),IF(N69='Suppl'!$E$67,1/(_xlfn.COUNTIFS($D1:$D100,D69,$N1:$N100,"Exigences"&amp;"*")+_xlfn.COUNTIFS($D1:$D100,D69,$N1:$N100,"Non"&amp;"*")),0)))</f>
        <v>0</v>
      </c>
      <c r="T69" s="803"/>
      <c r="U69" s="803"/>
      <c r="V69" s="804"/>
      <c r="W69" s="789">
        <f>_xlfn.IFERROR(IF(N69='Suppl'!$E$65,0,IF(N69='Suppl'!$E$66,1/2/(_xlfn.COUNTIFS($N1:$N100,"Exigences"&amp;"*")+_xlfn.COUNTIFS($N1:$N100,"Non"&amp;"*")),IF(N69='Suppl'!$E$67,1/(_xlfn.COUNTIFS($N1:$N100,"Exigences"&amp;"*")+_xlfn.COUNTIFS($N1:$N100,"Non"&amp;"*")),0))),0)</f>
        <v>0</v>
      </c>
      <c r="X69" s="586"/>
      <c r="Y69" s="586"/>
      <c r="Z69" s="586"/>
      <c r="AA69" s="586"/>
      <c r="AB69" s="586"/>
      <c r="AC69" s="586"/>
      <c r="AD69" s="586"/>
      <c r="AE69" s="586"/>
      <c r="AF69" s="586"/>
      <c r="AG69" s="586"/>
      <c r="AH69" s="505"/>
      <c r="AI69" s="586"/>
      <c r="AJ69" s="25"/>
      <c r="AK69" s="25"/>
      <c r="AL69" s="25"/>
      <c r="AM69" s="25"/>
      <c r="AN69" s="25"/>
      <c r="AO69" s="25"/>
      <c r="AP69" s="25"/>
      <c r="AQ69" s="25"/>
      <c r="AR69" s="25"/>
      <c r="AS69" s="25"/>
      <c r="AT69" s="25"/>
      <c r="AU69" s="25"/>
      <c r="AV69" s="25"/>
      <c r="AW69" s="25"/>
      <c r="AX69" s="25"/>
      <c r="AY69" s="25"/>
      <c r="AZ69" s="25"/>
      <c r="BA69" s="25"/>
      <c r="BB69" s="25"/>
      <c r="BC69" s="25"/>
      <c r="BD69" s="25"/>
      <c r="BE69" s="25"/>
      <c r="BF69" s="823"/>
    </row>
    <row r="70" ht="30" customHeight="1">
      <c r="A70" s="504"/>
      <c r="B70" s="753"/>
      <c r="C70" t="s" s="754">
        <f>IF(LEFT(RIGHT($B$1,2),1)=" ",RIGHT($B$1,1),RIGHT($B$1,2))</f>
        <v>1913</v>
      </c>
      <c r="D70" s="755">
        <v>7</v>
      </c>
      <c r="E70" s="807"/>
      <c r="F70" t="s" s="757">
        <v>1888</v>
      </c>
      <c r="G70" t="s" s="758">
        <f>VLOOKUP(E72,'BDD'!$A$2:$N$567,6,FALSE)</f>
        <v>618</v>
      </c>
      <c r="H70" s="759"/>
      <c r="I70" s="760"/>
      <c r="J70" s="760"/>
      <c r="K70" s="760"/>
      <c r="L70" s="761"/>
      <c r="M70" s="762"/>
      <c r="N70" s="763"/>
      <c r="O70" s="764">
        <v>0</v>
      </c>
      <c r="P70" s="764"/>
      <c r="Q70" s="764"/>
      <c r="R70" s="764"/>
      <c r="S70" s="765">
        <f>_xlfn.SUMIFS(S1:S100,$D1:$D100,D70,$N1:$N100,"Exigences"&amp;"*")</f>
      </c>
      <c r="T70" s="765"/>
      <c r="U70" s="765"/>
      <c r="V70" s="766"/>
      <c r="W70" s="789">
        <f>_xlfn.IFERROR(IF(N70='Suppl'!$E$65,0,IF(N70='Suppl'!$E$66,1/2/(_xlfn.COUNTIFS($N1:$N100,"Exigences"&amp;"*")+_xlfn.COUNTIFS($N1:$N100,"Non"&amp;"*")),IF(N70='Suppl'!$E$67,1/(_xlfn.COUNTIFS($N1:$N100,"Exigences"&amp;"*")+_xlfn.COUNTIFS($N1:$N100,"Non"&amp;"*")),0))),0)</f>
        <v>0</v>
      </c>
      <c r="X70" s="586"/>
      <c r="Y70" s="586"/>
      <c r="Z70" s="586"/>
      <c r="AA70" s="586"/>
      <c r="AB70" s="586"/>
      <c r="AC70" s="586"/>
      <c r="AD70" s="586"/>
      <c r="AE70" s="586"/>
      <c r="AF70" s="586"/>
      <c r="AG70" s="586"/>
      <c r="AH70" s="505"/>
      <c r="AI70" s="586"/>
      <c r="AJ70" s="25"/>
      <c r="AK70" s="25"/>
      <c r="AL70" s="25"/>
      <c r="AM70" s="25"/>
      <c r="AN70" s="25"/>
      <c r="AO70" s="25"/>
      <c r="AP70" s="25"/>
      <c r="AQ70" s="25"/>
      <c r="AR70" s="25"/>
      <c r="AS70" s="25"/>
      <c r="AT70" s="25"/>
      <c r="AU70" s="25"/>
      <c r="AV70" s="25"/>
      <c r="AW70" s="25"/>
      <c r="AX70" s="25"/>
      <c r="AY70" s="25"/>
      <c r="AZ70" s="25"/>
      <c r="BA70" s="25"/>
      <c r="BB70" s="25"/>
      <c r="BC70" s="25"/>
      <c r="BD70" s="25"/>
      <c r="BE70" s="25"/>
      <c r="BF70" s="823"/>
    </row>
    <row r="71" ht="30" customHeight="1">
      <c r="A71" s="504"/>
      <c r="B71" s="753"/>
      <c r="C71" t="s" s="754">
        <f>IF(LEFT(RIGHT($B$1,2),1)=" ",RIGHT($B$1,1),RIGHT($B$1,2))</f>
        <v>1913</v>
      </c>
      <c r="D71" s="755">
        <v>7</v>
      </c>
      <c r="E71" s="808"/>
      <c r="F71" t="s" s="769">
        <v>1835</v>
      </c>
      <c r="G71" t="s" s="770">
        <f>VLOOKUP(E73,'BDD'!$A$2:$N$567,7,FALSE)</f>
        <v>1987</v>
      </c>
      <c r="H71" s="771"/>
      <c r="I71" s="771"/>
      <c r="J71" s="771"/>
      <c r="K71" s="771"/>
      <c r="L71" s="772"/>
      <c r="M71" s="773"/>
      <c r="N71" s="774"/>
      <c r="O71" s="775"/>
      <c r="P71" s="775"/>
      <c r="Q71" s="775"/>
      <c r="R71" s="775"/>
      <c r="S71" s="776"/>
      <c r="T71" s="776"/>
      <c r="U71" s="776"/>
      <c r="V71" s="777"/>
      <c r="W71" s="789">
        <f>_xlfn.IFERROR(IF(N71='Suppl'!$E$65,0,IF(N71='Suppl'!$E$66,1/2/(_xlfn.COUNTIFS($N1:$N100,"Exigences"&amp;"*")+_xlfn.COUNTIFS($N1:$N100,"Non"&amp;"*")),IF(N71='Suppl'!$E$67,1/(_xlfn.COUNTIFS($N1:$N100,"Exigences"&amp;"*")+_xlfn.COUNTIFS($N1:$N100,"Non"&amp;"*")),0))),0)</f>
        <v>0</v>
      </c>
      <c r="X71" s="586"/>
      <c r="Y71" s="586"/>
      <c r="Z71" s="586"/>
      <c r="AA71" s="586"/>
      <c r="AB71" s="586"/>
      <c r="AC71" s="586"/>
      <c r="AD71" s="586"/>
      <c r="AE71" s="586"/>
      <c r="AF71" s="586"/>
      <c r="AG71" s="586"/>
      <c r="AH71" s="505"/>
      <c r="AI71" s="586"/>
      <c r="AJ71" s="25"/>
      <c r="AK71" s="25"/>
      <c r="AL71" s="25"/>
      <c r="AM71" s="25"/>
      <c r="AN71" s="25"/>
      <c r="AO71" s="25"/>
      <c r="AP71" s="25"/>
      <c r="AQ71" s="25"/>
      <c r="AR71" s="25"/>
      <c r="AS71" s="25"/>
      <c r="AT71" s="25"/>
      <c r="AU71" s="25"/>
      <c r="AV71" s="25"/>
      <c r="AW71" s="25"/>
      <c r="AX71" s="25"/>
      <c r="AY71" s="25"/>
      <c r="AZ71" s="25"/>
      <c r="BA71" s="25"/>
      <c r="BB71" s="25"/>
      <c r="BC71" s="25"/>
      <c r="BD71" s="25"/>
      <c r="BE71" s="25"/>
      <c r="BF71" s="823"/>
    </row>
    <row r="72" ht="30" customHeight="1">
      <c r="A72" s="504"/>
      <c r="B72" s="753"/>
      <c r="C72" t="s" s="754">
        <f>IF(LEFT(RIGHT($B$1,2),1)=" ",RIGHT($B$1,1),RIGHT($B$1,2))</f>
        <v>1913</v>
      </c>
      <c r="D72" s="755">
        <f>IF(LEFT(F72,5)="Bonne",D70+1,D71)</f>
        <v>7</v>
      </c>
      <c r="E72" t="s" s="812">
        <f>C72&amp;D72&amp;RIGHT(F72,1)</f>
        <v>1988</v>
      </c>
      <c r="F72" t="s" s="779">
        <v>1769</v>
      </c>
      <c r="G72" t="s" s="780">
        <f>VLOOKUP(E72,'BDD'!$A$2:$N$567,MATCH(G$24,'BDD'!$A$1:$P$1,0),FALSE)</f>
        <v>621</v>
      </c>
      <c r="H72" t="s" s="799">
        <f>IF(VLOOKUP($E72,'BDD'!$A$2:$N$567,MATCH($H$23,'BDD'!$A$1:$P$1,0),FALSE)=H$24,H$24,"")</f>
        <v>1966</v>
      </c>
      <c r="I72" t="s" s="792">
        <f>IF(VLOOKUP($E72,'BDD'!$A$2:$N$567,MATCH($H$23,'BDD'!$A$1:$P$1,0),FALSE)=I$24,I$24,"")</f>
      </c>
      <c r="J72" t="s" s="792">
        <f>IF(VLOOKUP($E72,'BDD'!$A$2:$N$567,MATCH($H$23,'BDD'!$A$1:$P$1,0),FALSE)=J$24,J$24,"")</f>
      </c>
      <c r="K72" t="s" s="792">
        <f>IF(VLOOKUP($E72,'BDD'!$A$2:$N$567,MATCH($H$23,'BDD'!$A$1:$P$1,0),FALSE)=K$24,K$24,"")</f>
      </c>
      <c r="L72" t="s" s="783">
        <f>IF(VLOOKUP($E72,'BDD'!$A$2:$N$567,MATCH($H$23,'BDD'!$A$1:$P$1,0),FALSE)=L$24,L$24,"")</f>
      </c>
      <c r="M72" s="784">
        <f>IF(N72="Exigences partiellement respectées",1,IF(N72="Exigences respectées",2,0))</f>
        <v>0</v>
      </c>
      <c r="N72" t="s" s="780">
        <f>VLOOKUP(VLOOKUP(E72,'BDD'!$A$2:$P$428,15,FALSE),'Suppl'!$D$64:$E$68,2,FALSE)</f>
        <v>1751</v>
      </c>
      <c r="O72" s="785"/>
      <c r="P72" s="786"/>
      <c r="Q72" s="786"/>
      <c r="R72" s="786"/>
      <c r="S72" s="787">
        <f>IF(N72='Suppl'!$E$65,0,IF(N72='Suppl'!$E$66,1/2/(_xlfn.COUNTIFS($D1:$D100,D72,$N1:$N100,"Exigences"&amp;"*")+_xlfn.COUNTIFS($D1:$D100,D72,$N1:$N100,"Non"&amp;"*")),IF(N72='Suppl'!$E$67,1/(_xlfn.COUNTIFS($D1:$D100,D72,$N1:$N100,"Exigences"&amp;"*")+_xlfn.COUNTIFS($D1:$D100,D72,$N1:$N100,"Non"&amp;"*")),0)))</f>
        <v>0</v>
      </c>
      <c r="T72" s="787"/>
      <c r="U72" s="787"/>
      <c r="V72" s="788"/>
      <c r="W72" s="789">
        <f>_xlfn.IFERROR(IF(N72='Suppl'!$E$65,0,IF(N72='Suppl'!$E$66,1/2/(_xlfn.COUNTIFS($N1:$N100,"Exigences"&amp;"*")+_xlfn.COUNTIFS($N1:$N100,"Non"&amp;"*")),IF(N72='Suppl'!$E$67,1/(_xlfn.COUNTIFS($N1:$N100,"Exigences"&amp;"*")+_xlfn.COUNTIFS($N1:$N100,"Non"&amp;"*")),0))),0)</f>
        <v>0</v>
      </c>
      <c r="X72" s="586"/>
      <c r="Y72" s="586"/>
      <c r="Z72" s="586"/>
      <c r="AA72" s="586"/>
      <c r="AB72" s="586"/>
      <c r="AC72" s="586"/>
      <c r="AD72" s="586"/>
      <c r="AE72" s="586"/>
      <c r="AF72" s="586"/>
      <c r="AG72" s="586"/>
      <c r="AH72" s="505"/>
      <c r="AI72" s="586"/>
      <c r="AJ72" s="25"/>
      <c r="AK72" s="25"/>
      <c r="AL72" s="25"/>
      <c r="AM72" s="25"/>
      <c r="AN72" s="25"/>
      <c r="AO72" s="25"/>
      <c r="AP72" s="25"/>
      <c r="AQ72" s="25"/>
      <c r="AR72" s="25"/>
      <c r="AS72" s="25"/>
      <c r="AT72" s="25"/>
      <c r="AU72" s="25"/>
      <c r="AV72" s="25"/>
      <c r="AW72" s="25"/>
      <c r="AX72" s="25"/>
      <c r="AY72" s="25"/>
      <c r="AZ72" s="25"/>
      <c r="BA72" s="25"/>
      <c r="BB72" s="25"/>
      <c r="BC72" s="25"/>
      <c r="BD72" s="25"/>
      <c r="BE72" s="25"/>
      <c r="BF72" s="823"/>
    </row>
    <row r="73" ht="30" customHeight="1">
      <c r="A73" s="504"/>
      <c r="B73" s="753"/>
      <c r="C73" t="s" s="754">
        <f>IF(LEFT(RIGHT($B$1,2),1)=" ",RIGHT($B$1,1),RIGHT($B$1,2))</f>
        <v>1913</v>
      </c>
      <c r="D73" s="755">
        <f>IF(LEFT(F73,5)="Bonne",D71+1,D72)</f>
        <v>7</v>
      </c>
      <c r="E73" t="s" s="778">
        <f>C73&amp;D73&amp;RIGHT(F73,1)</f>
        <v>1989</v>
      </c>
      <c r="F73" t="s" s="790">
        <v>1837</v>
      </c>
      <c r="G73" t="s" s="791">
        <f>VLOOKUP(E73,'BDD'!$A$2:$N$567,MATCH(G$24,'BDD'!$A$1:$P$1,0),FALSE)</f>
        <v>625</v>
      </c>
      <c r="H73" t="s" s="799">
        <f>IF(VLOOKUP($E73,'BDD'!$A$2:$N$567,MATCH($H$23,'BDD'!$A$1:$P$1,0),FALSE)=H$24,H$24,"")</f>
        <v>1966</v>
      </c>
      <c r="I73" t="s" s="792">
        <f>IF(VLOOKUP($E73,'BDD'!$A$2:$N$567,MATCH($H$23,'BDD'!$A$1:$P$1,0),FALSE)=I$24,I$24,"")</f>
      </c>
      <c r="J73" t="s" s="792">
        <f>IF(VLOOKUP($E73,'BDD'!$A$2:$N$567,MATCH($H$23,'BDD'!$A$1:$P$1,0),FALSE)=J$24,J$24,"")</f>
      </c>
      <c r="K73" t="s" s="792">
        <f>IF(VLOOKUP($E73,'BDD'!$A$2:$N$567,MATCH($H$23,'BDD'!$A$1:$P$1,0),FALSE)=K$24,K$24,"")</f>
      </c>
      <c r="L73" t="s" s="783">
        <f>IF(VLOOKUP($E73,'BDD'!$A$2:$N$567,MATCH($H$23,'BDD'!$A$1:$P$1,0),FALSE)=L$24,L$24,"")</f>
      </c>
      <c r="M73" s="794">
        <f>IF(N73="Exigences partiellement respectées",1,IF(N73="Exigences respectées",2,0))</f>
        <v>0</v>
      </c>
      <c r="N73" t="s" s="791">
        <f>VLOOKUP(VLOOKUP(E73,'BDD'!$A$2:$P$428,15,FALSE),'Suppl'!$D$64:$E$68,2,FALSE)</f>
        <v>1751</v>
      </c>
      <c r="O73" s="795"/>
      <c r="P73" s="796"/>
      <c r="Q73" s="796"/>
      <c r="R73" s="796"/>
      <c r="S73" s="797">
        <f>IF(N73='Suppl'!$E$65,0,IF(N73='Suppl'!$E$66,1/2/(_xlfn.COUNTIFS($D1:$D100,D73,$N1:$N100,"Exigences"&amp;"*")+_xlfn.COUNTIFS($D1:$D100,D73,$N1:$N100,"Non"&amp;"*")),IF(N73='Suppl'!$E$67,1/(_xlfn.COUNTIFS($D1:$D100,D73,$N1:$N100,"Exigences"&amp;"*")+_xlfn.COUNTIFS($D1:$D100,D73,$N1:$N100,"Non"&amp;"*")),0)))</f>
        <v>0</v>
      </c>
      <c r="T73" s="797"/>
      <c r="U73" s="797"/>
      <c r="V73" s="798"/>
      <c r="W73" s="789">
        <f>_xlfn.IFERROR(IF(N73='Suppl'!$E$65,0,IF(N73='Suppl'!$E$66,1/2/(_xlfn.COUNTIFS($N1:$N100,"Exigences"&amp;"*")+_xlfn.COUNTIFS($N1:$N100,"Non"&amp;"*")),IF(N73='Suppl'!$E$67,1/(_xlfn.COUNTIFS($N1:$N100,"Exigences"&amp;"*")+_xlfn.COUNTIFS($N1:$N100,"Non"&amp;"*")),0))),0)</f>
        <v>0</v>
      </c>
      <c r="X73" s="586"/>
      <c r="Y73" s="586"/>
      <c r="Z73" s="586"/>
      <c r="AA73" s="586"/>
      <c r="AB73" s="586"/>
      <c r="AC73" s="586"/>
      <c r="AD73" s="586"/>
      <c r="AE73" s="586"/>
      <c r="AF73" s="586"/>
      <c r="AG73" s="586"/>
      <c r="AH73" s="505"/>
      <c r="AI73" s="586"/>
      <c r="AJ73" s="25"/>
      <c r="AK73" s="25"/>
      <c r="AL73" s="25"/>
      <c r="AM73" s="25"/>
      <c r="AN73" s="25"/>
      <c r="AO73" s="25"/>
      <c r="AP73" s="25"/>
      <c r="AQ73" s="25"/>
      <c r="AR73" s="25"/>
      <c r="AS73" s="25"/>
      <c r="AT73" s="25"/>
      <c r="AU73" s="25"/>
      <c r="AV73" s="25"/>
      <c r="AW73" s="25"/>
      <c r="AX73" s="25"/>
      <c r="AY73" s="25"/>
      <c r="AZ73" s="25"/>
      <c r="BA73" s="25"/>
      <c r="BB73" s="25"/>
      <c r="BC73" s="25"/>
      <c r="BD73" s="25"/>
      <c r="BE73" s="25"/>
      <c r="BF73" s="823"/>
    </row>
    <row r="74" ht="30" customHeight="1">
      <c r="A74" s="504"/>
      <c r="B74" s="753"/>
      <c r="C74" t="s" s="754">
        <f>IF(LEFT(RIGHT($B$1,2),1)=" ",RIGHT($B$1,1),RIGHT($B$1,2))</f>
        <v>1913</v>
      </c>
      <c r="D74" s="755">
        <f>IF(LEFT(F74,5)="Bonne",D72+1,D73)</f>
        <v>7</v>
      </c>
      <c r="E74" t="s" s="778">
        <f>C74&amp;D74&amp;RIGHT(F74,1)</f>
        <v>1990</v>
      </c>
      <c r="F74" t="s" s="779">
        <v>1774</v>
      </c>
      <c r="G74" t="s" s="780">
        <f>VLOOKUP(E74,'BDD'!$A$2:$N$567,MATCH(G$24,'BDD'!$A$1:$P$1,0),FALSE)</f>
        <v>629</v>
      </c>
      <c r="H74" t="s" s="799">
        <f>IF(VLOOKUP($E74,'BDD'!$A$2:$N$567,MATCH($H$23,'BDD'!$A$1:$P$1,0),FALSE)=H$24,H$24,"")</f>
      </c>
      <c r="I74" t="s" s="792">
        <f>IF(VLOOKUP($E74,'BDD'!$A$2:$N$567,MATCH($H$23,'BDD'!$A$1:$P$1,0),FALSE)=I$24,I$24,"")</f>
      </c>
      <c r="J74" t="s" s="792">
        <f>IF(VLOOKUP($E74,'BDD'!$A$2:$N$567,MATCH($H$23,'BDD'!$A$1:$P$1,0),FALSE)=J$24,J$24,"")</f>
        <v>1967</v>
      </c>
      <c r="K74" t="s" s="792">
        <f>IF(VLOOKUP($E74,'BDD'!$A$2:$N$567,MATCH($H$23,'BDD'!$A$1:$P$1,0),FALSE)=K$24,K$24,"")</f>
      </c>
      <c r="L74" t="s" s="783">
        <f>IF(VLOOKUP($E74,'BDD'!$A$2:$N$567,MATCH($H$23,'BDD'!$A$1:$P$1,0),FALSE)=L$24,L$24,"")</f>
      </c>
      <c r="M74" s="794">
        <f>IF(N74="Exigences partiellement respectées",1,IF(N74="Exigences respectées",2,0))</f>
        <v>0</v>
      </c>
      <c r="N74" t="s" s="780">
        <f>VLOOKUP(VLOOKUP(E74,'BDD'!$A$2:$P$428,15,FALSE),'Suppl'!$D$64:$E$68,2,FALSE)</f>
        <v>1751</v>
      </c>
      <c r="O74" s="795"/>
      <c r="P74" s="796"/>
      <c r="Q74" s="796"/>
      <c r="R74" s="796"/>
      <c r="S74" s="797">
        <f>IF(N74='Suppl'!$E$65,0,IF(N74='Suppl'!$E$66,1/2/(_xlfn.COUNTIFS($D1:$D100,D74,$N1:$N100,"Exigences"&amp;"*")+_xlfn.COUNTIFS($D1:$D100,D74,$N1:$N100,"Non"&amp;"*")),IF(N74='Suppl'!$E$67,1/(_xlfn.COUNTIFS($D1:$D100,D74,$N1:$N100,"Exigences"&amp;"*")+_xlfn.COUNTIFS($D1:$D100,D74,$N1:$N100,"Non"&amp;"*")),0)))</f>
        <v>0</v>
      </c>
      <c r="T74" s="797"/>
      <c r="U74" s="797"/>
      <c r="V74" s="798"/>
      <c r="W74" s="789">
        <f>_xlfn.IFERROR(IF(N74='Suppl'!$E$65,0,IF(N74='Suppl'!$E$66,1/2/(_xlfn.COUNTIFS($N1:$N100,"Exigences"&amp;"*")+_xlfn.COUNTIFS($N1:$N100,"Non"&amp;"*")),IF(N74='Suppl'!$E$67,1/(_xlfn.COUNTIFS($N1:$N100,"Exigences"&amp;"*")+_xlfn.COUNTIFS($N1:$N100,"Non"&amp;"*")),0))),0)</f>
        <v>0</v>
      </c>
      <c r="X74" s="586"/>
      <c r="Y74" s="586"/>
      <c r="Z74" s="586"/>
      <c r="AA74" s="586"/>
      <c r="AB74" s="586"/>
      <c r="AC74" s="586"/>
      <c r="AD74" s="586"/>
      <c r="AE74" s="586"/>
      <c r="AF74" s="586"/>
      <c r="AG74" s="586"/>
      <c r="AH74" s="505"/>
      <c r="AI74" s="586"/>
      <c r="AJ74" s="25"/>
      <c r="AK74" s="25"/>
      <c r="AL74" s="25"/>
      <c r="AM74" s="25"/>
      <c r="AN74" s="25"/>
      <c r="AO74" s="25"/>
      <c r="AP74" s="25"/>
      <c r="AQ74" s="25"/>
      <c r="AR74" s="25"/>
      <c r="AS74" s="25"/>
      <c r="AT74" s="25"/>
      <c r="AU74" s="25"/>
      <c r="AV74" s="25"/>
      <c r="AW74" s="25"/>
      <c r="AX74" s="25"/>
      <c r="AY74" s="25"/>
      <c r="AZ74" s="25"/>
      <c r="BA74" s="25"/>
      <c r="BB74" s="25"/>
      <c r="BC74" s="25"/>
      <c r="BD74" s="25"/>
      <c r="BE74" s="25"/>
      <c r="BF74" s="823"/>
    </row>
    <row r="75" ht="41.4" customHeight="1">
      <c r="A75" s="504"/>
      <c r="B75" s="753"/>
      <c r="C75" t="s" s="754">
        <f>IF(LEFT(RIGHT($B$1,2),1)=" ",RIGHT($B$1,1),RIGHT($B$1,2))</f>
        <v>1913</v>
      </c>
      <c r="D75" s="755">
        <f>IF(LEFT(F75,5)="Bonne",D73+1,D74)</f>
        <v>7</v>
      </c>
      <c r="E75" t="s" s="778">
        <f>C75&amp;D75&amp;RIGHT(F75,1)</f>
        <v>1991</v>
      </c>
      <c r="F75" t="s" s="790">
        <v>1776</v>
      </c>
      <c r="G75" t="s" s="791">
        <f>VLOOKUP(E75,'BDD'!$A$2:$N$567,MATCH(G$24,'BDD'!$A$1:$P$1,0),FALSE)</f>
        <v>632</v>
      </c>
      <c r="H75" t="s" s="799">
        <f>IF(VLOOKUP($E75,'BDD'!$A$2:$N$567,MATCH($H$23,'BDD'!$A$1:$P$1,0),FALSE)=H$24,H$24,"")</f>
      </c>
      <c r="I75" t="s" s="792">
        <f>IF(VLOOKUP($E75,'BDD'!$A$2:$N$567,MATCH($H$23,'BDD'!$A$1:$P$1,0),FALSE)=I$24,I$24,"")</f>
        <v>1969</v>
      </c>
      <c r="J75" t="s" s="792">
        <f>IF(VLOOKUP($E75,'BDD'!$A$2:$N$567,MATCH($H$23,'BDD'!$A$1:$P$1,0),FALSE)=J$24,J$24,"")</f>
      </c>
      <c r="K75" t="s" s="792">
        <f>IF(VLOOKUP($E75,'BDD'!$A$2:$N$567,MATCH($H$23,'BDD'!$A$1:$P$1,0),FALSE)=K$24,K$24,"")</f>
      </c>
      <c r="L75" t="s" s="783">
        <f>IF(VLOOKUP($E75,'BDD'!$A$2:$N$567,MATCH($H$23,'BDD'!$A$1:$P$1,0),FALSE)=L$24,L$24,"")</f>
      </c>
      <c r="M75" s="794">
        <f>IF(N75="Exigences partiellement respectées",1,IF(N75="Exigences respectées",2,0))</f>
        <v>0</v>
      </c>
      <c r="N75" t="s" s="791">
        <f>VLOOKUP(VLOOKUP(E75,'BDD'!$A$2:$P$428,15,FALSE),'Suppl'!$D$64:$E$68,2,FALSE)</f>
        <v>1751</v>
      </c>
      <c r="O75" s="795"/>
      <c r="P75" s="796"/>
      <c r="Q75" s="796"/>
      <c r="R75" s="796"/>
      <c r="S75" s="797">
        <f>IF(N75='Suppl'!$E$65,0,IF(N75='Suppl'!$E$66,1/2/(_xlfn.COUNTIFS($D1:$D100,D75,$N1:$N100,"Exigences"&amp;"*")+_xlfn.COUNTIFS($D1:$D100,D75,$N1:$N100,"Non"&amp;"*")),IF(N75='Suppl'!$E$67,1/(_xlfn.COUNTIFS($D1:$D100,D75,$N1:$N100,"Exigences"&amp;"*")+_xlfn.COUNTIFS($D1:$D100,D75,$N1:$N100,"Non"&amp;"*")),0)))</f>
        <v>0</v>
      </c>
      <c r="T75" s="797"/>
      <c r="U75" s="797"/>
      <c r="V75" s="798"/>
      <c r="W75" s="789">
        <f>_xlfn.IFERROR(IF(N75='Suppl'!$E$65,0,IF(N75='Suppl'!$E$66,1/2/(_xlfn.COUNTIFS($N1:$N100,"Exigences"&amp;"*")+_xlfn.COUNTIFS($N1:$N100,"Non"&amp;"*")),IF(N75='Suppl'!$E$67,1/(_xlfn.COUNTIFS($N1:$N100,"Exigences"&amp;"*")+_xlfn.COUNTIFS($N1:$N100,"Non"&amp;"*")),0))),0)</f>
        <v>0</v>
      </c>
      <c r="X75" s="586"/>
      <c r="Y75" s="586"/>
      <c r="Z75" s="586"/>
      <c r="AA75" s="586"/>
      <c r="AB75" s="586"/>
      <c r="AC75" s="586"/>
      <c r="AD75" s="586"/>
      <c r="AE75" s="586"/>
      <c r="AF75" s="586"/>
      <c r="AG75" s="586"/>
      <c r="AH75" s="505"/>
      <c r="AI75" s="586"/>
      <c r="AJ75" s="25"/>
      <c r="AK75" s="25"/>
      <c r="AL75" s="25"/>
      <c r="AM75" s="25"/>
      <c r="AN75" s="25"/>
      <c r="AO75" s="25"/>
      <c r="AP75" s="25"/>
      <c r="AQ75" s="25"/>
      <c r="AR75" s="25"/>
      <c r="AS75" s="25"/>
      <c r="AT75" s="25"/>
      <c r="AU75" s="25"/>
      <c r="AV75" s="25"/>
      <c r="AW75" s="25"/>
      <c r="AX75" s="25"/>
      <c r="AY75" s="25"/>
      <c r="AZ75" s="25"/>
      <c r="BA75" s="25"/>
      <c r="BB75" s="25"/>
      <c r="BC75" s="25"/>
      <c r="BD75" s="25"/>
      <c r="BE75" s="25"/>
      <c r="BF75" s="823"/>
    </row>
    <row r="76" ht="56.4" customHeight="1">
      <c r="A76" s="504"/>
      <c r="B76" s="753"/>
      <c r="C76" t="s" s="754">
        <f>IF(LEFT(RIGHT($B$1,2),1)=" ",RIGHT($B$1,1),RIGHT($B$1,2))</f>
        <v>1913</v>
      </c>
      <c r="D76" s="755">
        <f>IF(LEFT(F76,5)="Bonne",D74+1,D75)</f>
        <v>7</v>
      </c>
      <c r="E76" t="s" s="778">
        <f>C76&amp;D76&amp;RIGHT(F76,1)</f>
        <v>1992</v>
      </c>
      <c r="F76" t="s" s="779">
        <v>1778</v>
      </c>
      <c r="G76" t="s" s="780">
        <f>VLOOKUP(E76,'BDD'!$A$2:$N$567,MATCH(G$24,'BDD'!$A$1:$P$1,0),FALSE)</f>
        <v>636</v>
      </c>
      <c r="H76" t="s" s="799">
        <f>IF(VLOOKUP($E76,'BDD'!$A$2:$N$567,MATCH($H$23,'BDD'!$A$1:$P$1,0),FALSE)=H$24,H$24,"")</f>
      </c>
      <c r="I76" t="s" s="792">
        <f>IF(VLOOKUP($E76,'BDD'!$A$2:$N$567,MATCH($H$23,'BDD'!$A$1:$P$1,0),FALSE)=I$24,I$24,"")</f>
      </c>
      <c r="J76" t="s" s="792">
        <f>IF(VLOOKUP($E76,'BDD'!$A$2:$N$567,MATCH($H$23,'BDD'!$A$1:$P$1,0),FALSE)=J$24,J$24,"")</f>
        <v>1967</v>
      </c>
      <c r="K76" t="s" s="792">
        <f>IF(VLOOKUP($E76,'BDD'!$A$2:$N$567,MATCH($H$23,'BDD'!$A$1:$P$1,0),FALSE)=K$24,K$24,"")</f>
      </c>
      <c r="L76" t="s" s="783">
        <f>IF(VLOOKUP($E76,'BDD'!$A$2:$N$567,MATCH($H$23,'BDD'!$A$1:$P$1,0),FALSE)=L$24,L$24,"")</f>
      </c>
      <c r="M76" s="800">
        <f>IF(N76="Exigences partiellement respectées",1,IF(N76="Exigences respectées",2,0))</f>
        <v>0</v>
      </c>
      <c r="N76" t="s" s="780">
        <f>VLOOKUP(VLOOKUP(E76,'BDD'!$A$2:$P$428,15,FALSE),'Suppl'!$D$64:$E$68,2,FALSE)</f>
        <v>1751</v>
      </c>
      <c r="O76" s="801"/>
      <c r="P76" s="802"/>
      <c r="Q76" s="802"/>
      <c r="R76" s="802"/>
      <c r="S76" s="803">
        <f>IF(N76='Suppl'!$E$65,0,IF(N76='Suppl'!$E$66,1/2/(_xlfn.COUNTIFS($D1:$D100,D76,$N1:$N100,"Exigences"&amp;"*")+_xlfn.COUNTIFS($D1:$D100,D76,$N1:$N100,"Non"&amp;"*")),IF(N76='Suppl'!$E$67,1/(_xlfn.COUNTIFS($D1:$D100,D76,$N1:$N100,"Exigences"&amp;"*")+_xlfn.COUNTIFS($D1:$D100,D76,$N1:$N100,"Non"&amp;"*")),0)))</f>
        <v>0</v>
      </c>
      <c r="T76" s="803"/>
      <c r="U76" s="803"/>
      <c r="V76" s="804"/>
      <c r="W76" s="789">
        <f>_xlfn.IFERROR(IF(N76='Suppl'!$E$65,0,IF(N76='Suppl'!$E$66,1/2/(_xlfn.COUNTIFS($N1:$N100,"Exigences"&amp;"*")+_xlfn.COUNTIFS($N1:$N100,"Non"&amp;"*")),IF(N76='Suppl'!$E$67,1/(_xlfn.COUNTIFS($N1:$N100,"Exigences"&amp;"*")+_xlfn.COUNTIFS($N1:$N100,"Non"&amp;"*")),0))),0)</f>
        <v>0</v>
      </c>
      <c r="X76" s="586"/>
      <c r="Y76" s="586"/>
      <c r="Z76" s="586"/>
      <c r="AA76" s="586"/>
      <c r="AB76" s="586"/>
      <c r="AC76" s="586"/>
      <c r="AD76" s="586"/>
      <c r="AE76" s="586"/>
      <c r="AF76" s="586"/>
      <c r="AG76" s="586"/>
      <c r="AH76" s="505"/>
      <c r="AI76" s="586"/>
      <c r="AJ76" s="25"/>
      <c r="AK76" s="25"/>
      <c r="AL76" s="25"/>
      <c r="AM76" s="25"/>
      <c r="AN76" s="25"/>
      <c r="AO76" s="25"/>
      <c r="AP76" s="25"/>
      <c r="AQ76" s="25"/>
      <c r="AR76" s="25"/>
      <c r="AS76" s="25"/>
      <c r="AT76" s="25"/>
      <c r="AU76" s="25"/>
      <c r="AV76" s="25"/>
      <c r="AW76" s="25"/>
      <c r="AX76" s="25"/>
      <c r="AY76" s="25"/>
      <c r="AZ76" s="25"/>
      <c r="BA76" s="25"/>
      <c r="BB76" s="25"/>
      <c r="BC76" s="25"/>
      <c r="BD76" s="25"/>
      <c r="BE76" s="25"/>
      <c r="BF76" s="823"/>
    </row>
    <row r="77" ht="30" customHeight="1">
      <c r="A77" s="504"/>
      <c r="B77" s="753"/>
      <c r="C77" t="s" s="754">
        <f>IF(LEFT(RIGHT($B$1,2),1)=" ",RIGHT($B$1,1),RIGHT($B$1,2))</f>
        <v>1913</v>
      </c>
      <c r="D77" s="755">
        <f>IF(LEFT(F77,5)="Bonne",D75+1,D76)</f>
        <v>8</v>
      </c>
      <c r="E77" s="756"/>
      <c r="F77" t="s" s="757">
        <v>1952</v>
      </c>
      <c r="G77" t="s" s="758">
        <f>VLOOKUP(E79,'BDD'!$A$2:$N$567,6,FALSE)</f>
        <v>642</v>
      </c>
      <c r="H77" t="s" s="805">
        <f>VLOOKUP(E79,'BDD'!$A$2:$N$567,6,FALSE)</f>
        <v>642</v>
      </c>
      <c r="I77" s="760"/>
      <c r="J77" s="760"/>
      <c r="K77" s="760"/>
      <c r="L77" s="761"/>
      <c r="M77" s="762"/>
      <c r="N77" s="763"/>
      <c r="O77" s="764">
        <v>0</v>
      </c>
      <c r="P77" s="764"/>
      <c r="Q77" s="764"/>
      <c r="R77" s="764"/>
      <c r="S77" s="765">
        <f>_xlfn.SUMIFS(S1:S100,$D1:$D100,D77,$N1:$N100,"Exigences"&amp;"*")</f>
      </c>
      <c r="T77" s="765"/>
      <c r="U77" s="765"/>
      <c r="V77" s="766"/>
      <c r="W77" s="789">
        <f>_xlfn.IFERROR(IF(N77='Suppl'!$E$65,0,IF(N77='Suppl'!$E$66,1/2/(_xlfn.COUNTIFS($N1:$N100,"Exigences"&amp;"*")+_xlfn.COUNTIFS($N1:$N100,"Non"&amp;"*")),IF(N77='Suppl'!$E$67,1/(_xlfn.COUNTIFS($N1:$N100,"Exigences"&amp;"*")+_xlfn.COUNTIFS($N1:$N100,"Non"&amp;"*")),0))),0)</f>
        <v>0</v>
      </c>
      <c r="X77" s="586"/>
      <c r="Y77" s="586"/>
      <c r="Z77" s="586"/>
      <c r="AA77" s="586"/>
      <c r="AB77" s="586"/>
      <c r="AC77" s="586"/>
      <c r="AD77" s="586"/>
      <c r="AE77" s="586"/>
      <c r="AF77" s="586"/>
      <c r="AG77" s="586"/>
      <c r="AH77" s="505"/>
      <c r="AI77" s="586"/>
      <c r="AJ77" s="25"/>
      <c r="AK77" s="25"/>
      <c r="AL77" s="25"/>
      <c r="AM77" s="25"/>
      <c r="AN77" s="25"/>
      <c r="AO77" s="25"/>
      <c r="AP77" s="25"/>
      <c r="AQ77" s="25"/>
      <c r="AR77" s="25"/>
      <c r="AS77" s="25"/>
      <c r="AT77" s="25"/>
      <c r="AU77" s="25"/>
      <c r="AV77" s="25"/>
      <c r="AW77" s="25"/>
      <c r="AX77" s="25"/>
      <c r="AY77" s="25"/>
      <c r="AZ77" s="25"/>
      <c r="BA77" s="25"/>
      <c r="BB77" s="25"/>
      <c r="BC77" s="25"/>
      <c r="BD77" s="25"/>
      <c r="BE77" s="25"/>
      <c r="BF77" s="823"/>
    </row>
    <row r="78" ht="30" customHeight="1">
      <c r="A78" s="504"/>
      <c r="B78" s="753"/>
      <c r="C78" t="s" s="754">
        <f>IF(LEFT(RIGHT($B$1,2),1)=" ",RIGHT($B$1,1),RIGHT($B$1,2))</f>
        <v>1913</v>
      </c>
      <c r="D78" s="755">
        <f>IF(LEFT(F78,5)="Bonne",D76+1,D77)</f>
        <v>8</v>
      </c>
      <c r="E78" s="756"/>
      <c r="F78" t="s" s="769">
        <v>1835</v>
      </c>
      <c r="G78" t="s" s="809">
        <f>VLOOKUP(E80,'BDD'!$A$2:$N$567,7,FALSE)</f>
        <v>1993</v>
      </c>
      <c r="H78" s="810"/>
      <c r="I78" s="810"/>
      <c r="J78" s="810"/>
      <c r="K78" s="810"/>
      <c r="L78" s="810"/>
      <c r="M78" s="810"/>
      <c r="N78" s="811"/>
      <c r="O78" s="775"/>
      <c r="P78" s="775"/>
      <c r="Q78" s="775"/>
      <c r="R78" s="775"/>
      <c r="S78" s="776"/>
      <c r="T78" s="776"/>
      <c r="U78" s="776"/>
      <c r="V78" s="777"/>
      <c r="W78" s="789">
        <f>_xlfn.IFERROR(IF(N78='Suppl'!$E$65,0,IF(N78='Suppl'!$E$66,1/2/(_xlfn.COUNTIFS($N1:$N100,"Exigences"&amp;"*")+_xlfn.COUNTIFS($N1:$N100,"Non"&amp;"*")),IF(N78='Suppl'!$E$67,1/(_xlfn.COUNTIFS($N1:$N100,"Exigences"&amp;"*")+_xlfn.COUNTIFS($N1:$N100,"Non"&amp;"*")),0))),0)</f>
        <v>0</v>
      </c>
      <c r="X78" s="586"/>
      <c r="Y78" s="586"/>
      <c r="Z78" s="586"/>
      <c r="AA78" s="586"/>
      <c r="AB78" s="586"/>
      <c r="AC78" s="586"/>
      <c r="AD78" s="586"/>
      <c r="AE78" s="586"/>
      <c r="AF78" s="586"/>
      <c r="AG78" s="586"/>
      <c r="AH78" s="505"/>
      <c r="AI78" s="586"/>
      <c r="AJ78" s="25"/>
      <c r="AK78" s="25"/>
      <c r="AL78" s="25"/>
      <c r="AM78" s="25"/>
      <c r="AN78" s="25"/>
      <c r="AO78" s="25"/>
      <c r="AP78" s="25"/>
      <c r="AQ78" s="25"/>
      <c r="AR78" s="25"/>
      <c r="AS78" s="25"/>
      <c r="AT78" s="25"/>
      <c r="AU78" s="25"/>
      <c r="AV78" s="25"/>
      <c r="AW78" s="25"/>
      <c r="AX78" s="25"/>
      <c r="AY78" s="25"/>
      <c r="AZ78" s="25"/>
      <c r="BA78" s="25"/>
      <c r="BB78" s="25"/>
      <c r="BC78" s="25"/>
      <c r="BD78" s="25"/>
      <c r="BE78" s="25"/>
      <c r="BF78" s="823"/>
    </row>
    <row r="79" ht="30" customHeight="1">
      <c r="A79" s="504"/>
      <c r="B79" s="753"/>
      <c r="C79" t="s" s="754">
        <f>IF(LEFT(RIGHT($B$1,2),1)=" ",RIGHT($B$1,1),RIGHT($B$1,2))</f>
        <v>1913</v>
      </c>
      <c r="D79" s="755">
        <f>IF(LEFT(F79,5)="Bonne",D77+1,D78)</f>
        <v>8</v>
      </c>
      <c r="E79" t="s" s="778">
        <f>C79&amp;D79&amp;RIGHT(F79,1)</f>
        <v>1994</v>
      </c>
      <c r="F79" t="s" s="779">
        <v>1769</v>
      </c>
      <c r="G79" t="s" s="780">
        <f>VLOOKUP(E79,'BDD'!$A$2:$N$567,MATCH(G$24,'BDD'!$A$1:$P$1,0),FALSE)</f>
        <v>645</v>
      </c>
      <c r="H79" t="s" s="799">
        <f>IF(VLOOKUP($E79,'BDD'!$A$2:$N$567,MATCH($H$23,'BDD'!$A$1:$P$1,0),FALSE)=H$24,H$24,"")</f>
        <v>1966</v>
      </c>
      <c r="I79" t="s" s="792">
        <f>IF(VLOOKUP($E79,'BDD'!$A$2:$N$567,MATCH($H$23,'BDD'!$A$1:$P$1,0),FALSE)=I$24,I$24,"")</f>
      </c>
      <c r="J79" t="s" s="792">
        <f>IF(VLOOKUP($E79,'BDD'!$A$2:$N$567,MATCH($H$23,'BDD'!$A$1:$P$1,0),FALSE)=J$24,J$24,"")</f>
      </c>
      <c r="K79" t="s" s="792">
        <f>IF(VLOOKUP($E79,'BDD'!$A$2:$N$567,MATCH($H$23,'BDD'!$A$1:$P$1,0),FALSE)=K$24,K$24,"")</f>
      </c>
      <c r="L79" t="s" s="783">
        <f>IF(VLOOKUP($E79,'BDD'!$A$2:$N$567,MATCH($H$23,'BDD'!$A$1:$P$1,0),FALSE)=L$24,L$24,"")</f>
      </c>
      <c r="M79" s="784">
        <f>IF(N79="Exigences partiellement respectées",1,IF(N79="Exigences respectées",2,0))</f>
        <v>0</v>
      </c>
      <c r="N79" t="s" s="780">
        <f>VLOOKUP(VLOOKUP(E79,'BDD'!$A$2:$P$428,15,FALSE),'Suppl'!$D$64:$E$68,2,FALSE)</f>
        <v>1751</v>
      </c>
      <c r="O79" s="785"/>
      <c r="P79" s="786"/>
      <c r="Q79" s="786"/>
      <c r="R79" s="786"/>
      <c r="S79" s="787">
        <f>IF(N79='Suppl'!$E$65,0,IF(N79='Suppl'!$E$66,1/2/(_xlfn.COUNTIFS($D1:$D100,D79,$N1:$N100,"Exigences"&amp;"*")+_xlfn.COUNTIFS($D1:$D100,D79,$N1:$N100,"Non"&amp;"*")),IF(N79='Suppl'!$E$67,1/(_xlfn.COUNTIFS($D1:$D100,D79,$N1:$N100,"Exigences"&amp;"*")+_xlfn.COUNTIFS($D1:$D100,D79,$N1:$N100,"Non"&amp;"*")),0)))</f>
        <v>0</v>
      </c>
      <c r="T79" s="787"/>
      <c r="U79" s="787"/>
      <c r="V79" s="788"/>
      <c r="W79" s="789">
        <f>_xlfn.IFERROR(IF(N79='Suppl'!$E$65,0,IF(N79='Suppl'!$E$66,1/2/(_xlfn.COUNTIFS($N1:$N100,"Exigences"&amp;"*")+_xlfn.COUNTIFS($N1:$N100,"Non"&amp;"*")),IF(N79='Suppl'!$E$67,1/(_xlfn.COUNTIFS($N1:$N100,"Exigences"&amp;"*")+_xlfn.COUNTIFS($N1:$N100,"Non"&amp;"*")),0))),0)</f>
        <v>0</v>
      </c>
      <c r="X79" s="586"/>
      <c r="Y79" s="586"/>
      <c r="Z79" s="586"/>
      <c r="AA79" s="586"/>
      <c r="AB79" s="586"/>
      <c r="AC79" s="586"/>
      <c r="AD79" s="586"/>
      <c r="AE79" s="586"/>
      <c r="AF79" s="586"/>
      <c r="AG79" s="586"/>
      <c r="AH79" s="505"/>
      <c r="AI79" s="586"/>
      <c r="AJ79" s="25"/>
      <c r="AK79" s="25"/>
      <c r="AL79" s="25"/>
      <c r="AM79" s="25"/>
      <c r="AN79" s="25"/>
      <c r="AO79" s="25"/>
      <c r="AP79" s="25"/>
      <c r="AQ79" s="25"/>
      <c r="AR79" s="25"/>
      <c r="AS79" s="25"/>
      <c r="AT79" s="25"/>
      <c r="AU79" s="25"/>
      <c r="AV79" s="25"/>
      <c r="AW79" s="25"/>
      <c r="AX79" s="25"/>
      <c r="AY79" s="25"/>
      <c r="AZ79" s="25"/>
      <c r="BA79" s="25"/>
      <c r="BB79" s="25"/>
      <c r="BC79" s="25"/>
      <c r="BD79" s="25"/>
      <c r="BE79" s="25"/>
      <c r="BF79" s="823"/>
    </row>
    <row r="80" ht="27.6" customHeight="1">
      <c r="A80" s="504"/>
      <c r="B80" s="753"/>
      <c r="C80" t="s" s="754">
        <f>IF(LEFT(RIGHT($B$1,2),1)=" ",RIGHT($B$1,1),RIGHT($B$1,2))</f>
        <v>1913</v>
      </c>
      <c r="D80" s="755">
        <f>IF(LEFT(F80,5)="Bonne",D78+1,D79)</f>
        <v>8</v>
      </c>
      <c r="E80" t="s" s="778">
        <f>C80&amp;D80&amp;RIGHT(F80,1)</f>
        <v>1995</v>
      </c>
      <c r="F80" t="s" s="790">
        <v>1837</v>
      </c>
      <c r="G80" t="s" s="791">
        <f>VLOOKUP(E80,'BDD'!$A$2:$N$567,MATCH(G$24,'BDD'!$A$1:$P$1,0),FALSE)</f>
        <v>649</v>
      </c>
      <c r="H80" t="s" s="799">
        <f>IF(VLOOKUP($E80,'BDD'!$A$2:$N$567,MATCH($H$23,'BDD'!$A$1:$P$1,0),FALSE)=H$24,H$24,"")</f>
      </c>
      <c r="I80" t="s" s="792">
        <f>IF(VLOOKUP($E80,'BDD'!$A$2:$N$567,MATCH($H$23,'BDD'!$A$1:$P$1,0),FALSE)=I$24,I$24,"")</f>
        <v>1969</v>
      </c>
      <c r="J80" t="s" s="792">
        <f>IF(VLOOKUP($E80,'BDD'!$A$2:$N$567,MATCH($H$23,'BDD'!$A$1:$P$1,0),FALSE)=J$24,J$24,"")</f>
      </c>
      <c r="K80" t="s" s="792">
        <f>IF(VLOOKUP($E80,'BDD'!$A$2:$N$567,MATCH($H$23,'BDD'!$A$1:$P$1,0),FALSE)=K$24,K$24,"")</f>
      </c>
      <c r="L80" t="s" s="783">
        <f>IF(VLOOKUP($E80,'BDD'!$A$2:$N$567,MATCH($H$23,'BDD'!$A$1:$P$1,0),FALSE)=L$24,L$24,"")</f>
      </c>
      <c r="M80" s="794">
        <f>IF(N80="Exigences partiellement respectées",1,IF(N80="Exigences respectées",2,0))</f>
        <v>0</v>
      </c>
      <c r="N80" t="s" s="791">
        <f>VLOOKUP(VLOOKUP(E80,'BDD'!$A$2:$P$428,15,FALSE),'Suppl'!$D$64:$E$68,2,FALSE)</f>
        <v>1751</v>
      </c>
      <c r="O80" s="795"/>
      <c r="P80" s="796"/>
      <c r="Q80" s="796"/>
      <c r="R80" s="796"/>
      <c r="S80" s="797">
        <f>IF(N80='Suppl'!$E$65,0,IF(N80='Suppl'!$E$66,1/2/(_xlfn.COUNTIFS($D1:$D100,D80,$N1:$N100,"Exigences"&amp;"*")+_xlfn.COUNTIFS($D1:$D100,D80,$N1:$N100,"Non"&amp;"*")),IF(N80='Suppl'!$E$67,1/(_xlfn.COUNTIFS($D1:$D100,D80,$N1:$N100,"Exigences"&amp;"*")+_xlfn.COUNTIFS($D1:$D100,D80,$N1:$N100,"Non"&amp;"*")),0)))</f>
        <v>0</v>
      </c>
      <c r="T80" s="797"/>
      <c r="U80" s="797"/>
      <c r="V80" s="798"/>
      <c r="W80" s="789">
        <f>_xlfn.IFERROR(IF(N80='Suppl'!$E$65,0,IF(N80='Suppl'!$E$66,1/2/(_xlfn.COUNTIFS($N1:$N100,"Exigences"&amp;"*")+_xlfn.COUNTIFS($N1:$N100,"Non"&amp;"*")),IF(N80='Suppl'!$E$67,1/(_xlfn.COUNTIFS($N1:$N100,"Exigences"&amp;"*")+_xlfn.COUNTIFS($N1:$N100,"Non"&amp;"*")),0))),0)</f>
        <v>0</v>
      </c>
      <c r="X80" s="586"/>
      <c r="Y80" s="586"/>
      <c r="Z80" s="586"/>
      <c r="AA80" s="586"/>
      <c r="AB80" s="586"/>
      <c r="AC80" s="586"/>
      <c r="AD80" s="586"/>
      <c r="AE80" s="586"/>
      <c r="AF80" s="586"/>
      <c r="AG80" s="586"/>
      <c r="AH80" s="505"/>
      <c r="AI80" s="586"/>
      <c r="AJ80" s="25"/>
      <c r="AK80" s="25"/>
      <c r="AL80" s="25"/>
      <c r="AM80" s="25"/>
      <c r="AN80" s="25"/>
      <c r="AO80" s="25"/>
      <c r="AP80" s="25"/>
      <c r="AQ80" s="25"/>
      <c r="AR80" s="25"/>
      <c r="AS80" s="25"/>
      <c r="AT80" s="25"/>
      <c r="AU80" s="25"/>
      <c r="AV80" s="25"/>
      <c r="AW80" s="25"/>
      <c r="AX80" s="25"/>
      <c r="AY80" s="25"/>
      <c r="AZ80" s="25"/>
      <c r="BA80" s="25"/>
      <c r="BB80" s="25"/>
      <c r="BC80" s="25"/>
      <c r="BD80" s="25"/>
      <c r="BE80" s="25"/>
      <c r="BF80" s="823"/>
    </row>
    <row r="81" ht="30" customHeight="1">
      <c r="A81" s="504"/>
      <c r="B81" s="753"/>
      <c r="C81" t="s" s="754">
        <f>IF(LEFT(RIGHT($B$1,2),1)=" ",RIGHT($B$1,1),RIGHT($B$1,2))</f>
        <v>1913</v>
      </c>
      <c r="D81" s="755">
        <f>IF(LEFT(F81,5)="Bonne",D79+1,D80)</f>
        <v>8</v>
      </c>
      <c r="E81" t="s" s="778">
        <f>C81&amp;D81&amp;RIGHT(F81,1)</f>
        <v>1996</v>
      </c>
      <c r="F81" t="s" s="779">
        <v>1774</v>
      </c>
      <c r="G81" t="s" s="780">
        <f>VLOOKUP(E81,'BDD'!$A$2:$N$567,MATCH(G$24,'BDD'!$A$1:$P$1,0),FALSE)</f>
        <v>653</v>
      </c>
      <c r="H81" t="s" s="799">
        <f>IF(VLOOKUP($E81,'BDD'!$A$2:$N$567,MATCH($H$23,'BDD'!$A$1:$P$1,0),FALSE)=H$24,H$24,"")</f>
      </c>
      <c r="I81" t="s" s="792">
        <f>IF(VLOOKUP($E81,'BDD'!$A$2:$N$567,MATCH($H$23,'BDD'!$A$1:$P$1,0),FALSE)=I$24,I$24,"")</f>
      </c>
      <c r="J81" t="s" s="792">
        <f>IF(VLOOKUP($E81,'BDD'!$A$2:$N$567,MATCH($H$23,'BDD'!$A$1:$P$1,0),FALSE)=J$24,J$24,"")</f>
        <v>1967</v>
      </c>
      <c r="K81" t="s" s="792">
        <f>IF(VLOOKUP($E81,'BDD'!$A$2:$N$567,MATCH($H$23,'BDD'!$A$1:$P$1,0),FALSE)=K$24,K$24,"")</f>
      </c>
      <c r="L81" t="s" s="783">
        <f>IF(VLOOKUP($E81,'BDD'!$A$2:$N$567,MATCH($H$23,'BDD'!$A$1:$P$1,0),FALSE)=L$24,L$24,"")</f>
      </c>
      <c r="M81" s="794">
        <f>IF(N81="Exigences partiellement respectées",1,IF(N81="Exigences respectées",2,0))</f>
        <v>0</v>
      </c>
      <c r="N81" t="s" s="780">
        <f>VLOOKUP(VLOOKUP(E81,'BDD'!$A$2:$P$428,15,FALSE),'Suppl'!$D$64:$E$68,2,FALSE)</f>
        <v>1751</v>
      </c>
      <c r="O81" s="795"/>
      <c r="P81" s="796"/>
      <c r="Q81" s="796"/>
      <c r="R81" s="796"/>
      <c r="S81" s="797">
        <f>IF(N81='Suppl'!$E$65,0,IF(N81='Suppl'!$E$66,1/2/(_xlfn.COUNTIFS($D1:$D100,D81,$N1:$N100,"Exigences"&amp;"*")+_xlfn.COUNTIFS($D1:$D100,D81,$N1:$N100,"Non"&amp;"*")),IF(N81='Suppl'!$E$67,1/(_xlfn.COUNTIFS($D1:$D100,D81,$N1:$N100,"Exigences"&amp;"*")+_xlfn.COUNTIFS($D1:$D100,D81,$N1:$N100,"Non"&amp;"*")),0)))</f>
        <v>0</v>
      </c>
      <c r="T81" s="797"/>
      <c r="U81" s="797"/>
      <c r="V81" s="798"/>
      <c r="W81" s="789">
        <f>_xlfn.IFERROR(IF(N81='Suppl'!$E$65,0,IF(N81='Suppl'!$E$66,1/2/(_xlfn.COUNTIFS($N1:$N100,"Exigences"&amp;"*")+_xlfn.COUNTIFS($N1:$N100,"Non"&amp;"*")),IF(N81='Suppl'!$E$67,1/(_xlfn.COUNTIFS($N1:$N100,"Exigences"&amp;"*")+_xlfn.COUNTIFS($N1:$N100,"Non"&amp;"*")),0))),0)</f>
        <v>0</v>
      </c>
      <c r="X81" s="586"/>
      <c r="Y81" s="586"/>
      <c r="Z81" s="586"/>
      <c r="AA81" s="586"/>
      <c r="AB81" s="586"/>
      <c r="AC81" s="586"/>
      <c r="AD81" s="586"/>
      <c r="AE81" s="586"/>
      <c r="AF81" s="586"/>
      <c r="AG81" s="586"/>
      <c r="AH81" s="505"/>
      <c r="AI81" s="586"/>
      <c r="AJ81" s="25"/>
      <c r="AK81" s="25"/>
      <c r="AL81" s="25"/>
      <c r="AM81" s="25"/>
      <c r="AN81" s="25"/>
      <c r="AO81" s="25"/>
      <c r="AP81" s="25"/>
      <c r="AQ81" s="25"/>
      <c r="AR81" s="25"/>
      <c r="AS81" s="25"/>
      <c r="AT81" s="25"/>
      <c r="AU81" s="25"/>
      <c r="AV81" s="25"/>
      <c r="AW81" s="25"/>
      <c r="AX81" s="25"/>
      <c r="AY81" s="25"/>
      <c r="AZ81" s="25"/>
      <c r="BA81" s="25"/>
      <c r="BB81" s="25"/>
      <c r="BC81" s="25"/>
      <c r="BD81" s="25"/>
      <c r="BE81" s="25"/>
      <c r="BF81" s="823"/>
    </row>
    <row r="82" ht="30" customHeight="1">
      <c r="A82" s="504"/>
      <c r="B82" s="753"/>
      <c r="C82" t="s" s="754">
        <f>IF(LEFT(RIGHT($B$1,2),1)=" ",RIGHT($B$1,1),RIGHT($B$1,2))</f>
        <v>1913</v>
      </c>
      <c r="D82" s="755">
        <f>IF(LEFT(F82,5)="Bonne",D80+1,D81)</f>
        <v>8</v>
      </c>
      <c r="E82" t="s" s="778">
        <f>C82&amp;D82&amp;RIGHT(F82,1)</f>
        <v>1997</v>
      </c>
      <c r="F82" t="s" s="790">
        <v>1776</v>
      </c>
      <c r="G82" t="s" s="791">
        <f>VLOOKUP(E82,'BDD'!$A$2:$N$567,MATCH(G$24,'BDD'!$A$1:$P$1,0),FALSE)</f>
        <v>657</v>
      </c>
      <c r="H82" t="s" s="799">
        <f>IF(VLOOKUP($E82,'BDD'!$A$2:$N$567,MATCH($H$23,'BDD'!$A$1:$P$1,0),FALSE)=H$24,H$24,"")</f>
      </c>
      <c r="I82" t="s" s="792">
        <f>IF(VLOOKUP($E82,'BDD'!$A$2:$N$567,MATCH($H$23,'BDD'!$A$1:$P$1,0),FALSE)=I$24,I$24,"")</f>
        <v>1969</v>
      </c>
      <c r="J82" t="s" s="792">
        <f>IF(VLOOKUP($E82,'BDD'!$A$2:$N$567,MATCH($H$23,'BDD'!$A$1:$P$1,0),FALSE)=J$24,J$24,"")</f>
      </c>
      <c r="K82" t="s" s="792">
        <f>IF(VLOOKUP($E82,'BDD'!$A$2:$N$567,MATCH($H$23,'BDD'!$A$1:$P$1,0),FALSE)=K$24,K$24,"")</f>
      </c>
      <c r="L82" t="s" s="783">
        <f>IF(VLOOKUP($E82,'BDD'!$A$2:$N$567,MATCH($H$23,'BDD'!$A$1:$P$1,0),FALSE)=L$24,L$24,"")</f>
      </c>
      <c r="M82" s="794">
        <f>IF(N82="Exigences partiellement respectées",1,IF(N82="Exigences respectées",2,0))</f>
        <v>0</v>
      </c>
      <c r="N82" t="s" s="791">
        <f>VLOOKUP(VLOOKUP(E82,'BDD'!$A$2:$P$428,15,FALSE),'Suppl'!$D$64:$E$68,2,FALSE)</f>
        <v>1751</v>
      </c>
      <c r="O82" s="795"/>
      <c r="P82" s="796"/>
      <c r="Q82" s="796"/>
      <c r="R82" s="796"/>
      <c r="S82" s="797">
        <f>IF(N82='Suppl'!$E$65,0,IF(N82='Suppl'!$E$66,1/2/(_xlfn.COUNTIFS($D1:$D100,D82,$N1:$N100,"Exigences"&amp;"*")+_xlfn.COUNTIFS($D1:$D100,D82,$N1:$N100,"Non"&amp;"*")),IF(N82='Suppl'!$E$67,1/(_xlfn.COUNTIFS($D1:$D100,D82,$N1:$N100,"Exigences"&amp;"*")+_xlfn.COUNTIFS($D1:$D100,D82,$N1:$N100,"Non"&amp;"*")),0)))</f>
        <v>0</v>
      </c>
      <c r="T82" s="797"/>
      <c r="U82" s="797"/>
      <c r="V82" s="798"/>
      <c r="W82" s="789">
        <f>_xlfn.IFERROR(IF(N82='Suppl'!$E$65,0,IF(N82='Suppl'!$E$66,1/2/(_xlfn.COUNTIFS($N1:$N100,"Exigences"&amp;"*")+_xlfn.COUNTIFS($N1:$N100,"Non"&amp;"*")),IF(N82='Suppl'!$E$67,1/(_xlfn.COUNTIFS($N1:$N100,"Exigences"&amp;"*")+_xlfn.COUNTIFS($N1:$N100,"Non"&amp;"*")),0))),0)</f>
        <v>0</v>
      </c>
      <c r="X82" s="586"/>
      <c r="Y82" s="586"/>
      <c r="Z82" s="586"/>
      <c r="AA82" s="586"/>
      <c r="AB82" s="586"/>
      <c r="AC82" s="586"/>
      <c r="AD82" s="586"/>
      <c r="AE82" s="586"/>
      <c r="AF82" s="586"/>
      <c r="AG82" s="586"/>
      <c r="AH82" s="505"/>
      <c r="AI82" s="586"/>
      <c r="AJ82" s="25"/>
      <c r="AK82" s="25"/>
      <c r="AL82" s="25"/>
      <c r="AM82" s="25"/>
      <c r="AN82" s="25"/>
      <c r="AO82" s="25"/>
      <c r="AP82" s="25"/>
      <c r="AQ82" s="25"/>
      <c r="AR82" s="25"/>
      <c r="AS82" s="25"/>
      <c r="AT82" s="25"/>
      <c r="AU82" s="25"/>
      <c r="AV82" s="25"/>
      <c r="AW82" s="25"/>
      <c r="AX82" s="25"/>
      <c r="AY82" s="25"/>
      <c r="AZ82" s="25"/>
      <c r="BA82" s="25"/>
      <c r="BB82" s="25"/>
      <c r="BC82" s="25"/>
      <c r="BD82" s="25"/>
      <c r="BE82" s="25"/>
      <c r="BF82" s="823"/>
    </row>
    <row r="83" ht="30" customHeight="1">
      <c r="A83" s="504"/>
      <c r="B83" s="753"/>
      <c r="C83" t="s" s="754">
        <f>IF(LEFT(RIGHT($B$1,2),1)=" ",RIGHT($B$1,1),RIGHT($B$1,2))</f>
        <v>1913</v>
      </c>
      <c r="D83" s="755">
        <f>IF(LEFT(F83,5)="Bonne",D81+1,D82)</f>
        <v>8</v>
      </c>
      <c r="E83" t="s" s="778">
        <f>C83&amp;D83&amp;RIGHT(F83,1)</f>
        <v>1998</v>
      </c>
      <c r="F83" t="s" s="779">
        <v>1778</v>
      </c>
      <c r="G83" t="s" s="780">
        <f>VLOOKUP(E83,'BDD'!$A$2:$N$567,MATCH(G$24,'BDD'!$A$1:$P$1,0),FALSE)</f>
        <v>661</v>
      </c>
      <c r="H83" t="s" s="799">
        <f>IF(VLOOKUP($E83,'BDD'!$A$2:$N$567,MATCH($H$23,'BDD'!$A$1:$P$1,0),FALSE)=H$24,H$24,"")</f>
      </c>
      <c r="I83" t="s" s="792">
        <f>IF(VLOOKUP($E83,'BDD'!$A$2:$N$567,MATCH($H$23,'BDD'!$A$1:$P$1,0),FALSE)=I$24,I$24,"")</f>
      </c>
      <c r="J83" t="s" s="792">
        <f>IF(VLOOKUP($E83,'BDD'!$A$2:$N$567,MATCH($H$23,'BDD'!$A$1:$P$1,0),FALSE)=J$24,J$24,"")</f>
        <v>1967</v>
      </c>
      <c r="K83" t="s" s="792">
        <f>IF(VLOOKUP($E83,'BDD'!$A$2:$N$567,MATCH($H$23,'BDD'!$A$1:$P$1,0),FALSE)=K$24,K$24,"")</f>
      </c>
      <c r="L83" t="s" s="783">
        <f>IF(VLOOKUP($E83,'BDD'!$A$2:$N$567,MATCH($H$23,'BDD'!$A$1:$P$1,0),FALSE)=L$24,L$24,"")</f>
      </c>
      <c r="M83" s="794">
        <f>IF(N83="Exigences partiellement respectées",1,IF(N83="Exigences respectées",2,0))</f>
        <v>0</v>
      </c>
      <c r="N83" t="s" s="780">
        <f>VLOOKUP(VLOOKUP(E83,'BDD'!$A$2:$P$428,15,FALSE),'Suppl'!$D$64:$E$68,2,FALSE)</f>
        <v>1751</v>
      </c>
      <c r="O83" s="795"/>
      <c r="P83" s="796"/>
      <c r="Q83" s="796"/>
      <c r="R83" s="796"/>
      <c r="S83" s="797">
        <f>IF(N83='Suppl'!$E$65,0,IF(N83='Suppl'!$E$66,1/2/(_xlfn.COUNTIFS($D1:$D100,D83,$N1:$N100,"Exigences"&amp;"*")+_xlfn.COUNTIFS($D1:$D100,D83,$N1:$N100,"Non"&amp;"*")),IF(N83='Suppl'!$E$67,1/(_xlfn.COUNTIFS($D1:$D100,D83,$N1:$N100,"Exigences"&amp;"*")+_xlfn.COUNTIFS($D1:$D100,D83,$N1:$N100,"Non"&amp;"*")),0)))</f>
        <v>0</v>
      </c>
      <c r="T83" s="797"/>
      <c r="U83" s="797"/>
      <c r="V83" s="798"/>
      <c r="W83" s="789">
        <f>_xlfn.IFERROR(IF(N83='Suppl'!$E$65,0,IF(N83='Suppl'!$E$66,1/2/(_xlfn.COUNTIFS($N1:$N100,"Exigences"&amp;"*")+_xlfn.COUNTIFS($N1:$N100,"Non"&amp;"*")),IF(N83='Suppl'!$E$67,1/(_xlfn.COUNTIFS($N1:$N100,"Exigences"&amp;"*")+_xlfn.COUNTIFS($N1:$N100,"Non"&amp;"*")),0))),0)</f>
        <v>0</v>
      </c>
      <c r="X83" s="586"/>
      <c r="Y83" s="586"/>
      <c r="Z83" s="586"/>
      <c r="AA83" s="586"/>
      <c r="AB83" s="586"/>
      <c r="AC83" s="586"/>
      <c r="AD83" s="586"/>
      <c r="AE83" s="586"/>
      <c r="AF83" s="586"/>
      <c r="AG83" s="586"/>
      <c r="AH83" s="505"/>
      <c r="AI83" s="586"/>
      <c r="AJ83" s="25"/>
      <c r="AK83" s="25"/>
      <c r="AL83" s="25"/>
      <c r="AM83" s="25"/>
      <c r="AN83" s="25"/>
      <c r="AO83" s="25"/>
      <c r="AP83" s="25"/>
      <c r="AQ83" s="25"/>
      <c r="AR83" s="25"/>
      <c r="AS83" s="25"/>
      <c r="AT83" s="25"/>
      <c r="AU83" s="25"/>
      <c r="AV83" s="25"/>
      <c r="AW83" s="25"/>
      <c r="AX83" s="25"/>
      <c r="AY83" s="25"/>
      <c r="AZ83" s="25"/>
      <c r="BA83" s="25"/>
      <c r="BB83" s="25"/>
      <c r="BC83" s="25"/>
      <c r="BD83" s="25"/>
      <c r="BE83" s="25"/>
      <c r="BF83" s="823"/>
    </row>
    <row r="84" ht="41.4" customHeight="1">
      <c r="A84" s="504"/>
      <c r="B84" s="753"/>
      <c r="C84" t="s" s="754">
        <f>IF(LEFT(RIGHT($B$1,2),1)=" ",RIGHT($B$1,1),RIGHT($B$1,2))</f>
        <v>1913</v>
      </c>
      <c r="D84" s="755">
        <f>IF(LEFT(F84,5)="Bonne",D82+1,D83)</f>
        <v>8</v>
      </c>
      <c r="E84" t="s" s="778">
        <f>C84&amp;D84&amp;RIGHT(F84,1)</f>
        <v>1999</v>
      </c>
      <c r="F84" t="s" s="790">
        <v>1780</v>
      </c>
      <c r="G84" t="s" s="791">
        <f>VLOOKUP(E84,'BDD'!$A$2:$N$567,MATCH(G$24,'BDD'!$A$1:$P$1,0),FALSE)</f>
        <v>664</v>
      </c>
      <c r="H84" t="s" s="799">
        <f>IF(VLOOKUP($E84,'BDD'!$A$2:$N$567,MATCH($H$23,'BDD'!$A$1:$P$1,0),FALSE)=H$24,H$24,"")</f>
      </c>
      <c r="I84" t="s" s="792">
        <f>IF(VLOOKUP($E84,'BDD'!$A$2:$N$567,MATCH($H$23,'BDD'!$A$1:$P$1,0),FALSE)=I$24,I$24,"")</f>
      </c>
      <c r="J84" t="s" s="792">
        <f>IF(VLOOKUP($E84,'BDD'!$A$2:$N$567,MATCH($H$23,'BDD'!$A$1:$P$1,0),FALSE)=J$24,J$24,"")</f>
      </c>
      <c r="K84" t="s" s="792">
        <f>IF(VLOOKUP($E84,'BDD'!$A$2:$N$567,MATCH($H$23,'BDD'!$A$1:$P$1,0),FALSE)=K$24,K$24,"")</f>
        <v>1968</v>
      </c>
      <c r="L84" t="s" s="783">
        <f>IF(VLOOKUP($E84,'BDD'!$A$2:$N$567,MATCH($H$23,'BDD'!$A$1:$P$1,0),FALSE)=L$24,L$24,"")</f>
      </c>
      <c r="M84" s="794">
        <f>IF(N84="Exigences partiellement respectées",1,IF(N84="Exigences respectées",2,0))</f>
        <v>0</v>
      </c>
      <c r="N84" t="s" s="791">
        <f>VLOOKUP(VLOOKUP(E84,'BDD'!$A$2:$P$428,15,FALSE),'Suppl'!$D$64:$E$68,2,FALSE)</f>
        <v>1751</v>
      </c>
      <c r="O84" s="795"/>
      <c r="P84" s="796"/>
      <c r="Q84" s="796"/>
      <c r="R84" s="796"/>
      <c r="S84" s="797">
        <f>IF(N84='Suppl'!$E$65,0,IF(N84='Suppl'!$E$66,1/2/(_xlfn.COUNTIFS($D1:$D100,D84,$N1:$N100,"Exigences"&amp;"*")+_xlfn.COUNTIFS($D1:$D100,D84,$N1:$N100,"Non"&amp;"*")),IF(N84='Suppl'!$E$67,1/(_xlfn.COUNTIFS($D1:$D100,D84,$N1:$N100,"Exigences"&amp;"*")+_xlfn.COUNTIFS($D1:$D100,D84,$N1:$N100,"Non"&amp;"*")),0)))</f>
        <v>0</v>
      </c>
      <c r="T84" s="797"/>
      <c r="U84" s="797"/>
      <c r="V84" s="798"/>
      <c r="W84" s="789">
        <f>_xlfn.IFERROR(IF(N84='Suppl'!$E$65,0,IF(N84='Suppl'!$E$66,1/2/(_xlfn.COUNTIFS($N1:$N100,"Exigences"&amp;"*")+_xlfn.COUNTIFS($N1:$N100,"Non"&amp;"*")),IF(N84='Suppl'!$E$67,1/(_xlfn.COUNTIFS($N1:$N100,"Exigences"&amp;"*")+_xlfn.COUNTIFS($N1:$N100,"Non"&amp;"*")),0))),0)</f>
        <v>0</v>
      </c>
      <c r="X84" s="586"/>
      <c r="Y84" s="586"/>
      <c r="Z84" s="586"/>
      <c r="AA84" s="586"/>
      <c r="AB84" s="586"/>
      <c r="AC84" s="586"/>
      <c r="AD84" s="586"/>
      <c r="AE84" s="586"/>
      <c r="AF84" s="586"/>
      <c r="AG84" s="586"/>
      <c r="AH84" s="505"/>
      <c r="AI84" s="586"/>
      <c r="AJ84" s="25"/>
      <c r="AK84" s="25"/>
      <c r="AL84" s="25"/>
      <c r="AM84" s="25"/>
      <c r="AN84" s="25"/>
      <c r="AO84" s="25"/>
      <c r="AP84" s="25"/>
      <c r="AQ84" s="25"/>
      <c r="AR84" s="25"/>
      <c r="AS84" s="25"/>
      <c r="AT84" s="25"/>
      <c r="AU84" s="25"/>
      <c r="AV84" s="25"/>
      <c r="AW84" s="25"/>
      <c r="AX84" s="25"/>
      <c r="AY84" s="25"/>
      <c r="AZ84" s="25"/>
      <c r="BA84" s="25"/>
      <c r="BB84" s="25"/>
      <c r="BC84" s="25"/>
      <c r="BD84" s="25"/>
      <c r="BE84" s="25"/>
      <c r="BF84" s="823"/>
    </row>
    <row r="85" ht="27.6" customHeight="1">
      <c r="A85" s="504"/>
      <c r="B85" s="753"/>
      <c r="C85" t="s" s="754">
        <f>IF(LEFT(RIGHT($B$1,2),1)=" ",RIGHT($B$1,1),RIGHT($B$1,2))</f>
        <v>1913</v>
      </c>
      <c r="D85" s="755">
        <f>IF(LEFT(F85,5)="Bonne",D83+1,D84)</f>
        <v>8</v>
      </c>
      <c r="E85" t="s" s="778">
        <f>C85&amp;D85&amp;RIGHT(F85,1)</f>
        <v>2000</v>
      </c>
      <c r="F85" t="s" s="779">
        <v>1782</v>
      </c>
      <c r="G85" t="s" s="780">
        <f>VLOOKUP(E85,'BDD'!$A$2:$N$567,MATCH(G$24,'BDD'!$A$1:$P$1,0),FALSE)</f>
        <v>668</v>
      </c>
      <c r="H85" t="s" s="799">
        <f>IF(VLOOKUP($E85,'BDD'!$A$2:$N$567,MATCH($H$23,'BDD'!$A$1:$P$1,0),FALSE)=H$24,H$24,"")</f>
      </c>
      <c r="I85" t="s" s="792">
        <f>IF(VLOOKUP($E85,'BDD'!$A$2:$N$567,MATCH($H$23,'BDD'!$A$1:$P$1,0),FALSE)=I$24,I$24,"")</f>
      </c>
      <c r="J85" t="s" s="792">
        <f>IF(VLOOKUP($E85,'BDD'!$A$2:$N$567,MATCH($H$23,'BDD'!$A$1:$P$1,0),FALSE)=J$24,J$24,"")</f>
        <v>1967</v>
      </c>
      <c r="K85" t="s" s="792">
        <f>IF(VLOOKUP($E85,'BDD'!$A$2:$N$567,MATCH($H$23,'BDD'!$A$1:$P$1,0),FALSE)=K$24,K$24,"")</f>
      </c>
      <c r="L85" t="s" s="783">
        <f>IF(VLOOKUP($E85,'BDD'!$A$2:$N$567,MATCH($H$23,'BDD'!$A$1:$P$1,0),FALSE)=L$24,L$24,"")</f>
      </c>
      <c r="M85" s="794">
        <f>IF(N85="Exigences partiellement respectées",1,IF(N85="Exigences respectées",2,0))</f>
        <v>0</v>
      </c>
      <c r="N85" t="s" s="780">
        <f>VLOOKUP(VLOOKUP(E85,'BDD'!$A$2:$P$428,15,FALSE),'Suppl'!$D$64:$E$68,2,FALSE)</f>
        <v>1751</v>
      </c>
      <c r="O85" s="863"/>
      <c r="P85" s="864"/>
      <c r="Q85" s="864"/>
      <c r="R85" s="864"/>
      <c r="S85" s="815">
        <f>IF(N85='Suppl'!$E$65,0,IF(N85='Suppl'!$E$66,1/2/(_xlfn.COUNTIFS($D1:$D100,D85,$N1:$N100,"Exigences"&amp;"*")+_xlfn.COUNTIFS($D1:$D100,D85,$N1:$N100,"Non"&amp;"*")),IF(N85='Suppl'!$E$67,1/(_xlfn.COUNTIFS($D1:$D100,D85,$N1:$N100,"Exigences"&amp;"*")+_xlfn.COUNTIFS($D1:$D100,D85,$N1:$N100,"Non"&amp;"*")),0)))</f>
        <v>0</v>
      </c>
      <c r="T85" s="815"/>
      <c r="U85" s="815"/>
      <c r="V85" s="816"/>
      <c r="W85" s="789">
        <f>_xlfn.IFERROR(IF(N85='Suppl'!$E$65,0,IF(N85='Suppl'!$E$66,1/2/(_xlfn.COUNTIFS($N1:$N100,"Exigences"&amp;"*")+_xlfn.COUNTIFS($N1:$N100,"Non"&amp;"*")),IF(N85='Suppl'!$E$67,1/(_xlfn.COUNTIFS($N1:$N100,"Exigences"&amp;"*")+_xlfn.COUNTIFS($N1:$N100,"Non"&amp;"*")),0))),0)</f>
        <v>0</v>
      </c>
      <c r="X85" s="586"/>
      <c r="Y85" s="586"/>
      <c r="Z85" s="586"/>
      <c r="AA85" s="586"/>
      <c r="AB85" s="586"/>
      <c r="AC85" s="586"/>
      <c r="AD85" s="586"/>
      <c r="AE85" s="586"/>
      <c r="AF85" s="586"/>
      <c r="AG85" s="586"/>
      <c r="AH85" s="505"/>
      <c r="AI85" s="586"/>
      <c r="AJ85" s="25"/>
      <c r="AK85" s="25"/>
      <c r="AL85" s="25"/>
      <c r="AM85" s="25"/>
      <c r="AN85" s="25"/>
      <c r="AO85" s="25"/>
      <c r="AP85" s="25"/>
      <c r="AQ85" s="25"/>
      <c r="AR85" s="25"/>
      <c r="AS85" s="25"/>
      <c r="AT85" s="25"/>
      <c r="AU85" s="25"/>
      <c r="AV85" s="25"/>
      <c r="AW85" s="25"/>
      <c r="AX85" s="25"/>
      <c r="AY85" s="25"/>
      <c r="AZ85" s="25"/>
      <c r="BA85" s="25"/>
      <c r="BB85" s="25"/>
      <c r="BC85" s="25"/>
      <c r="BD85" s="25"/>
      <c r="BE85" s="25"/>
      <c r="BF85" s="823"/>
    </row>
    <row r="86" ht="30" customHeight="1">
      <c r="A86" s="504"/>
      <c r="B86" s="586"/>
      <c r="C86" s="586"/>
      <c r="D86" s="587"/>
      <c r="E86" s="587"/>
      <c r="F86" s="817"/>
      <c r="G86" s="818"/>
      <c r="H86" s="818"/>
      <c r="I86" s="818"/>
      <c r="J86" s="818"/>
      <c r="K86" s="818"/>
      <c r="L86" s="818"/>
      <c r="M86" s="102"/>
      <c r="N86" s="817"/>
      <c r="O86" s="819"/>
      <c r="P86" s="819"/>
      <c r="Q86" s="819"/>
      <c r="R86" s="819"/>
      <c r="S86" s="819"/>
      <c r="T86" s="819"/>
      <c r="U86" s="819"/>
      <c r="V86" s="819"/>
      <c r="W86" s="588"/>
      <c r="X86" s="586"/>
      <c r="Y86" s="586"/>
      <c r="Z86" s="586"/>
      <c r="AA86" s="586"/>
      <c r="AB86" s="586"/>
      <c r="AC86" s="586"/>
      <c r="AD86" s="586"/>
      <c r="AE86" s="586"/>
      <c r="AF86" s="586"/>
      <c r="AG86" s="586"/>
      <c r="AH86" s="505"/>
      <c r="AI86" s="586"/>
      <c r="AJ86" s="25"/>
      <c r="AK86" s="25"/>
      <c r="AL86" s="25"/>
      <c r="AM86" s="25"/>
      <c r="AN86" s="25"/>
      <c r="AO86" s="25"/>
      <c r="AP86" s="25"/>
      <c r="AQ86" s="25"/>
      <c r="AR86" s="25"/>
      <c r="AS86" s="25"/>
      <c r="AT86" s="25"/>
      <c r="AU86" s="25"/>
      <c r="AV86" s="25"/>
      <c r="AW86" s="25"/>
      <c r="AX86" s="25"/>
      <c r="AY86" s="25"/>
      <c r="AZ86" s="25"/>
      <c r="BA86" s="25"/>
      <c r="BB86" s="25"/>
      <c r="BC86" s="25"/>
      <c r="BD86" s="25"/>
      <c r="BE86" s="25"/>
      <c r="BF86" s="823"/>
    </row>
    <row r="87" ht="30" customHeight="1">
      <c r="A87" t="s" s="820">
        <v>171</v>
      </c>
      <c r="B87" s="505"/>
      <c r="C87" s="505"/>
      <c r="D87" s="505"/>
      <c r="E87" s="505"/>
      <c r="F87" s="505"/>
      <c r="G87" s="616"/>
      <c r="H87" s="616"/>
      <c r="I87" s="616"/>
      <c r="J87" s="616"/>
      <c r="K87" s="616"/>
      <c r="L87" s="616"/>
      <c r="M87" s="616"/>
      <c r="N87" s="505"/>
      <c r="O87" s="505"/>
      <c r="P87" s="505"/>
      <c r="Q87" s="505"/>
      <c r="R87" s="505"/>
      <c r="S87" s="505"/>
      <c r="T87" s="505"/>
      <c r="U87" s="505"/>
      <c r="V87" s="505"/>
      <c r="W87" s="821"/>
      <c r="X87" s="505"/>
      <c r="Y87" s="505"/>
      <c r="Z87" s="505"/>
      <c r="AA87" s="505"/>
      <c r="AB87" s="505"/>
      <c r="AC87" s="505"/>
      <c r="AD87" s="505"/>
      <c r="AE87" s="505"/>
      <c r="AF87" s="505"/>
      <c r="AG87" s="505"/>
      <c r="AH87" t="s" s="735">
        <v>171</v>
      </c>
      <c r="AI87" s="586"/>
      <c r="AJ87" s="25"/>
      <c r="AK87" s="25"/>
      <c r="AL87" s="25"/>
      <c r="AM87" s="25"/>
      <c r="AN87" s="25"/>
      <c r="AO87" s="25"/>
      <c r="AP87" s="25"/>
      <c r="AQ87" s="25"/>
      <c r="AR87" s="25"/>
      <c r="AS87" s="25"/>
      <c r="AT87" s="25"/>
      <c r="AU87" s="25"/>
      <c r="AV87" s="25"/>
      <c r="AW87" s="25"/>
      <c r="AX87" s="25"/>
      <c r="AY87" s="25"/>
      <c r="AZ87" s="25"/>
      <c r="BA87" s="25"/>
      <c r="BB87" s="25"/>
      <c r="BC87" s="25"/>
      <c r="BD87" s="25"/>
      <c r="BE87" s="25"/>
      <c r="BF87" s="823"/>
    </row>
    <row r="88" ht="14.4" customHeight="1">
      <c r="A88" s="822"/>
      <c r="B88" s="25"/>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c r="AX88" s="25"/>
      <c r="AY88" s="25"/>
      <c r="AZ88" s="25"/>
      <c r="BA88" s="25"/>
      <c r="BB88" s="25"/>
      <c r="BC88" s="25"/>
      <c r="BD88" s="25"/>
      <c r="BE88" s="25"/>
      <c r="BF88" s="823"/>
    </row>
    <row r="89" ht="14.4" customHeight="1">
      <c r="A89" s="822"/>
      <c r="B89" s="25"/>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25"/>
      <c r="AM89" s="25"/>
      <c r="AN89" s="25"/>
      <c r="AO89" s="25"/>
      <c r="AP89" s="25"/>
      <c r="AQ89" s="25"/>
      <c r="AR89" s="25"/>
      <c r="AS89" s="25"/>
      <c r="AT89" s="25"/>
      <c r="AU89" s="25"/>
      <c r="AV89" s="25"/>
      <c r="AW89" s="25"/>
      <c r="AX89" s="25"/>
      <c r="AY89" s="25"/>
      <c r="AZ89" s="25"/>
      <c r="BA89" s="25"/>
      <c r="BB89" s="25"/>
      <c r="BC89" s="25"/>
      <c r="BD89" s="25"/>
      <c r="BE89" s="25"/>
      <c r="BF89" s="823"/>
    </row>
    <row r="90" ht="14.4" customHeight="1">
      <c r="A90" s="822"/>
      <c r="B90" s="25"/>
      <c r="C90" s="25"/>
      <c r="D90" s="25"/>
      <c r="E90" s="25"/>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5"/>
      <c r="AT90" s="25"/>
      <c r="AU90" s="25"/>
      <c r="AV90" s="25"/>
      <c r="AW90" s="25"/>
      <c r="AX90" s="25"/>
      <c r="AY90" s="25"/>
      <c r="AZ90" s="25"/>
      <c r="BA90" s="25"/>
      <c r="BB90" s="25"/>
      <c r="BC90" s="25"/>
      <c r="BD90" s="25"/>
      <c r="BE90" s="25"/>
      <c r="BF90" s="823"/>
    </row>
    <row r="91" ht="14.4" customHeight="1">
      <c r="A91" s="822"/>
      <c r="B91" s="25"/>
      <c r="C91" s="25"/>
      <c r="D91" s="25"/>
      <c r="E91" s="25"/>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c r="AX91" s="25"/>
      <c r="AY91" s="25"/>
      <c r="AZ91" s="25"/>
      <c r="BA91" s="25"/>
      <c r="BB91" s="25"/>
      <c r="BC91" s="25"/>
      <c r="BD91" s="25"/>
      <c r="BE91" s="25"/>
      <c r="BF91" s="823"/>
    </row>
    <row r="92" ht="14.4" customHeight="1">
      <c r="A92" s="822"/>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823"/>
    </row>
    <row r="93" ht="14.4" customHeight="1">
      <c r="A93" s="822"/>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c r="BD93" s="25"/>
      <c r="BE93" s="25"/>
      <c r="BF93" s="823"/>
    </row>
    <row r="94" ht="14.4" customHeight="1">
      <c r="A94" s="822"/>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c r="AZ94" s="25"/>
      <c r="BA94" s="25"/>
      <c r="BB94" s="25"/>
      <c r="BC94" s="25"/>
      <c r="BD94" s="25"/>
      <c r="BE94" s="25"/>
      <c r="BF94" s="823"/>
    </row>
    <row r="95" ht="14.4" customHeight="1">
      <c r="A95" s="822"/>
      <c r="B95" s="25"/>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5"/>
      <c r="AT95" s="25"/>
      <c r="AU95" s="25"/>
      <c r="AV95" s="25"/>
      <c r="AW95" s="25"/>
      <c r="AX95" s="25"/>
      <c r="AY95" s="25"/>
      <c r="AZ95" s="25"/>
      <c r="BA95" s="25"/>
      <c r="BB95" s="25"/>
      <c r="BC95" s="25"/>
      <c r="BD95" s="25"/>
      <c r="BE95" s="25"/>
      <c r="BF95" s="823"/>
    </row>
    <row r="96" ht="14.4" customHeight="1">
      <c r="A96" s="822"/>
      <c r="B96" s="25"/>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c r="AX96" s="25"/>
      <c r="AY96" s="25"/>
      <c r="AZ96" s="25"/>
      <c r="BA96" s="25"/>
      <c r="BB96" s="25"/>
      <c r="BC96" s="25"/>
      <c r="BD96" s="25"/>
      <c r="BE96" s="25"/>
      <c r="BF96" s="823"/>
    </row>
    <row r="97" ht="14.4" customHeight="1">
      <c r="A97" s="822"/>
      <c r="B97" s="25"/>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25"/>
      <c r="AM97" s="25"/>
      <c r="AN97" s="25"/>
      <c r="AO97" s="25"/>
      <c r="AP97" s="25"/>
      <c r="AQ97" s="25"/>
      <c r="AR97" s="25"/>
      <c r="AS97" s="25"/>
      <c r="AT97" s="25"/>
      <c r="AU97" s="25"/>
      <c r="AV97" s="25"/>
      <c r="AW97" s="25"/>
      <c r="AX97" s="25"/>
      <c r="AY97" s="25"/>
      <c r="AZ97" s="25"/>
      <c r="BA97" s="25"/>
      <c r="BB97" s="25"/>
      <c r="BC97" s="25"/>
      <c r="BD97" s="25"/>
      <c r="BE97" s="25"/>
      <c r="BF97" s="823"/>
    </row>
    <row r="98" ht="14.4" customHeight="1">
      <c r="A98" s="822"/>
      <c r="B98" s="25"/>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c r="AT98" s="25"/>
      <c r="AU98" s="25"/>
      <c r="AV98" s="25"/>
      <c r="AW98" s="25"/>
      <c r="AX98" s="25"/>
      <c r="AY98" s="25"/>
      <c r="AZ98" s="25"/>
      <c r="BA98" s="25"/>
      <c r="BB98" s="25"/>
      <c r="BC98" s="25"/>
      <c r="BD98" s="25"/>
      <c r="BE98" s="25"/>
      <c r="BF98" s="823"/>
    </row>
    <row r="99" ht="14.4" customHeight="1">
      <c r="A99" s="822"/>
      <c r="B99" s="25"/>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c r="AT99" s="25"/>
      <c r="AU99" s="25"/>
      <c r="AV99" s="25"/>
      <c r="AW99" s="25"/>
      <c r="AX99" s="25"/>
      <c r="AY99" s="25"/>
      <c r="AZ99" s="25"/>
      <c r="BA99" s="25"/>
      <c r="BB99" s="25"/>
      <c r="BC99" s="25"/>
      <c r="BD99" s="25"/>
      <c r="BE99" s="25"/>
      <c r="BF99" s="823"/>
    </row>
    <row r="100" ht="14.4" customHeight="1">
      <c r="A100" s="824"/>
      <c r="B100" s="825"/>
      <c r="C100" s="825"/>
      <c r="D100" s="825"/>
      <c r="E100" s="825"/>
      <c r="F100" s="825"/>
      <c r="G100" s="825"/>
      <c r="H100" s="825"/>
      <c r="I100" s="825"/>
      <c r="J100" s="825"/>
      <c r="K100" s="825"/>
      <c r="L100" s="825"/>
      <c r="M100" s="825"/>
      <c r="N100" s="825"/>
      <c r="O100" s="825"/>
      <c r="P100" s="825"/>
      <c r="Q100" s="825"/>
      <c r="R100" s="825"/>
      <c r="S100" s="825"/>
      <c r="T100" s="825"/>
      <c r="U100" s="825"/>
      <c r="V100" s="825"/>
      <c r="W100" s="825"/>
      <c r="X100" s="825"/>
      <c r="Y100" s="825"/>
      <c r="Z100" s="825"/>
      <c r="AA100" s="825"/>
      <c r="AB100" s="825"/>
      <c r="AC100" s="825"/>
      <c r="AD100" s="825"/>
      <c r="AE100" s="825"/>
      <c r="AF100" s="825"/>
      <c r="AG100" s="825"/>
      <c r="AH100" s="825"/>
      <c r="AI100" s="825"/>
      <c r="AJ100" s="825"/>
      <c r="AK100" s="825"/>
      <c r="AL100" s="825"/>
      <c r="AM100" s="825"/>
      <c r="AN100" s="825"/>
      <c r="AO100" s="825"/>
      <c r="AP100" s="825"/>
      <c r="AQ100" s="825"/>
      <c r="AR100" s="825"/>
      <c r="AS100" s="825"/>
      <c r="AT100" s="825"/>
      <c r="AU100" s="825"/>
      <c r="AV100" s="825"/>
      <c r="AW100" s="825"/>
      <c r="AX100" s="825"/>
      <c r="AY100" s="825"/>
      <c r="AZ100" s="825"/>
      <c r="BA100" s="825"/>
      <c r="BB100" s="825"/>
      <c r="BC100" s="825"/>
      <c r="BD100" s="825"/>
      <c r="BE100" s="825"/>
      <c r="BF100" s="826"/>
    </row>
  </sheetData>
  <mergeCells count="117">
    <mergeCell ref="G26:N26"/>
    <mergeCell ref="G35:N35"/>
    <mergeCell ref="G44:N44"/>
    <mergeCell ref="G64:N64"/>
    <mergeCell ref="G78:N78"/>
    <mergeCell ref="O20:R20"/>
    <mergeCell ref="O21:R21"/>
    <mergeCell ref="S25:V26"/>
    <mergeCell ref="S74:V74"/>
    <mergeCell ref="O69:R69"/>
    <mergeCell ref="S69:V69"/>
    <mergeCell ref="O66:R66"/>
    <mergeCell ref="O63:R64"/>
    <mergeCell ref="S63:V64"/>
    <mergeCell ref="O65:R65"/>
    <mergeCell ref="S65:V65"/>
    <mergeCell ref="O30:R30"/>
    <mergeCell ref="S30:V30"/>
    <mergeCell ref="O31:R31"/>
    <mergeCell ref="S31:V31"/>
    <mergeCell ref="O70:R71"/>
    <mergeCell ref="S70:V71"/>
    <mergeCell ref="O72:R72"/>
    <mergeCell ref="O54:R54"/>
    <mergeCell ref="S54:V54"/>
    <mergeCell ref="O55:R55"/>
    <mergeCell ref="S55:V55"/>
    <mergeCell ref="S50:V50"/>
    <mergeCell ref="O51:R51"/>
    <mergeCell ref="O43:R44"/>
    <mergeCell ref="S43:V44"/>
    <mergeCell ref="O39:R39"/>
    <mergeCell ref="S39:V39"/>
    <mergeCell ref="O33:R33"/>
    <mergeCell ref="S33:V33"/>
    <mergeCell ref="O34:R35"/>
    <mergeCell ref="S34:V35"/>
    <mergeCell ref="O37:R37"/>
    <mergeCell ref="O47:R47"/>
    <mergeCell ref="S47:V47"/>
    <mergeCell ref="O59:R59"/>
    <mergeCell ref="S59:V59"/>
    <mergeCell ref="O50:R50"/>
    <mergeCell ref="O40:R40"/>
    <mergeCell ref="S40:V40"/>
    <mergeCell ref="O41:R41"/>
    <mergeCell ref="S41:V41"/>
    <mergeCell ref="O48:R49"/>
    <mergeCell ref="S48:V49"/>
    <mergeCell ref="O53:R53"/>
    <mergeCell ref="S53:V53"/>
    <mergeCell ref="O45:R45"/>
    <mergeCell ref="O52:R52"/>
    <mergeCell ref="S52:V52"/>
    <mergeCell ref="S51:V51"/>
    <mergeCell ref="O42:R42"/>
    <mergeCell ref="S42:V42"/>
    <mergeCell ref="O22:R22"/>
    <mergeCell ref="O25:R26"/>
    <mergeCell ref="O61:R61"/>
    <mergeCell ref="S61:V61"/>
    <mergeCell ref="O62:R62"/>
    <mergeCell ref="S62:V62"/>
    <mergeCell ref="S45:V45"/>
    <mergeCell ref="O46:R46"/>
    <mergeCell ref="S46:V46"/>
    <mergeCell ref="O28:R28"/>
    <mergeCell ref="S28:V28"/>
    <mergeCell ref="O29:R29"/>
    <mergeCell ref="S29:V29"/>
    <mergeCell ref="O36:R36"/>
    <mergeCell ref="S36:V36"/>
    <mergeCell ref="S37:V37"/>
    <mergeCell ref="O38:R38"/>
    <mergeCell ref="O24:R24"/>
    <mergeCell ref="S24:V24"/>
    <mergeCell ref="O27:R27"/>
    <mergeCell ref="S27:V27"/>
    <mergeCell ref="S38:V38"/>
    <mergeCell ref="O32:R32"/>
    <mergeCell ref="S32:V32"/>
    <mergeCell ref="S68:V68"/>
    <mergeCell ref="O75:R75"/>
    <mergeCell ref="S75:V75"/>
    <mergeCell ref="O76:R76"/>
    <mergeCell ref="S76:V76"/>
    <mergeCell ref="O73:R73"/>
    <mergeCell ref="S73:V73"/>
    <mergeCell ref="S66:V66"/>
    <mergeCell ref="O67:R67"/>
    <mergeCell ref="S67:V67"/>
    <mergeCell ref="O74:R74"/>
    <mergeCell ref="S72:V72"/>
    <mergeCell ref="AD6:AD9"/>
    <mergeCell ref="O85:R85"/>
    <mergeCell ref="S85:V85"/>
    <mergeCell ref="O82:R82"/>
    <mergeCell ref="S82:V82"/>
    <mergeCell ref="O83:R83"/>
    <mergeCell ref="S83:V83"/>
    <mergeCell ref="O84:R84"/>
    <mergeCell ref="S84:V84"/>
    <mergeCell ref="O79:R79"/>
    <mergeCell ref="S79:V79"/>
    <mergeCell ref="O80:R80"/>
    <mergeCell ref="S80:V80"/>
    <mergeCell ref="O81:R81"/>
    <mergeCell ref="S81:V81"/>
    <mergeCell ref="O77:R78"/>
    <mergeCell ref="S77:V78"/>
    <mergeCell ref="O56:R57"/>
    <mergeCell ref="S56:V57"/>
    <mergeCell ref="O58:R58"/>
    <mergeCell ref="S58:V58"/>
    <mergeCell ref="O60:R60"/>
    <mergeCell ref="S60:V60"/>
    <mergeCell ref="O68:R68"/>
  </mergeCells>
  <conditionalFormatting sqref="O7:U14">
    <cfRule type="cellIs" dxfId="9" priority="1" operator="equal" stopIfTrue="1">
      <formula>3</formula>
    </cfRule>
    <cfRule type="cellIs" dxfId="10" priority="2" operator="equal" stopIfTrue="1">
      <formula>2</formula>
    </cfRule>
    <cfRule type="cellIs" dxfId="11" priority="3" operator="equal" stopIfTrue="1">
      <formula>1</formula>
    </cfRule>
  </conditionalFormatting>
  <dataValidations count="1">
    <dataValidation type="list" allowBlank="1" showInputMessage="1" showErrorMessage="1" sqref="W7:W14 W17">
      <formula1>"Exigences non respectées,Exigences partiellement respectées,Exigences respectées,Non évalué,N/A"</formula1>
    </dataValidation>
  </dataValidations>
  <pageMargins left="0.7" right="0.7" top="0.75" bottom="0.75" header="0.3" footer="0.3"/>
  <pageSetup firstPageNumber="1" fitToHeight="1" fitToWidth="1" scale="100" useFirstPageNumber="0" orientation="portrait" pageOrder="downThenOver"/>
  <headerFooter>
    <oddFooter>&amp;C&amp;"Helvetica Neue,Regular"&amp;12&amp;K000000&amp;P</oddFooter>
  </headerFooter>
  <drawing r:id="rId1"/>
</worksheet>
</file>

<file path=xl/worksheets/sheet14.xml><?xml version="1.0" encoding="utf-8"?>
<worksheet xmlns:r="http://schemas.openxmlformats.org/officeDocument/2006/relationships" xmlns="http://schemas.openxmlformats.org/spreadsheetml/2006/main">
  <dimension ref="A1:P118"/>
  <sheetViews>
    <sheetView workbookViewId="0" showGridLines="0" defaultGridColor="1"/>
  </sheetViews>
  <sheetFormatPr defaultColWidth="10.8333" defaultRowHeight="14.4" customHeight="1" outlineLevelRow="0" outlineLevelCol="0"/>
  <cols>
    <col min="1" max="1" width="2.85156" style="874" customWidth="1"/>
    <col min="2" max="2" width="4" style="874" customWidth="1"/>
    <col min="3" max="5" hidden="1" width="10.8333" style="874" customWidth="1"/>
    <col min="6" max="6" width="10.8516" style="874" customWidth="1"/>
    <col min="7" max="7" width="36.1719" style="874" customWidth="1"/>
    <col min="8" max="8" width="28.5" style="874" customWidth="1"/>
    <col min="9" max="9" width="17.6719" style="874" customWidth="1"/>
    <col min="10" max="10" width="66.8516" style="874" customWidth="1"/>
    <col min="11" max="11" width="80.8516" style="874" customWidth="1"/>
    <col min="12" max="12" width="10.8516" style="874" customWidth="1"/>
    <col min="13" max="13" width="28" style="874" customWidth="1"/>
    <col min="14" max="14" width="16.5" style="874" customWidth="1"/>
    <col min="15" max="16" width="4" style="874" customWidth="1"/>
    <col min="17" max="16384" width="10.8516" style="874" customWidth="1"/>
  </cols>
  <sheetData>
    <row r="1" ht="45" customHeight="1">
      <c r="A1" s="497"/>
      <c r="B1" t="s" s="498">
        <v>2001</v>
      </c>
      <c r="C1" s="499"/>
      <c r="D1" s="499"/>
      <c r="E1" s="499"/>
      <c r="F1" s="499"/>
      <c r="G1" s="500"/>
      <c r="H1" s="501"/>
      <c r="I1" s="501"/>
      <c r="J1" t="s" s="502">
        <f>VLOOKUP($E$12,'BDD'!$A$2:$N$567,3,FALSE)</f>
        <v>227</v>
      </c>
      <c r="K1" s="501"/>
      <c r="L1" s="500"/>
      <c r="M1" s="500"/>
      <c r="N1" s="500"/>
      <c r="O1" s="500"/>
      <c r="P1" s="503"/>
    </row>
    <row r="2" ht="45" customHeight="1">
      <c r="A2" s="504"/>
      <c r="B2" s="505"/>
      <c r="C2" s="505"/>
      <c r="D2" s="505"/>
      <c r="E2" s="505"/>
      <c r="F2" s="505"/>
      <c r="G2" s="505"/>
      <c r="H2" s="505"/>
      <c r="I2" s="505"/>
      <c r="J2" t="s" s="506">
        <f>VLOOKUP($E$12,'BDD'!$A$2:$N$567,4,FALSE)</f>
        <v>671</v>
      </c>
      <c r="K2" s="505"/>
      <c r="L2" s="505"/>
      <c r="M2" s="505"/>
      <c r="N2" s="505"/>
      <c r="O2" s="505"/>
      <c r="P2" s="507"/>
    </row>
    <row r="3" ht="18" customHeight="1">
      <c r="A3" s="504"/>
      <c r="B3" s="61"/>
      <c r="C3" s="61"/>
      <c r="D3" s="61"/>
      <c r="E3" s="61"/>
      <c r="F3" s="61"/>
      <c r="G3" t="s" s="508">
        <f>IF('Suppl'!B64=2,"Le vecteur n'est pas utilisé","")</f>
      </c>
      <c r="H3" s="509"/>
      <c r="I3" s="509"/>
      <c r="J3" s="509"/>
      <c r="K3" s="509"/>
      <c r="L3" s="510"/>
      <c r="M3" s="61"/>
      <c r="N3" s="61"/>
      <c r="O3" s="61"/>
      <c r="P3" s="507"/>
    </row>
    <row r="4" ht="14.4" customHeight="1">
      <c r="A4" s="504"/>
      <c r="B4" s="61"/>
      <c r="C4" s="61"/>
      <c r="D4" s="61"/>
      <c r="E4" s="61"/>
      <c r="F4" s="61"/>
      <c r="G4" s="61"/>
      <c r="H4" s="61"/>
      <c r="I4" s="61"/>
      <c r="J4" s="61"/>
      <c r="K4" s="61"/>
      <c r="L4" s="61"/>
      <c r="M4" s="61"/>
      <c r="N4" s="61"/>
      <c r="O4" s="61"/>
      <c r="P4" s="507"/>
    </row>
    <row r="5" ht="25.8" customHeight="1">
      <c r="A5" s="511"/>
      <c r="B5" s="512"/>
      <c r="C5" t="s" s="513">
        <f>IF(LEFT(RIGHT($B$1,2),1)=" ",RIGHT($B$1,1),RIGHT($B$1,2))</f>
        <v>2002</v>
      </c>
      <c r="D5" s="514">
        <f>IF(LEFT(F5,14)="Bonne pratique",D4+1,D4)</f>
        <v>1</v>
      </c>
      <c r="E5" s="515"/>
      <c r="F5" t="s" s="516">
        <v>1762</v>
      </c>
      <c r="G5" s="517"/>
      <c r="H5" s="518"/>
      <c r="I5" s="519"/>
      <c r="J5" t="s" s="520">
        <f>VLOOKUP(E12,'BDD'!$A$2:$N$567,6,FALSE)</f>
        <v>672</v>
      </c>
      <c r="K5" s="521"/>
      <c r="L5" s="517"/>
      <c r="M5" s="517"/>
      <c r="N5" s="517"/>
      <c r="O5" s="512"/>
      <c r="P5" s="522"/>
    </row>
    <row r="6" ht="14.4" customHeight="1">
      <c r="A6" s="504"/>
      <c r="B6" s="61"/>
      <c r="C6" t="s" s="513">
        <f>IF(LEFT(RIGHT($B$1,2),1)=" ",RIGHT($B$1,1),RIGHT($B$1,2))</f>
        <v>2002</v>
      </c>
      <c r="D6" s="514">
        <f>IF(LEFT(F6,14)="Bonne pratique",D5+1,D5)</f>
        <v>1</v>
      </c>
      <c r="E6" s="61"/>
      <c r="F6" s="61"/>
      <c r="G6" s="61"/>
      <c r="H6" s="61"/>
      <c r="I6" s="61"/>
      <c r="J6" s="61"/>
      <c r="K6" s="61"/>
      <c r="L6" s="61"/>
      <c r="M6" s="61"/>
      <c r="N6" s="61"/>
      <c r="O6" s="61"/>
      <c r="P6" s="507"/>
    </row>
    <row r="7" ht="23.4" customHeight="1">
      <c r="A7" s="523"/>
      <c r="B7" s="524"/>
      <c r="C7" t="s" s="513">
        <f>IF(LEFT(RIGHT($B$1,2),1)=" ",RIGHT($B$1,1),RIGHT($B$1,2))</f>
        <v>2002</v>
      </c>
      <c r="D7" s="514">
        <f>IF(LEFT(F7,14)="Bonne pratique",D6+1,D6)</f>
        <v>1</v>
      </c>
      <c r="E7" s="524"/>
      <c r="F7" s="524"/>
      <c r="G7" s="524"/>
      <c r="H7" s="524"/>
      <c r="I7" s="525"/>
      <c r="J7" t="s" s="526">
        <v>673</v>
      </c>
      <c r="K7" s="525"/>
      <c r="L7" s="524"/>
      <c r="M7" s="524"/>
      <c r="N7" s="524"/>
      <c r="O7" s="524"/>
      <c r="P7" s="527"/>
    </row>
    <row r="8" ht="18" customHeight="1">
      <c r="A8" s="504"/>
      <c r="B8" s="61"/>
      <c r="C8" t="s" s="513">
        <f>IF(LEFT(RIGHT($B$1,2),1)=" ",RIGHT($B$1,1),RIGHT($B$1,2))</f>
        <v>2002</v>
      </c>
      <c r="D8" s="514">
        <f>IF(LEFT(F8,14)="Bonne pratique",D7+1,D7)</f>
        <v>1</v>
      </c>
      <c r="E8" s="61"/>
      <c r="F8" s="61"/>
      <c r="G8" s="61"/>
      <c r="H8" s="61"/>
      <c r="I8" s="61"/>
      <c r="J8" s="528"/>
      <c r="K8" s="61"/>
      <c r="L8" s="61"/>
      <c r="M8" s="529"/>
      <c r="N8" s="529"/>
      <c r="O8" s="61"/>
      <c r="P8" s="507"/>
    </row>
    <row r="9" ht="14.4" customHeight="1">
      <c r="A9" s="504"/>
      <c r="B9" s="61"/>
      <c r="C9" t="s" s="513">
        <f>IF(LEFT(RIGHT($B$1,2),1)=" ",RIGHT($B$1,1),RIGHT($B$1,2))</f>
        <v>2002</v>
      </c>
      <c r="D9" s="514">
        <f>IF(LEFT(F9,14)="Bonne pratique",D8+1,D8)</f>
        <v>1</v>
      </c>
      <c r="E9" s="61"/>
      <c r="F9" s="61"/>
      <c r="G9" s="530"/>
      <c r="H9" s="530"/>
      <c r="I9" s="530"/>
      <c r="J9" s="530"/>
      <c r="K9" s="530"/>
      <c r="L9" s="531"/>
      <c r="M9" t="s" s="532">
        <v>1763</v>
      </c>
      <c r="N9" s="533"/>
      <c r="O9" s="534"/>
      <c r="P9" s="507"/>
    </row>
    <row r="10" ht="33" customHeight="1">
      <c r="A10" s="504"/>
      <c r="B10" s="61"/>
      <c r="C10" t="s" s="513">
        <f>IF(LEFT(RIGHT($B$1,2),1)=" ",RIGHT($B$1,1),RIGHT($B$1,2))</f>
        <v>2002</v>
      </c>
      <c r="D10" s="514">
        <f>IF(LEFT(F10,14)="Bonne pratique",D9+1,D9)</f>
        <v>1</v>
      </c>
      <c r="E10" s="61"/>
      <c r="F10" s="535"/>
      <c r="G10" t="s" s="536">
        <v>244</v>
      </c>
      <c r="H10" t="s" s="536">
        <v>1764</v>
      </c>
      <c r="I10" t="s" s="537">
        <v>245</v>
      </c>
      <c r="J10" t="s" s="536">
        <v>1765</v>
      </c>
      <c r="K10" t="s" s="536">
        <v>246</v>
      </c>
      <c r="L10" s="538"/>
      <c r="M10" t="s" s="539">
        <v>1766</v>
      </c>
      <c r="N10" t="s" s="540">
        <v>1767</v>
      </c>
      <c r="O10" s="534"/>
      <c r="P10" s="507"/>
    </row>
    <row r="11" ht="14.4" customHeight="1">
      <c r="A11" s="504"/>
      <c r="B11" s="61"/>
      <c r="C11" t="s" s="513">
        <f>IF(LEFT(RIGHT($B$1,2),1)=" ",RIGHT($B$1,1),RIGHT($B$1,2))</f>
        <v>2002</v>
      </c>
      <c r="D11" s="514">
        <f>IF(LEFT(F11,14)="Bonne pratique",D10+1,D10)</f>
        <v>1</v>
      </c>
      <c r="E11" s="61"/>
      <c r="F11" s="529"/>
      <c r="G11" s="541"/>
      <c r="H11" s="541"/>
      <c r="I11" s="541"/>
      <c r="J11" s="541"/>
      <c r="K11" s="541"/>
      <c r="L11" s="61"/>
      <c r="M11" s="541"/>
      <c r="N11" s="541"/>
      <c r="O11" s="61"/>
      <c r="P11" s="507"/>
    </row>
    <row r="12" ht="130.05" customHeight="1">
      <c r="A12" s="504"/>
      <c r="B12" s="542"/>
      <c r="C12" t="s" s="543">
        <f>IF(LEFT(RIGHT($B$1,2),1)=" ",RIGHT($B$1,1),RIGHT($B$1,2))</f>
        <v>2002</v>
      </c>
      <c r="D12" s="544">
        <f>IF(LEFT(F12,14)="Bonne pratique",D11+1,D11)</f>
        <v>1</v>
      </c>
      <c r="E12" t="s" s="545">
        <f>C12&amp;D12&amp;RIGHT(F12,1)</f>
        <v>2003</v>
      </c>
      <c r="F12" t="s" s="546">
        <v>1769</v>
      </c>
      <c r="G12" t="s" s="547">
        <f>_xlfn.IFERROR(IF(VLOOKUP($E12,'BDD'!$A$1:$S$567,MATCH(G$10,'BDD'!$A$1:$P$1,0),FALSE)=0,"",VLOOKUP($E12,'BDD'!$A$1:$S$567,MATCH(G$10,'BDD'!$A$1:$P$1,0),FALSE)),"")</f>
        <v>675</v>
      </c>
      <c r="H12" t="s" s="548">
        <f>IF(VLOOKUP(E12,'BDD'!$A$1:$S$567,15,FALSE)=0,"Critère non évalué","")</f>
        <v>1770</v>
      </c>
      <c r="I12" t="s" s="546">
        <f>_xlfn.IFERROR(IF(VLOOKUP($E12,'BDD'!$A$1:$S$567,MATCH(I$10,'BDD'!$A$1:$P$1,0),FALSE)=0,"",VLOOKUP($E12,'BDD'!$A$1:$S$567,MATCH(I$10,'BDD'!$A$1:$P$1,0),FALSE)),"")</f>
        <v>263</v>
      </c>
      <c r="J12" s="549"/>
      <c r="K12" t="s" s="547">
        <f>_xlfn.IFERROR(IF(VLOOKUP($E12,'BDD'!$A$1:$S$567,MATCH(K$10,'BDD'!$A$1:$P$1,0),FALSE)=0,"",VLOOKUP($E12,'BDD'!$A$1:$S$567,MATCH(K$10,'BDD'!$A$1:$P$1,0),FALSE)),"")</f>
        <v>171</v>
      </c>
      <c r="L12" s="550"/>
      <c r="M12" s="551"/>
      <c r="N12" s="551"/>
      <c r="O12" s="534"/>
      <c r="P12" s="507"/>
    </row>
    <row r="13" ht="130.05" customHeight="1">
      <c r="A13" s="504"/>
      <c r="B13" s="542"/>
      <c r="C13" t="s" s="543">
        <f>IF(LEFT(RIGHT($B$1,2),1)=" ",RIGHT($B$1,1),RIGHT($B$1,2))</f>
        <v>2002</v>
      </c>
      <c r="D13" s="544">
        <f>IF(LEFT(F13,14)="Bonne pratique",D12+1,D12)</f>
        <v>1</v>
      </c>
      <c r="E13" t="s" s="545">
        <f>C13&amp;D13&amp;RIGHT(F13,1)</f>
        <v>2004</v>
      </c>
      <c r="F13" t="s" s="552">
        <v>1772</v>
      </c>
      <c r="G13" t="s" s="540">
        <f>_xlfn.IFERROR(IF(VLOOKUP($E13,'BDD'!$A$1:$S$567,MATCH(G$10,'BDD'!$A$1:$P$1,0),FALSE)=0,"",VLOOKUP($E13,'BDD'!$A$1:$S$567,MATCH(G$10,'BDD'!$A$1:$P$1,0),FALSE)),"")</f>
        <v>679</v>
      </c>
      <c r="H13" t="s" s="553">
        <f>IF(VLOOKUP(E13,'BDD'!$A$1:$S$567,15,FALSE)=0,"Critère non évalué","")</f>
        <v>1770</v>
      </c>
      <c r="I13" t="s" s="552">
        <f>_xlfn.IFERROR(IF(VLOOKUP($E13,'BDD'!$A$1:$S$567,MATCH(I$10,'BDD'!$A$1:$P$1,0),FALSE)=0,"",VLOOKUP($E13,'BDD'!$A$1:$S$567,MATCH(I$10,'BDD'!$A$1:$P$1,0),FALSE)),"")</f>
        <v>263</v>
      </c>
      <c r="J13" s="554"/>
      <c r="K13" t="s" s="540">
        <f>_xlfn.IFERROR(IF(VLOOKUP($E13,'BDD'!$A$1:$S$567,MATCH(K$10,'BDD'!$A$1:$P$1,0),FALSE)=0,"",VLOOKUP($E13,'BDD'!$A$1:$S$567,MATCH(K$10,'BDD'!$A$1:$P$1,0),FALSE)),"")</f>
      </c>
      <c r="L13" s="550"/>
      <c r="M13" s="555"/>
      <c r="N13" s="555"/>
      <c r="O13" s="534"/>
      <c r="P13" s="507"/>
    </row>
    <row r="14" ht="130.05" customHeight="1">
      <c r="A14" s="504"/>
      <c r="B14" s="542"/>
      <c r="C14" t="s" s="543">
        <f>IF(LEFT(RIGHT($B$1,2),1)=" ",RIGHT($B$1,1),RIGHT($B$1,2))</f>
        <v>2002</v>
      </c>
      <c r="D14" s="544">
        <f>IF(LEFT(F14,14)="Bonne pratique",D13+1,D13)</f>
        <v>1</v>
      </c>
      <c r="E14" t="s" s="545">
        <f>C14&amp;D14&amp;RIGHT(F14,1)</f>
        <v>2005</v>
      </c>
      <c r="F14" t="s" s="546">
        <v>1774</v>
      </c>
      <c r="G14" t="s" s="547">
        <f>_xlfn.IFERROR(IF(VLOOKUP($E14,'BDD'!$A$1:$S$567,MATCH(G$10,'BDD'!$A$1:$P$1,0),FALSE)=0,"",VLOOKUP($E14,'BDD'!$A$1:$S$567,MATCH(G$10,'BDD'!$A$1:$P$1,0),FALSE)),"")</f>
        <v>684</v>
      </c>
      <c r="H14" t="s" s="548">
        <f>IF(VLOOKUP(E14,'BDD'!$A$1:$S$567,15,FALSE)=0,"Critère non évalué","")</f>
        <v>1770</v>
      </c>
      <c r="I14" t="s" s="546">
        <f>_xlfn.IFERROR(IF(VLOOKUP($E14,'BDD'!$A$1:$S$567,MATCH(I$10,'BDD'!$A$1:$P$1,0),FALSE)=0,"",VLOOKUP($E14,'BDD'!$A$1:$S$567,MATCH(I$10,'BDD'!$A$1:$P$1,0),FALSE)),"")</f>
        <v>283</v>
      </c>
      <c r="J14" s="549"/>
      <c r="K14" t="s" s="547">
        <f>_xlfn.IFERROR(IF(VLOOKUP($E14,'BDD'!$A$1:$S$567,MATCH(K$10,'BDD'!$A$1:$P$1,0),FALSE)=0,"",VLOOKUP($E14,'BDD'!$A$1:$S$567,MATCH(K$10,'BDD'!$A$1:$P$1,0),FALSE)),"")</f>
      </c>
      <c r="L14" s="550"/>
      <c r="M14" s="551"/>
      <c r="N14" s="551"/>
      <c r="O14" s="534"/>
      <c r="P14" s="507"/>
    </row>
    <row r="15" ht="130.05" customHeight="1" hidden="1">
      <c r="A15" s="504"/>
      <c r="B15" s="542"/>
      <c r="C15" t="s" s="543">
        <f>IF(LEFT(RIGHT($B$1,2),1)=" ",RIGHT($B$1,1),RIGHT($B$1,2))</f>
        <v>2002</v>
      </c>
      <c r="D15" s="544">
        <f>IF(LEFT(F15,14)="Bonne pratique",D14+1,D14)</f>
        <v>1</v>
      </c>
      <c r="E15" t="s" s="545">
        <f>C15&amp;D15&amp;RIGHT(F15,1)</f>
        <v>2006</v>
      </c>
      <c r="F15" t="s" s="552">
        <v>1776</v>
      </c>
      <c r="G15" t="s" s="540">
        <f>_xlfn.IFERROR(IF(VLOOKUP($E15,'BDD'!$A$1:$S$567,MATCH(G$10,'BDD'!$A$1:$P$1,0),FALSE)=0,"",VLOOKUP($E15,'BDD'!$A$1:$S$567,MATCH(G$10,'BDD'!$A$1:$P$1,0),FALSE)),"")</f>
      </c>
      <c r="H15" t="s" s="553">
        <f>IF(VLOOKUP(E15,'BDD'!$A$1:$S$567,15,FALSE)=0,"Critère non évalué","")</f>
        <v>1770</v>
      </c>
      <c r="I15" t="s" s="552">
        <f>_xlfn.IFERROR(IF(VLOOKUP($E15,'BDD'!$A$1:$S$567,MATCH(I$10,'BDD'!$A$1:$P$1,0),FALSE)=0,"",VLOOKUP($E15,'BDD'!$A$1:$S$567,MATCH(I$10,'BDD'!$A$1:$P$1,0),FALSE)),"")</f>
      </c>
      <c r="J15" s="556"/>
      <c r="K15" t="s" s="540">
        <f>_xlfn.IFERROR(IF(VLOOKUP($E15,'BDD'!$A$1:$S$567,MATCH(K$10,'BDD'!$A$1:$P$1,0),FALSE)=0,"",VLOOKUP($E15,'BDD'!$A$1:$S$567,MATCH(K$10,'BDD'!$A$1:$P$1,0),FALSE)),"")</f>
      </c>
      <c r="L15" s="550"/>
      <c r="M15" s="555"/>
      <c r="N15" s="555"/>
      <c r="O15" s="534"/>
      <c r="P15" s="507"/>
    </row>
    <row r="16" ht="130.05" customHeight="1" hidden="1">
      <c r="A16" s="504"/>
      <c r="B16" s="542"/>
      <c r="C16" t="s" s="543">
        <f>IF(LEFT(RIGHT($B$1,2),1)=" ",RIGHT($B$1,1),RIGHT($B$1,2))</f>
        <v>2002</v>
      </c>
      <c r="D16" s="544">
        <f>IF(LEFT(F16,14)="Bonne pratique",D15+1,D15)</f>
        <v>1</v>
      </c>
      <c r="E16" t="s" s="545">
        <f>C16&amp;D16&amp;RIGHT(F16,1)</f>
        <v>2007</v>
      </c>
      <c r="F16" t="s" s="546">
        <v>1778</v>
      </c>
      <c r="G16" t="s" s="547">
        <f>_xlfn.IFERROR(IF(VLOOKUP($E16,'BDD'!$A$1:$S$567,MATCH(G$10,'BDD'!$A$1:$P$1,0),FALSE)=0,"",VLOOKUP($E16,'BDD'!$A$1:$S$567,MATCH(G$10,'BDD'!$A$1:$P$1,0),FALSE)),"")</f>
      </c>
      <c r="H16" t="s" s="548">
        <f>IF(VLOOKUP(E16,'BDD'!$A$1:$S$567,15,FALSE)=0,"Critère non évalué","")</f>
        <v>1770</v>
      </c>
      <c r="I16" t="s" s="546">
        <f>_xlfn.IFERROR(IF(VLOOKUP($E16,'BDD'!$A$1:$S$567,MATCH(I$10,'BDD'!$A$1:$P$1,0),FALSE)=0,"",VLOOKUP($E16,'BDD'!$A$1:$S$567,MATCH(I$10,'BDD'!$A$1:$P$1,0),FALSE)),"")</f>
      </c>
      <c r="J16" s="549"/>
      <c r="K16" t="s" s="547">
        <f>_xlfn.IFERROR(IF(VLOOKUP($E16,'BDD'!$A$1:$S$567,MATCH(K$10,'BDD'!$A$1:$P$1,0),FALSE)=0,"",VLOOKUP($E16,'BDD'!$A$1:$S$567,MATCH(K$10,'BDD'!$A$1:$P$1,0),FALSE)),"")</f>
      </c>
      <c r="L16" s="550"/>
      <c r="M16" s="557"/>
      <c r="N16" s="557"/>
      <c r="O16" s="534"/>
      <c r="P16" s="507"/>
    </row>
    <row r="17" ht="130.05" customHeight="1" hidden="1">
      <c r="A17" s="504"/>
      <c r="B17" s="542"/>
      <c r="C17" t="s" s="543">
        <f>IF(LEFT(RIGHT($B$1,2),1)=" ",RIGHT($B$1,1),RIGHT($B$1,2))</f>
        <v>2002</v>
      </c>
      <c r="D17" s="544">
        <f>IF(LEFT(F17,14)="Bonne pratique",D16+1,D16)</f>
        <v>1</v>
      </c>
      <c r="E17" t="s" s="545">
        <f>C17&amp;D17&amp;RIGHT(F17,1)</f>
        <v>2008</v>
      </c>
      <c r="F17" t="s" s="552">
        <v>1780</v>
      </c>
      <c r="G17" t="s" s="540">
        <f>_xlfn.IFERROR(IF(VLOOKUP($E17,'BDD'!$A$1:$S$567,MATCH(G$10,'BDD'!$A$1:$P$1,0),FALSE)=0,"",VLOOKUP($E17,'BDD'!$A$1:$S$567,MATCH(G$10,'BDD'!$A$1:$P$1,0),FALSE)),"")</f>
      </c>
      <c r="H17" t="s" s="553">
        <f>IF(VLOOKUP(E17,'BDD'!$A$1:$S$567,15,FALSE)=0,"Critère non évalué","")</f>
        <v>1770</v>
      </c>
      <c r="I17" t="s" s="552">
        <f>_xlfn.IFERROR(IF(VLOOKUP($E17,'BDD'!$A$1:$S$567,MATCH(I$10,'BDD'!$A$1:$P$1,0),FALSE)=0,"",VLOOKUP($E17,'BDD'!$A$1:$S$567,MATCH(I$10,'BDD'!$A$1:$P$1,0),FALSE)),"")</f>
      </c>
      <c r="J17" s="554"/>
      <c r="K17" t="s" s="540">
        <f>_xlfn.IFERROR(IF(VLOOKUP($E17,'BDD'!$A$1:$S$567,MATCH(K$10,'BDD'!$A$1:$P$1,0),FALSE)=0,"",VLOOKUP($E17,'BDD'!$A$1:$S$567,MATCH(K$10,'BDD'!$A$1:$P$1,0),FALSE)),"")</f>
      </c>
      <c r="L17" s="550"/>
      <c r="M17" s="555"/>
      <c r="N17" s="555"/>
      <c r="O17" s="534"/>
      <c r="P17" s="507"/>
    </row>
    <row r="18" ht="130.05" customHeight="1" hidden="1">
      <c r="A18" s="504"/>
      <c r="B18" s="542"/>
      <c r="C18" t="s" s="543">
        <f>IF(LEFT(RIGHT($B$1,2),1)=" ",RIGHT($B$1,1),RIGHT($B$1,2))</f>
        <v>2002</v>
      </c>
      <c r="D18" s="544">
        <f>IF(LEFT(F18,14)="Bonne pratique",D17+1,D17)</f>
        <v>1</v>
      </c>
      <c r="E18" t="s" s="545">
        <f>C18&amp;D18&amp;RIGHT(F18,1)</f>
        <v>2009</v>
      </c>
      <c r="F18" t="s" s="546">
        <v>1782</v>
      </c>
      <c r="G18" t="s" s="547">
        <f>_xlfn.IFERROR(IF(VLOOKUP($E18,'BDD'!$A$1:$S$567,MATCH(G$10,'BDD'!$A$1:$P$1,0),FALSE)=0,"",VLOOKUP($E18,'BDD'!$A$1:$S$567,MATCH(G$10,'BDD'!$A$1:$P$1,0),FALSE)),"")</f>
      </c>
      <c r="H18" t="s" s="548">
        <f>IF(VLOOKUP(E18,'BDD'!$A$1:$S$567,15,FALSE)=0,"Critère non évalué","")</f>
        <v>1770</v>
      </c>
      <c r="I18" t="s" s="546">
        <f>_xlfn.IFERROR(IF(VLOOKUP($E18,'BDD'!$A$1:$S$567,MATCH(I$10,'BDD'!$A$1:$P$1,0),FALSE)=0,"",VLOOKUP($E18,'BDD'!$A$1:$S$567,MATCH(I$10,'BDD'!$A$1:$P$1,0),FALSE)),"")</f>
      </c>
      <c r="J18" s="549"/>
      <c r="K18" t="s" s="547">
        <f>_xlfn.IFERROR(IF(VLOOKUP($E18,'BDD'!$A$1:$S$567,MATCH(K$10,'BDD'!$A$1:$P$1,0),FALSE)=0,"",VLOOKUP($E18,'BDD'!$A$1:$S$567,MATCH(K$10,'BDD'!$A$1:$P$1,0),FALSE)),"")</f>
      </c>
      <c r="L18" s="550"/>
      <c r="M18" s="557"/>
      <c r="N18" s="557"/>
      <c r="O18" s="534"/>
      <c r="P18" s="507"/>
    </row>
    <row r="19" ht="18" customHeight="1">
      <c r="A19" s="504"/>
      <c r="B19" s="61"/>
      <c r="C19" t="s" s="513">
        <f>IF(LEFT(RIGHT($B$1,2),1)=" ",RIGHT($B$1,1),RIGHT($B$1,2))</f>
        <v>2002</v>
      </c>
      <c r="D19" s="514">
        <f>IF(LEFT(F19,14)="Bonne pratique",D18+1,D18)</f>
        <v>1</v>
      </c>
      <c r="E19" t="s" s="558">
        <f>C19&amp;D19&amp;RIGHT(F19,1)</f>
        <v>2010</v>
      </c>
      <c r="F19" s="559"/>
      <c r="G19" t="s" s="560">
        <f>IF('Suppl'!B80=2,"Le vecteur n'est pas utilisé","")</f>
      </c>
      <c r="H19" s="561"/>
      <c r="I19" s="561"/>
      <c r="J19" s="561"/>
      <c r="K19" s="561"/>
      <c r="L19" s="510"/>
      <c r="M19" s="559"/>
      <c r="N19" s="559"/>
      <c r="O19" s="61"/>
      <c r="P19" s="507"/>
    </row>
    <row r="20" ht="15" customHeight="1">
      <c r="A20" s="504"/>
      <c r="B20" s="61"/>
      <c r="C20" t="s" s="513">
        <f>IF(LEFT(RIGHT($B$1,2),1)=" ",RIGHT($B$1,1),RIGHT($B$1,2))</f>
        <v>2002</v>
      </c>
      <c r="D20" s="514">
        <f>IF(LEFT(F20,14)="Bonne pratique",D19+1,D19)</f>
        <v>1</v>
      </c>
      <c r="E20" t="s" s="558">
        <f>C20&amp;D20&amp;RIGHT(F20,1)</f>
        <v>2010</v>
      </c>
      <c r="F20" s="61"/>
      <c r="G20" s="61"/>
      <c r="H20" s="61"/>
      <c r="I20" s="61"/>
      <c r="J20" s="61"/>
      <c r="K20" s="61"/>
      <c r="L20" s="61"/>
      <c r="M20" s="61"/>
      <c r="N20" s="61"/>
      <c r="O20" s="61"/>
      <c r="P20" s="507"/>
    </row>
    <row r="21" ht="25.8" customHeight="1">
      <c r="A21" s="511"/>
      <c r="B21" s="512"/>
      <c r="C21" t="s" s="513">
        <f>IF(LEFT(RIGHT($B$1,2),1)=" ",RIGHT($B$1,1),RIGHT($B$1,2))</f>
        <v>2002</v>
      </c>
      <c r="D21" s="514">
        <f>IF(LEFT(F21,14)="Bonne pratique",D20+1,D20)</f>
        <v>2</v>
      </c>
      <c r="E21" t="s" s="558">
        <f>C21&amp;D21&amp;RIGHT(F21,1)</f>
        <v>2011</v>
      </c>
      <c r="F21" t="s" s="516">
        <v>1785</v>
      </c>
      <c r="G21" s="517"/>
      <c r="H21" s="518"/>
      <c r="I21" s="519"/>
      <c r="J21" t="s" s="520">
        <f>VLOOKUP(E28,'BDD'!$A$2:$N$567,6,FALSE)</f>
        <v>695</v>
      </c>
      <c r="K21" s="521"/>
      <c r="L21" s="517"/>
      <c r="M21" s="517"/>
      <c r="N21" s="517"/>
      <c r="O21" s="512"/>
      <c r="P21" s="522"/>
    </row>
    <row r="22" ht="15" customHeight="1">
      <c r="A22" s="504"/>
      <c r="B22" s="61"/>
      <c r="C22" t="s" s="513">
        <f>IF(LEFT(RIGHT($B$1,2),1)=" ",RIGHT($B$1,1),RIGHT($B$1,2))</f>
        <v>2002</v>
      </c>
      <c r="D22" s="514">
        <f>IF(LEFT(F22,14)="Bonne pratique",D21+1,D21)</f>
        <v>2</v>
      </c>
      <c r="E22" t="s" s="558">
        <f>C22&amp;D22&amp;RIGHT(F22,1)</f>
        <v>2012</v>
      </c>
      <c r="F22" s="61"/>
      <c r="G22" s="61"/>
      <c r="H22" s="61"/>
      <c r="I22" s="61"/>
      <c r="J22" s="61"/>
      <c r="K22" s="61"/>
      <c r="L22" s="61"/>
      <c r="M22" s="61"/>
      <c r="N22" s="61"/>
      <c r="O22" s="61"/>
      <c r="P22" s="507"/>
    </row>
    <row r="23" ht="18" customHeight="1">
      <c r="A23" s="523"/>
      <c r="B23" s="524"/>
      <c r="C23" t="s" s="513">
        <f>IF(LEFT(RIGHT($B$1,2),1)=" ",RIGHT($B$1,1),RIGHT($B$1,2))</f>
        <v>2002</v>
      </c>
      <c r="D23" s="514">
        <f>IF(LEFT(F23,14)="Bonne pratique",D22+1,D22)</f>
        <v>2</v>
      </c>
      <c r="E23" t="s" s="558">
        <f>C23&amp;D23&amp;RIGHT(F23,1)</f>
        <v>2012</v>
      </c>
      <c r="F23" s="524"/>
      <c r="G23" s="524"/>
      <c r="H23" s="524"/>
      <c r="I23" s="525"/>
      <c r="J23" t="s" s="526">
        <v>2013</v>
      </c>
      <c r="K23" s="525"/>
      <c r="L23" s="524"/>
      <c r="M23" s="524"/>
      <c r="N23" s="524"/>
      <c r="O23" s="524"/>
      <c r="P23" s="527"/>
    </row>
    <row r="24" ht="18" customHeight="1">
      <c r="A24" s="504"/>
      <c r="B24" s="61"/>
      <c r="C24" t="s" s="513">
        <f>IF(LEFT(RIGHT($B$1,2),1)=" ",RIGHT($B$1,1),RIGHT($B$1,2))</f>
        <v>2002</v>
      </c>
      <c r="D24" s="514">
        <f>IF(LEFT(F24,14)="Bonne pratique",D23+1,D23)</f>
        <v>2</v>
      </c>
      <c r="E24" t="s" s="558">
        <f>C24&amp;D24&amp;RIGHT(F24,1)</f>
        <v>2012</v>
      </c>
      <c r="F24" s="61"/>
      <c r="G24" s="61"/>
      <c r="H24" s="61"/>
      <c r="I24" s="61"/>
      <c r="J24" t="s" s="526">
        <v>2014</v>
      </c>
      <c r="K24" s="61"/>
      <c r="L24" s="61"/>
      <c r="M24" s="529"/>
      <c r="N24" s="529"/>
      <c r="O24" s="61"/>
      <c r="P24" s="507"/>
    </row>
    <row r="25" ht="15" customHeight="1">
      <c r="A25" s="504"/>
      <c r="B25" s="61"/>
      <c r="C25" t="s" s="513">
        <f>IF(LEFT(RIGHT($B$1,2),1)=" ",RIGHT($B$1,1),RIGHT($B$1,2))</f>
        <v>2002</v>
      </c>
      <c r="D25" s="514">
        <f>IF(LEFT(F25,14)="Bonne pratique",D24+1,D24)</f>
        <v>2</v>
      </c>
      <c r="E25" t="s" s="558">
        <f>C25&amp;D25&amp;RIGHT(F25,1)</f>
        <v>2012</v>
      </c>
      <c r="F25" s="61"/>
      <c r="G25" s="529"/>
      <c r="H25" s="529"/>
      <c r="I25" s="529"/>
      <c r="J25" s="530"/>
      <c r="K25" s="529"/>
      <c r="L25" s="542"/>
      <c r="M25" t="s" s="562">
        <v>1763</v>
      </c>
      <c r="N25" s="563"/>
      <c r="O25" s="534"/>
      <c r="P25" s="507"/>
    </row>
    <row r="26" ht="33" customHeight="1">
      <c r="A26" s="504"/>
      <c r="B26" s="61"/>
      <c r="C26" t="s" s="513">
        <f>IF(LEFT(RIGHT($B$1,2),1)=" ",RIGHT($B$1,1),RIGHT($B$1,2))</f>
        <v>2002</v>
      </c>
      <c r="D26" s="514">
        <f>IF(LEFT(F26,14)="Bonne pratique",D25+1,D25)</f>
        <v>2</v>
      </c>
      <c r="E26" t="s" s="558">
        <f>C26&amp;D26&amp;RIGHT(F26,1)</f>
        <v>2012</v>
      </c>
      <c r="F26" s="564"/>
      <c r="G26" t="s" s="536">
        <v>244</v>
      </c>
      <c r="H26" t="s" s="536">
        <v>1764</v>
      </c>
      <c r="I26" t="s" s="536">
        <v>1787</v>
      </c>
      <c r="J26" t="s" s="536">
        <v>1765</v>
      </c>
      <c r="K26" t="s" s="536">
        <v>1788</v>
      </c>
      <c r="L26" s="538"/>
      <c r="M26" t="s" s="539">
        <v>1766</v>
      </c>
      <c r="N26" t="s" s="540">
        <v>1767</v>
      </c>
      <c r="O26" s="534"/>
      <c r="P26" s="507"/>
    </row>
    <row r="27" ht="15" customHeight="1">
      <c r="A27" s="504"/>
      <c r="B27" s="61"/>
      <c r="C27" t="s" s="513">
        <f>IF(LEFT(RIGHT($B$1,2),1)=" ",RIGHT($B$1,1),RIGHT($B$1,2))</f>
        <v>2002</v>
      </c>
      <c r="D27" s="514">
        <f>IF(LEFT(F27,14)="Bonne pratique",D26+1,D26)</f>
        <v>2</v>
      </c>
      <c r="E27" t="s" s="558">
        <f>C27&amp;D27&amp;RIGHT(F27,1)</f>
        <v>2012</v>
      </c>
      <c r="F27" s="529"/>
      <c r="G27" s="541"/>
      <c r="H27" s="541"/>
      <c r="I27" s="541"/>
      <c r="J27" s="541"/>
      <c r="K27" s="541"/>
      <c r="L27" s="61"/>
      <c r="M27" s="541"/>
      <c r="N27" s="541"/>
      <c r="O27" s="61"/>
      <c r="P27" s="507"/>
    </row>
    <row r="28" ht="193.2" customHeight="1">
      <c r="A28" s="504"/>
      <c r="B28" s="542"/>
      <c r="C28" t="s" s="543">
        <f>IF(LEFT(RIGHT($B$1,2),1)=" ",RIGHT($B$1,1),RIGHT($B$1,2))</f>
        <v>2002</v>
      </c>
      <c r="D28" s="544">
        <f>IF(LEFT(F28,14)="Bonne pratique",D27+1,D27)</f>
        <v>2</v>
      </c>
      <c r="E28" t="s" s="545">
        <f>C28&amp;D28&amp;RIGHT(F28,1)</f>
        <v>2015</v>
      </c>
      <c r="F28" t="s" s="546">
        <v>1769</v>
      </c>
      <c r="G28" t="s" s="547">
        <f>_xlfn.IFERROR(IF(VLOOKUP($E28,'BDD'!$A$1:$S$567,MATCH(G$10,'BDD'!$A$1:$P$1,0),FALSE)=0,"",VLOOKUP($E28,'BDD'!$A$1:$S$567,MATCH(G$10,'BDD'!$A$1:$P$1,0),FALSE)),"")</f>
        <v>697</v>
      </c>
      <c r="H28" t="s" s="548">
        <f>IF(VLOOKUP(E28,'BDD'!$A$1:$S$567,15,FALSE)=0,"Critère non évalué","")</f>
        <v>1770</v>
      </c>
      <c r="I28" t="s" s="546">
        <f>_xlfn.IFERROR(IF(VLOOKUP($E28,'BDD'!$A$1:$S$567,MATCH(I$10,'BDD'!$A$1:$P$1,0),FALSE)=0,"",VLOOKUP($E28,'BDD'!$A$1:$S$567,MATCH(I$10,'BDD'!$A$1:$P$1,0),FALSE)),"")</f>
        <v>263</v>
      </c>
      <c r="J28" s="549"/>
      <c r="K28" t="s" s="547">
        <f>_xlfn.IFERROR(IF(VLOOKUP($E28,'BDD'!$A$1:$S$567,MATCH(K$10,'BDD'!$A$1:$P$1,0),FALSE)=0,"",VLOOKUP($E28,'BDD'!$A$1:$S$567,MATCH(K$10,'BDD'!$A$1:$P$1,0),FALSE)),"")</f>
        <v>698</v>
      </c>
      <c r="L28" s="550"/>
      <c r="M28" s="551"/>
      <c r="N28" s="551"/>
      <c r="O28" s="534"/>
      <c r="P28" s="507"/>
    </row>
    <row r="29" ht="130.05" customHeight="1">
      <c r="A29" s="504"/>
      <c r="B29" s="542"/>
      <c r="C29" t="s" s="543">
        <f>IF(LEFT(RIGHT($B$1,2),1)=" ",RIGHT($B$1,1),RIGHT($B$1,2))</f>
        <v>2002</v>
      </c>
      <c r="D29" s="544">
        <f>IF(LEFT(F29,14)="Bonne pratique",D28+1,D28)</f>
        <v>2</v>
      </c>
      <c r="E29" t="s" s="545">
        <f>C29&amp;D29&amp;RIGHT(F29,1)</f>
        <v>2011</v>
      </c>
      <c r="F29" t="s" s="552">
        <v>1772</v>
      </c>
      <c r="G29" t="s" s="540">
        <f>_xlfn.IFERROR(IF(VLOOKUP($E29,'BDD'!$A$1:$S$567,MATCH(G$10,'BDD'!$A$1:$P$1,0),FALSE)=0,"",VLOOKUP($E29,'BDD'!$A$1:$S$567,MATCH(G$10,'BDD'!$A$1:$P$1,0),FALSE)),"")</f>
        <v>700</v>
      </c>
      <c r="H29" t="s" s="553">
        <f>IF(VLOOKUP(E29,'BDD'!$A$1:$S$567,15,FALSE)=0,"Critère non évalué","")</f>
        <v>1770</v>
      </c>
      <c r="I29" t="s" s="552">
        <f>_xlfn.IFERROR(IF(VLOOKUP($E29,'BDD'!$A$1:$S$567,MATCH(I$10,'BDD'!$A$1:$P$1,0),FALSE)=0,"",VLOOKUP($E29,'BDD'!$A$1:$S$567,MATCH(I$10,'BDD'!$A$1:$P$1,0),FALSE)),"")</f>
        <v>263</v>
      </c>
      <c r="J29" s="554"/>
      <c r="K29" t="s" s="540">
        <f>_xlfn.IFERROR(IF(VLOOKUP($E29,'BDD'!$A$1:$S$567,MATCH(K$10,'BDD'!$A$1:$P$1,0),FALSE)=0,"",VLOOKUP($E29,'BDD'!$A$1:$S$567,MATCH(K$10,'BDD'!$A$1:$P$1,0),FALSE)),"")</f>
      </c>
      <c r="L29" s="550"/>
      <c r="M29" s="555"/>
      <c r="N29" s="555"/>
      <c r="O29" s="534"/>
      <c r="P29" s="507"/>
    </row>
    <row r="30" ht="130.05" customHeight="1">
      <c r="A30" s="504"/>
      <c r="B30" s="542"/>
      <c r="C30" t="s" s="543">
        <f>IF(LEFT(RIGHT($B$1,2),1)=" ",RIGHT($B$1,1),RIGHT($B$1,2))</f>
        <v>2002</v>
      </c>
      <c r="D30" s="544">
        <f>IF(LEFT(F30,14)="Bonne pratique",D29+1,D29)</f>
        <v>2</v>
      </c>
      <c r="E30" t="s" s="545">
        <f>C30&amp;D30&amp;RIGHT(F30,1)</f>
        <v>2016</v>
      </c>
      <c r="F30" t="s" s="546">
        <v>1774</v>
      </c>
      <c r="G30" t="s" s="547">
        <f>_xlfn.IFERROR(IF(VLOOKUP($E30,'BDD'!$A$1:$S$567,MATCH(G$10,'BDD'!$A$1:$P$1,0),FALSE)=0,"",VLOOKUP($E30,'BDD'!$A$1:$S$567,MATCH(G$10,'BDD'!$A$1:$P$1,0),FALSE)),"")</f>
        <v>702</v>
      </c>
      <c r="H30" t="s" s="548">
        <f>IF(VLOOKUP(E30,'BDD'!$A$1:$S$567,15,FALSE)=0,"Critère non évalué","")</f>
        <v>1770</v>
      </c>
      <c r="I30" t="s" s="546">
        <f>_xlfn.IFERROR(IF(VLOOKUP($E30,'BDD'!$A$1:$S$567,MATCH(I$10,'BDD'!$A$1:$P$1,0),FALSE)=0,"",VLOOKUP($E30,'BDD'!$A$1:$S$567,MATCH(I$10,'BDD'!$A$1:$P$1,0),FALSE)),"")</f>
        <v>271</v>
      </c>
      <c r="J30" s="549"/>
      <c r="K30" t="s" s="547">
        <f>_xlfn.IFERROR(IF(VLOOKUP($E30,'BDD'!$A$1:$S$567,MATCH(K$10,'BDD'!$A$1:$P$1,0),FALSE)=0,"",VLOOKUP($E30,'BDD'!$A$1:$S$567,MATCH(K$10,'BDD'!$A$1:$P$1,0),FALSE)),"")</f>
        <v>703</v>
      </c>
      <c r="L30" s="550"/>
      <c r="M30" s="551"/>
      <c r="N30" s="551"/>
      <c r="O30" s="534"/>
      <c r="P30" s="507"/>
    </row>
    <row r="31" ht="130.05" customHeight="1" hidden="1">
      <c r="A31" s="504"/>
      <c r="B31" s="542"/>
      <c r="C31" t="s" s="543">
        <f>IF(LEFT(RIGHT($B$1,2),1)=" ",RIGHT($B$1,1),RIGHT($B$1,2))</f>
        <v>2002</v>
      </c>
      <c r="D31" s="544">
        <f>IF(LEFT(F31,14)="Bonne pratique",D30+1,D30)</f>
        <v>2</v>
      </c>
      <c r="E31" t="s" s="545">
        <f>C31&amp;D31&amp;RIGHT(F31,1)</f>
        <v>2017</v>
      </c>
      <c r="F31" t="s" s="552">
        <v>1776</v>
      </c>
      <c r="G31" t="s" s="540">
        <f>_xlfn.IFERROR(IF(VLOOKUP($E31,'BDD'!$A$1:$S$567,MATCH(G$10,'BDD'!$A$1:$P$1,0),FALSE)=0,"",VLOOKUP($E31,'BDD'!$A$1:$S$567,MATCH(G$10,'BDD'!$A$1:$P$1,0),FALSE)),"")</f>
      </c>
      <c r="H31" t="s" s="553">
        <f>IF(VLOOKUP(E31,'BDD'!$A$1:$S$567,15,FALSE)=0,"Critère non évalué","")</f>
        <v>1770</v>
      </c>
      <c r="I31" t="s" s="552">
        <f>_xlfn.IFERROR(IF(VLOOKUP($E31,'BDD'!$A$1:$S$567,MATCH(I$10,'BDD'!$A$1:$P$1,0),FALSE)=0,"",VLOOKUP($E31,'BDD'!$A$1:$S$567,MATCH(I$10,'BDD'!$A$1:$P$1,0),FALSE)),"")</f>
      </c>
      <c r="J31" s="556"/>
      <c r="K31" t="s" s="540">
        <f>_xlfn.IFERROR(IF(VLOOKUP($E31,'BDD'!$A$1:$S$567,MATCH(K$10,'BDD'!$A$1:$P$1,0),FALSE)=0,"",VLOOKUP($E31,'BDD'!$A$1:$S$567,MATCH(K$10,'BDD'!$A$1:$P$1,0),FALSE)),"")</f>
      </c>
      <c r="L31" s="550"/>
      <c r="M31" s="555"/>
      <c r="N31" s="555"/>
      <c r="O31" s="534"/>
      <c r="P31" s="507"/>
    </row>
    <row r="32" ht="130.05" customHeight="1" hidden="1">
      <c r="A32" s="504"/>
      <c r="B32" s="542"/>
      <c r="C32" t="s" s="543">
        <f>IF(LEFT(RIGHT($B$1,2),1)=" ",RIGHT($B$1,1),RIGHT($B$1,2))</f>
        <v>2002</v>
      </c>
      <c r="D32" s="544">
        <f>IF(LEFT(F32,14)="Bonne pratique",D31+1,D31)</f>
        <v>2</v>
      </c>
      <c r="E32" t="s" s="545">
        <f>C32&amp;D32&amp;RIGHT(F32,1)</f>
        <v>2018</v>
      </c>
      <c r="F32" t="s" s="546">
        <v>1778</v>
      </c>
      <c r="G32" t="s" s="547">
        <f>_xlfn.IFERROR(IF(VLOOKUP($E32,'BDD'!$A$1:$S$567,MATCH(G$10,'BDD'!$A$1:$P$1,0),FALSE)=0,"",VLOOKUP($E32,'BDD'!$A$1:$S$567,MATCH(G$10,'BDD'!$A$1:$P$1,0),FALSE)),"")</f>
      </c>
      <c r="H32" t="s" s="548">
        <f>IF(VLOOKUP(E32,'BDD'!$A$1:$S$567,15,FALSE)=0,"Critère non évalué","")</f>
        <v>1770</v>
      </c>
      <c r="I32" t="s" s="546">
        <f>_xlfn.IFERROR(IF(VLOOKUP($E32,'BDD'!$A$1:$S$567,MATCH(I$10,'BDD'!$A$1:$P$1,0),FALSE)=0,"",VLOOKUP($E32,'BDD'!$A$1:$S$567,MATCH(I$10,'BDD'!$A$1:$P$1,0),FALSE)),"")</f>
      </c>
      <c r="J32" s="549"/>
      <c r="K32" t="s" s="547">
        <f>_xlfn.IFERROR(IF(VLOOKUP($E32,'BDD'!$A$1:$S$567,MATCH(K$10,'BDD'!$A$1:$P$1,0),FALSE)=0,"",VLOOKUP($E32,'BDD'!$A$1:$S$567,MATCH(K$10,'BDD'!$A$1:$P$1,0),FALSE)),"")</f>
      </c>
      <c r="L32" s="550"/>
      <c r="M32" s="557"/>
      <c r="N32" s="557"/>
      <c r="O32" s="534"/>
      <c r="P32" s="507"/>
    </row>
    <row r="33" ht="130.05" customHeight="1" hidden="1">
      <c r="A33" s="504"/>
      <c r="B33" s="542"/>
      <c r="C33" t="s" s="543">
        <f>IF(LEFT(RIGHT($B$1,2),1)=" ",RIGHT($B$1,1),RIGHT($B$1,2))</f>
        <v>2002</v>
      </c>
      <c r="D33" s="544">
        <f>IF(LEFT(F33,14)="Bonne pratique",D32+1,D32)</f>
        <v>2</v>
      </c>
      <c r="E33" t="s" s="545">
        <f>C33&amp;D33&amp;RIGHT(F33,1)</f>
        <v>2019</v>
      </c>
      <c r="F33" t="s" s="552">
        <v>1780</v>
      </c>
      <c r="G33" t="s" s="540">
        <f>_xlfn.IFERROR(IF(VLOOKUP($E33,'BDD'!$A$1:$S$567,MATCH(G$10,'BDD'!$A$1:$P$1,0),FALSE)=0,"",VLOOKUP($E33,'BDD'!$A$1:$S$567,MATCH(G$10,'BDD'!$A$1:$P$1,0),FALSE)),"")</f>
      </c>
      <c r="H33" t="s" s="553">
        <f>IF(VLOOKUP(E33,'BDD'!$A$1:$S$567,15,FALSE)=0,"Critère non évalué","")</f>
        <v>1770</v>
      </c>
      <c r="I33" t="s" s="552">
        <f>_xlfn.IFERROR(IF(VLOOKUP($E33,'BDD'!$A$1:$S$567,MATCH(I$10,'BDD'!$A$1:$P$1,0),FALSE)=0,"",VLOOKUP($E33,'BDD'!$A$1:$S$567,MATCH(I$10,'BDD'!$A$1:$P$1,0),FALSE)),"")</f>
      </c>
      <c r="J33" s="554"/>
      <c r="K33" t="s" s="540">
        <f>_xlfn.IFERROR(IF(VLOOKUP($E33,'BDD'!$A$1:$S$567,MATCH(K$10,'BDD'!$A$1:$P$1,0),FALSE)=0,"",VLOOKUP($E33,'BDD'!$A$1:$S$567,MATCH(K$10,'BDD'!$A$1:$P$1,0),FALSE)),"")</f>
      </c>
      <c r="L33" s="550"/>
      <c r="M33" s="555"/>
      <c r="N33" s="555"/>
      <c r="O33" s="534"/>
      <c r="P33" s="507"/>
    </row>
    <row r="34" ht="130.05" customHeight="1" hidden="1">
      <c r="A34" s="504"/>
      <c r="B34" s="542"/>
      <c r="C34" t="s" s="543">
        <f>IF(LEFT(RIGHT($B$1,2),1)=" ",RIGHT($B$1,1),RIGHT($B$1,2))</f>
        <v>2002</v>
      </c>
      <c r="D34" s="544">
        <f>IF(LEFT(F34,14)="Bonne pratique",D33+1,D33)</f>
        <v>2</v>
      </c>
      <c r="E34" t="s" s="545">
        <f>C34&amp;D34&amp;RIGHT(F34,1)</f>
        <v>2020</v>
      </c>
      <c r="F34" t="s" s="546">
        <v>1782</v>
      </c>
      <c r="G34" t="s" s="547">
        <f>_xlfn.IFERROR(IF(VLOOKUP($E34,'BDD'!$A$1:$S$567,MATCH(G$10,'BDD'!$A$1:$P$1,0),FALSE)=0,"",VLOOKUP($E34,'BDD'!$A$1:$S$567,MATCH(G$10,'BDD'!$A$1:$P$1,0),FALSE)),"")</f>
      </c>
      <c r="H34" t="s" s="548">
        <f>IF(VLOOKUP(E34,'BDD'!$A$1:$S$567,15,FALSE)=0,"Critère non évalué","")</f>
        <v>1770</v>
      </c>
      <c r="I34" t="s" s="546">
        <f>_xlfn.IFERROR(IF(VLOOKUP($E34,'BDD'!$A$1:$S$567,MATCH(I$10,'BDD'!$A$1:$P$1,0),FALSE)=0,"",VLOOKUP($E34,'BDD'!$A$1:$S$567,MATCH(I$10,'BDD'!$A$1:$P$1,0),FALSE)),"")</f>
      </c>
      <c r="J34" s="549"/>
      <c r="K34" t="s" s="547">
        <f>_xlfn.IFERROR(IF(VLOOKUP($E34,'BDD'!$A$1:$S$567,MATCH(K$10,'BDD'!$A$1:$P$1,0),FALSE)=0,"",VLOOKUP($E34,'BDD'!$A$1:$S$567,MATCH(K$10,'BDD'!$A$1:$P$1,0),FALSE)),"")</f>
      </c>
      <c r="L34" s="550"/>
      <c r="M34" s="557"/>
      <c r="N34" s="557"/>
      <c r="O34" s="534"/>
      <c r="P34" s="507"/>
    </row>
    <row r="35" ht="18" customHeight="1">
      <c r="A35" s="504"/>
      <c r="B35" s="61"/>
      <c r="C35" t="s" s="513">
        <f>IF(LEFT(RIGHT($B$1,2),1)=" ",RIGHT($B$1,1),RIGHT($B$1,2))</f>
        <v>2002</v>
      </c>
      <c r="D35" s="514">
        <f>IF(LEFT(F35,14)="Bonne pratique",D34+1,D34)</f>
        <v>2</v>
      </c>
      <c r="E35" t="s" s="558">
        <f>C35&amp;D35&amp;RIGHT(F35,1)</f>
        <v>2012</v>
      </c>
      <c r="F35" s="559"/>
      <c r="G35" t="s" s="560">
        <f>IF('Suppl'!B96=2,"Le vecteur n'est pas utilisé","")</f>
      </c>
      <c r="H35" s="561"/>
      <c r="I35" s="559"/>
      <c r="J35" s="561"/>
      <c r="K35" s="561"/>
      <c r="L35" s="510"/>
      <c r="M35" s="559"/>
      <c r="N35" s="559"/>
      <c r="O35" s="61"/>
      <c r="P35" s="507"/>
    </row>
    <row r="36" ht="15" customHeight="1">
      <c r="A36" s="504"/>
      <c r="B36" s="61"/>
      <c r="C36" t="s" s="513">
        <f>IF(LEFT(RIGHT($B$1,2),1)=" ",RIGHT($B$1,1),RIGHT($B$1,2))</f>
        <v>2002</v>
      </c>
      <c r="D36" s="514">
        <f>IF(LEFT(F36,14)="Bonne pratique",D35+1,D35)</f>
        <v>2</v>
      </c>
      <c r="E36" t="s" s="558">
        <f>C36&amp;D36&amp;RIGHT(F36,1)</f>
        <v>2012</v>
      </c>
      <c r="F36" s="61"/>
      <c r="G36" s="61"/>
      <c r="H36" s="61"/>
      <c r="I36" s="61"/>
      <c r="J36" s="61"/>
      <c r="K36" s="61"/>
      <c r="L36" s="61"/>
      <c r="M36" s="61"/>
      <c r="N36" s="61"/>
      <c r="O36" s="61"/>
      <c r="P36" s="507"/>
    </row>
    <row r="37" ht="25.8" customHeight="1">
      <c r="A37" s="511"/>
      <c r="B37" s="512"/>
      <c r="C37" t="s" s="513">
        <f>IF(LEFT(RIGHT($B$1,2),1)=" ",RIGHT($B$1,1),RIGHT($B$1,2))</f>
        <v>2002</v>
      </c>
      <c r="D37" s="514">
        <f>IF(LEFT(F37,14)="Bonne pratique",D36+1,D36)</f>
        <v>3</v>
      </c>
      <c r="E37" t="s" s="558">
        <f>C37&amp;D37&amp;RIGHT(F37,1)</f>
        <v>2021</v>
      </c>
      <c r="F37" t="s" s="516">
        <v>1797</v>
      </c>
      <c r="G37" s="517"/>
      <c r="H37" s="518"/>
      <c r="I37" s="519"/>
      <c r="J37" t="s" s="520">
        <f>VLOOKUP(E44,'BDD'!$A$2:$N$567,6,FALSE)</f>
        <v>708</v>
      </c>
      <c r="K37" s="521"/>
      <c r="L37" s="517"/>
      <c r="M37" s="517"/>
      <c r="N37" s="517"/>
      <c r="O37" s="512"/>
      <c r="P37" s="522"/>
    </row>
    <row r="38" ht="15" customHeight="1">
      <c r="A38" s="504"/>
      <c r="B38" s="61"/>
      <c r="C38" t="s" s="513">
        <f>IF(LEFT(RIGHT($B$1,2),1)=" ",RIGHT($B$1,1),RIGHT($B$1,2))</f>
        <v>2002</v>
      </c>
      <c r="D38" s="514">
        <f>IF(LEFT(F38,14)="Bonne pratique",D37+1,D37)</f>
        <v>3</v>
      </c>
      <c r="E38" t="s" s="558">
        <f>C38&amp;D38&amp;RIGHT(F38,1)</f>
        <v>2022</v>
      </c>
      <c r="F38" s="61"/>
      <c r="G38" s="61"/>
      <c r="H38" s="61"/>
      <c r="I38" s="61"/>
      <c r="J38" s="61"/>
      <c r="K38" s="61"/>
      <c r="L38" s="61"/>
      <c r="M38" s="61"/>
      <c r="N38" s="61"/>
      <c r="O38" s="61"/>
      <c r="P38" s="507"/>
    </row>
    <row r="39" ht="18" customHeight="1">
      <c r="A39" s="523"/>
      <c r="B39" s="524"/>
      <c r="C39" t="s" s="513">
        <f>IF(LEFT(RIGHT($B$1,2),1)=" ",RIGHT($B$1,1),RIGHT($B$1,2))</f>
        <v>2002</v>
      </c>
      <c r="D39" s="514">
        <f>IF(LEFT(F39,14)="Bonne pratique",D38+1,D38)</f>
        <v>3</v>
      </c>
      <c r="E39" t="s" s="558">
        <f>C39&amp;D39&amp;RIGHT(F39,1)</f>
        <v>2022</v>
      </c>
      <c r="F39" s="524"/>
      <c r="G39" s="47"/>
      <c r="H39" s="524"/>
      <c r="I39" s="525"/>
      <c r="J39" t="s" s="526">
        <v>709</v>
      </c>
      <c r="K39" s="525"/>
      <c r="L39" s="524"/>
      <c r="M39" s="524"/>
      <c r="N39" s="524"/>
      <c r="O39" s="524"/>
      <c r="P39" s="527"/>
    </row>
    <row r="40" ht="18" customHeight="1">
      <c r="A40" s="504"/>
      <c r="B40" s="61"/>
      <c r="C40" t="s" s="513">
        <f>IF(LEFT(RIGHT($B$1,2),1)=" ",RIGHT($B$1,1),RIGHT($B$1,2))</f>
        <v>2002</v>
      </c>
      <c r="D40" s="514">
        <f>IF(LEFT(F40,14)="Bonne pratique",D39+1,D39)</f>
        <v>3</v>
      </c>
      <c r="E40" t="s" s="558">
        <f>C40&amp;D40&amp;RIGHT(F40,1)</f>
        <v>2022</v>
      </c>
      <c r="F40" s="61"/>
      <c r="G40" s="61"/>
      <c r="H40" s="61"/>
      <c r="I40" s="61"/>
      <c r="J40" s="528"/>
      <c r="K40" s="61"/>
      <c r="L40" s="61"/>
      <c r="M40" s="529"/>
      <c r="N40" s="529"/>
      <c r="O40" s="61"/>
      <c r="P40" s="507"/>
    </row>
    <row r="41" ht="15" customHeight="1">
      <c r="A41" s="504"/>
      <c r="B41" s="61"/>
      <c r="C41" t="s" s="513">
        <f>IF(LEFT(RIGHT($B$1,2),1)=" ",RIGHT($B$1,1),RIGHT($B$1,2))</f>
        <v>2002</v>
      </c>
      <c r="D41" s="514">
        <f>IF(LEFT(F41,14)="Bonne pratique",D40+1,D40)</f>
        <v>3</v>
      </c>
      <c r="E41" t="s" s="558">
        <f>C41&amp;D41&amp;RIGHT(F41,1)</f>
        <v>2022</v>
      </c>
      <c r="F41" s="61"/>
      <c r="G41" s="529"/>
      <c r="H41" s="529"/>
      <c r="I41" s="529"/>
      <c r="J41" s="530"/>
      <c r="K41" s="529"/>
      <c r="L41" s="542"/>
      <c r="M41" t="s" s="562">
        <v>1763</v>
      </c>
      <c r="N41" s="563"/>
      <c r="O41" s="534"/>
      <c r="P41" s="507"/>
    </row>
    <row r="42" ht="33" customHeight="1">
      <c r="A42" s="504"/>
      <c r="B42" s="61"/>
      <c r="C42" t="s" s="513">
        <f>IF(LEFT(RIGHT($B$1,2),1)=" ",RIGHT($B$1,1),RIGHT($B$1,2))</f>
        <v>2002</v>
      </c>
      <c r="D42" s="514">
        <f>IF(LEFT(F42,14)="Bonne pratique",D41+1,D41)</f>
        <v>3</v>
      </c>
      <c r="E42" t="s" s="558">
        <f>C42&amp;D42&amp;RIGHT(F42,1)</f>
        <v>2022</v>
      </c>
      <c r="F42" s="535"/>
      <c r="G42" t="s" s="536">
        <v>244</v>
      </c>
      <c r="H42" t="s" s="536">
        <v>1764</v>
      </c>
      <c r="I42" t="s" s="536">
        <v>1787</v>
      </c>
      <c r="J42" t="s" s="536">
        <v>1765</v>
      </c>
      <c r="K42" t="s" s="536">
        <v>1788</v>
      </c>
      <c r="L42" s="538"/>
      <c r="M42" t="s" s="539">
        <v>1766</v>
      </c>
      <c r="N42" t="s" s="540">
        <v>1767</v>
      </c>
      <c r="O42" s="534"/>
      <c r="P42" s="507"/>
    </row>
    <row r="43" ht="15" customHeight="1">
      <c r="A43" s="504"/>
      <c r="B43" s="61"/>
      <c r="C43" t="s" s="513">
        <f>IF(LEFT(RIGHT($B$1,2),1)=" ",RIGHT($B$1,1),RIGHT($B$1,2))</f>
        <v>2002</v>
      </c>
      <c r="D43" s="514">
        <f>IF(LEFT(F43,14)="Bonne pratique",D42+1,D42)</f>
        <v>3</v>
      </c>
      <c r="E43" t="s" s="558">
        <f>C43&amp;D43&amp;RIGHT(F43,1)</f>
        <v>2022</v>
      </c>
      <c r="F43" s="529"/>
      <c r="G43" s="541"/>
      <c r="H43" s="541"/>
      <c r="I43" s="541"/>
      <c r="J43" s="541"/>
      <c r="K43" s="541"/>
      <c r="L43" s="61"/>
      <c r="M43" s="541"/>
      <c r="N43" s="541"/>
      <c r="O43" s="61"/>
      <c r="P43" s="507"/>
    </row>
    <row r="44" ht="201" customHeight="1">
      <c r="A44" s="504"/>
      <c r="B44" s="542"/>
      <c r="C44" t="s" s="543">
        <f>IF(LEFT(RIGHT($B$1,2),1)=" ",RIGHT($B$1,1),RIGHT($B$1,2))</f>
        <v>2002</v>
      </c>
      <c r="D44" s="544">
        <f>IF(LEFT(F44,14)="Bonne pratique",D43+1,D43)</f>
        <v>3</v>
      </c>
      <c r="E44" t="s" s="545">
        <f>C44&amp;D44&amp;RIGHT(F44,1)</f>
        <v>2023</v>
      </c>
      <c r="F44" t="s" s="546">
        <v>1769</v>
      </c>
      <c r="G44" t="s" s="547">
        <f>_xlfn.IFERROR(IF(VLOOKUP($E44,'BDD'!$A$1:$S$567,MATCH(G$10,'BDD'!$A$1:$P$1,0),FALSE)=0,"",VLOOKUP($E44,'BDD'!$A$1:$S$567,MATCH(G$10,'BDD'!$A$1:$P$1,0),FALSE)),"")</f>
        <v>710</v>
      </c>
      <c r="H44" t="s" s="548">
        <f>IF(VLOOKUP(E44,'BDD'!$A$1:$S$567,15,FALSE)=0,"Critère non évalué","")</f>
        <v>1770</v>
      </c>
      <c r="I44" t="s" s="546">
        <f>_xlfn.IFERROR(IF(VLOOKUP($E44,'BDD'!$A$1:$S$567,MATCH(I$10,'BDD'!$A$1:$P$1,0),FALSE)=0,"",VLOOKUP($E44,'BDD'!$A$1:$S$567,MATCH(I$10,'BDD'!$A$1:$P$1,0),FALSE)),"")</f>
        <v>291</v>
      </c>
      <c r="J44" s="549"/>
      <c r="K44" t="s" s="547">
        <f>_xlfn.IFERROR(IF(VLOOKUP($E44,'BDD'!$A$1:$S$567,MATCH(K$10,'BDD'!$A$1:$P$1,0),FALSE)=0,"",VLOOKUP($E44,'BDD'!$A$1:$S$567,MATCH(K$10,'BDD'!$A$1:$P$1,0),FALSE)),"")</f>
        <v>711</v>
      </c>
      <c r="L44" s="550"/>
      <c r="M44" s="551"/>
      <c r="N44" s="551"/>
      <c r="O44" s="534"/>
      <c r="P44" s="507"/>
    </row>
    <row r="45" ht="150" customHeight="1">
      <c r="A45" s="504"/>
      <c r="B45" s="542"/>
      <c r="C45" t="s" s="543">
        <f>IF(LEFT(RIGHT($B$1,2),1)=" ",RIGHT($B$1,1),RIGHT($B$1,2))</f>
        <v>2002</v>
      </c>
      <c r="D45" s="544">
        <f>IF(LEFT(F45,14)="Bonne pratique",D44+1,D44)</f>
        <v>3</v>
      </c>
      <c r="E45" t="s" s="545">
        <f>C45&amp;D45&amp;RIGHT(F45,1)</f>
        <v>2024</v>
      </c>
      <c r="F45" t="s" s="552">
        <v>1772</v>
      </c>
      <c r="G45" t="s" s="540">
        <f>_xlfn.IFERROR(IF(VLOOKUP($E45,'BDD'!$A$1:$S$567,MATCH(G$10,'BDD'!$A$1:$P$1,0),FALSE)=0,"",VLOOKUP($E45,'BDD'!$A$1:$S$567,MATCH(G$10,'BDD'!$A$1:$P$1,0),FALSE)),"")</f>
        <v>713</v>
      </c>
      <c r="H45" t="s" s="553">
        <f>IF(VLOOKUP(E45,'BDD'!$A$1:$S$567,15,FALSE)=0,"Critère non évalué","")</f>
        <v>1770</v>
      </c>
      <c r="I45" t="s" s="552">
        <f>_xlfn.IFERROR(IF(VLOOKUP($E45,'BDD'!$A$1:$S$567,MATCH(I$10,'BDD'!$A$1:$P$1,0),FALSE)=0,"",VLOOKUP($E45,'BDD'!$A$1:$S$567,MATCH(I$10,'BDD'!$A$1:$P$1,0),FALSE)),"")</f>
        <v>271</v>
      </c>
      <c r="J45" s="554"/>
      <c r="K45" t="s" s="540">
        <f>_xlfn.IFERROR(IF(VLOOKUP($E45,'BDD'!$A$1:$S$567,MATCH(K$10,'BDD'!$A$1:$P$1,0),FALSE)=0,"",VLOOKUP($E45,'BDD'!$A$1:$S$567,MATCH(K$10,'BDD'!$A$1:$P$1,0),FALSE)),"")</f>
      </c>
      <c r="L45" s="550"/>
      <c r="M45" s="555"/>
      <c r="N45" s="555"/>
      <c r="O45" s="534"/>
      <c r="P45" s="507"/>
    </row>
    <row r="46" ht="130.05" customHeight="1">
      <c r="A46" s="504"/>
      <c r="B46" s="542"/>
      <c r="C46" t="s" s="543">
        <f>IF(LEFT(RIGHT($B$1,2),1)=" ",RIGHT($B$1,1),RIGHT($B$1,2))</f>
        <v>2002</v>
      </c>
      <c r="D46" s="544">
        <f>IF(LEFT(F46,14)="Bonne pratique",D45+1,D45)</f>
        <v>3</v>
      </c>
      <c r="E46" t="s" s="545">
        <f>C46&amp;D46&amp;RIGHT(F46,1)</f>
        <v>2021</v>
      </c>
      <c r="F46" t="s" s="546">
        <v>1774</v>
      </c>
      <c r="G46" t="s" s="547">
        <f>_xlfn.IFERROR(IF(VLOOKUP($E46,'BDD'!$A$1:$S$567,MATCH(G$10,'BDD'!$A$1:$P$1,0),FALSE)=0,"",VLOOKUP($E46,'BDD'!$A$1:$S$567,MATCH(G$10,'BDD'!$A$1:$P$1,0),FALSE)),"")</f>
        <v>715</v>
      </c>
      <c r="H46" t="s" s="548">
        <f>IF(VLOOKUP(E46,'BDD'!$A$1:$S$567,15,FALSE)=0,"Critère non évalué","")</f>
        <v>1770</v>
      </c>
      <c r="I46" t="s" s="546">
        <v>283</v>
      </c>
      <c r="J46" s="549"/>
      <c r="K46" t="s" s="547">
        <f>_xlfn.IFERROR(IF(VLOOKUP($E46,'BDD'!$A$1:$S$567,MATCH(K$10,'BDD'!$A$1:$P$1,0),FALSE)=0,"",VLOOKUP($E46,'BDD'!$A$1:$S$567,MATCH(K$10,'BDD'!$A$1:$P$1,0),FALSE)),"")</f>
        <v>716</v>
      </c>
      <c r="L46" s="550"/>
      <c r="M46" s="551"/>
      <c r="N46" s="551"/>
      <c r="O46" s="534"/>
      <c r="P46" s="507"/>
    </row>
    <row r="47" ht="120" customHeight="1">
      <c r="A47" s="504"/>
      <c r="B47" s="542"/>
      <c r="C47" t="s" s="543">
        <f>IF(LEFT(RIGHT($B$1,2),1)=" ",RIGHT($B$1,1),RIGHT($B$1,2))</f>
        <v>2002</v>
      </c>
      <c r="D47" s="544">
        <f>IF(LEFT(F47,14)="Bonne pratique",D46+1,D46)</f>
        <v>3</v>
      </c>
      <c r="E47" t="s" s="545">
        <f>C47&amp;D47&amp;RIGHT(F47,1)</f>
        <v>2025</v>
      </c>
      <c r="F47" t="s" s="552">
        <v>1776</v>
      </c>
      <c r="G47" t="s" s="540">
        <f>_xlfn.IFERROR(IF(VLOOKUP($E47,'BDD'!$A$1:$S$567,MATCH(G$10,'BDD'!$A$1:$P$1,0),FALSE)=0,"",VLOOKUP($E47,'BDD'!$A$1:$S$567,MATCH(G$10,'BDD'!$A$1:$P$1,0),FALSE)),"")</f>
        <v>718</v>
      </c>
      <c r="H47" t="s" s="553">
        <f>IF(VLOOKUP(E47,'BDD'!$A$1:$S$567,15,FALSE)=0,"Critère non évalué","")</f>
        <v>1770</v>
      </c>
      <c r="I47" t="s" s="552">
        <v>256</v>
      </c>
      <c r="J47" s="556"/>
      <c r="K47" t="s" s="540">
        <f>_xlfn.IFERROR(IF(VLOOKUP($E47,'BDD'!$A$1:$S$567,MATCH(K$10,'BDD'!$A$1:$P$1,0),FALSE)=0,"",VLOOKUP($E47,'BDD'!$A$1:$S$567,MATCH(K$10,'BDD'!$A$1:$P$1,0),FALSE)),"")</f>
      </c>
      <c r="L47" s="550"/>
      <c r="M47" s="555"/>
      <c r="N47" s="555"/>
      <c r="O47" s="534"/>
      <c r="P47" s="507"/>
    </row>
    <row r="48" ht="130.05" customHeight="1">
      <c r="A48" s="504"/>
      <c r="B48" s="542"/>
      <c r="C48" t="s" s="543">
        <f>IF(LEFT(RIGHT($B$1,2),1)=" ",RIGHT($B$1,1),RIGHT($B$1,2))</f>
        <v>2002</v>
      </c>
      <c r="D48" s="544">
        <f>IF(LEFT(F48,14)="Bonne pratique",D47+1,D47)</f>
        <v>3</v>
      </c>
      <c r="E48" t="s" s="545">
        <f>C48&amp;D48&amp;RIGHT(F48,1)</f>
        <v>2026</v>
      </c>
      <c r="F48" t="s" s="546">
        <v>1778</v>
      </c>
      <c r="G48" t="s" s="547">
        <f>_xlfn.IFERROR(IF(VLOOKUP($E48,'BDD'!$A$1:$S$567,MATCH(G$10,'BDD'!$A$1:$P$1,0),FALSE)=0,"",VLOOKUP($E48,'BDD'!$A$1:$S$567,MATCH(G$10,'BDD'!$A$1:$P$1,0),FALSE)),"")</f>
        <v>720</v>
      </c>
      <c r="H48" t="s" s="548">
        <f>IF(VLOOKUP(E48,'BDD'!$A$1:$S$567,15,FALSE)=0,"Critère non évalué","")</f>
        <v>1770</v>
      </c>
      <c r="I48" t="s" s="546">
        <v>283</v>
      </c>
      <c r="J48" s="549"/>
      <c r="K48" t="s" s="547">
        <f>_xlfn.IFERROR(IF(VLOOKUP($E48,'BDD'!$A$1:$S$567,MATCH(K$10,'BDD'!$A$1:$P$1,0),FALSE)=0,"",VLOOKUP($E48,'BDD'!$A$1:$S$567,MATCH(K$10,'BDD'!$A$1:$P$1,0),FALSE)),"")</f>
        <v>721</v>
      </c>
      <c r="L48" s="550"/>
      <c r="M48" s="551"/>
      <c r="N48" s="551"/>
      <c r="O48" s="534"/>
      <c r="P48" s="507"/>
    </row>
    <row r="49" ht="120" customHeight="1">
      <c r="A49" s="504"/>
      <c r="B49" s="542"/>
      <c r="C49" t="s" s="543">
        <f>IF(LEFT(RIGHT($B$1,2),1)=" ",RIGHT($B$1,1),RIGHT($B$1,2))</f>
        <v>2002</v>
      </c>
      <c r="D49" s="544">
        <f>IF(LEFT(F49,14)="Bonne pratique",D48+1,D48)</f>
        <v>3</v>
      </c>
      <c r="E49" t="s" s="545">
        <f>C49&amp;D49&amp;RIGHT(F49,1)</f>
        <v>2027</v>
      </c>
      <c r="F49" t="s" s="552">
        <v>1780</v>
      </c>
      <c r="G49" t="s" s="540">
        <f>_xlfn.IFERROR(IF(VLOOKUP($E49,'BDD'!$A$1:$S$567,MATCH(G$10,'BDD'!$A$1:$P$1,0),FALSE)=0,"",VLOOKUP($E49,'BDD'!$A$1:$S$567,MATCH(G$10,'BDD'!$A$1:$P$1,0),FALSE)),"")</f>
        <v>723</v>
      </c>
      <c r="H49" t="s" s="553">
        <f>IF(VLOOKUP(E49,'BDD'!$A$1:$S$567,15,FALSE)=0,"Critère non évalué","")</f>
        <v>1770</v>
      </c>
      <c r="I49" t="s" s="552">
        <v>256</v>
      </c>
      <c r="J49" s="556"/>
      <c r="K49" t="s" s="540">
        <f>_xlfn.IFERROR(IF(VLOOKUP($E49,'BDD'!$A$1:$S$567,MATCH(K$10,'BDD'!$A$1:$P$1,0),FALSE)=0,"",VLOOKUP($E49,'BDD'!$A$1:$S$567,MATCH(K$10,'BDD'!$A$1:$P$1,0),FALSE)),"")</f>
      </c>
      <c r="L49" s="550"/>
      <c r="M49" s="555"/>
      <c r="N49" s="555"/>
      <c r="O49" s="534"/>
      <c r="P49" s="507"/>
    </row>
    <row r="50" ht="130.05" customHeight="1">
      <c r="A50" s="504"/>
      <c r="B50" s="542"/>
      <c r="C50" t="s" s="543">
        <f>IF(LEFT(RIGHT($B$1,2),1)=" ",RIGHT($B$1,1),RIGHT($B$1,2))</f>
        <v>2002</v>
      </c>
      <c r="D50" s="544">
        <f>IF(LEFT(F50,14)="Bonne pratique",D49+1,D49)</f>
        <v>3</v>
      </c>
      <c r="E50" t="s" s="545">
        <f>C50&amp;D50&amp;RIGHT(F50,1)</f>
        <v>2028</v>
      </c>
      <c r="F50" t="s" s="546">
        <v>1782</v>
      </c>
      <c r="G50" t="s" s="547">
        <f>_xlfn.IFERROR(IF(VLOOKUP($E50,'BDD'!$A$1:$S$567,MATCH(G$10,'BDD'!$A$1:$P$1,0),FALSE)=0,"",VLOOKUP($E50,'BDD'!$A$1:$S$567,MATCH(G$10,'BDD'!$A$1:$P$1,0),FALSE)),"")</f>
        <v>725</v>
      </c>
      <c r="H50" t="s" s="548">
        <f>IF(VLOOKUP(E50,'BDD'!$A$1:$S$567,15,FALSE)=0,"Critère non évalué","")</f>
        <v>1770</v>
      </c>
      <c r="I50" t="s" s="546">
        <v>283</v>
      </c>
      <c r="J50" s="549"/>
      <c r="K50" t="s" s="547">
        <f>_xlfn.IFERROR(IF(VLOOKUP($E50,'BDD'!$A$1:$S$567,MATCH(K$10,'BDD'!$A$1:$P$1,0),FALSE)=0,"",VLOOKUP($E50,'BDD'!$A$1:$S$567,MATCH(K$10,'BDD'!$A$1:$P$1,0),FALSE)),"")</f>
      </c>
      <c r="L50" s="550"/>
      <c r="M50" s="551"/>
      <c r="N50" s="551"/>
      <c r="O50" s="534"/>
      <c r="P50" s="507"/>
    </row>
    <row r="51" ht="18" customHeight="1">
      <c r="A51" s="504"/>
      <c r="B51" s="61"/>
      <c r="C51" t="s" s="513">
        <f>IF(LEFT(RIGHT($B$1,2),1)=" ",RIGHT($B$1,1),RIGHT($B$1,2))</f>
        <v>2002</v>
      </c>
      <c r="D51" s="61"/>
      <c r="E51" s="565"/>
      <c r="F51" s="559"/>
      <c r="G51" s="561"/>
      <c r="H51" s="561"/>
      <c r="I51" s="561"/>
      <c r="J51" s="561"/>
      <c r="K51" s="561"/>
      <c r="L51" s="510"/>
      <c r="M51" s="559"/>
      <c r="N51" s="559"/>
      <c r="O51" s="61"/>
      <c r="P51" s="507"/>
    </row>
    <row r="52" ht="15" customHeight="1">
      <c r="A52" s="504"/>
      <c r="B52" s="61"/>
      <c r="C52" t="s" s="513">
        <f>IF(LEFT(RIGHT($B$1,2),1)=" ",RIGHT($B$1,1),RIGHT($B$1,2))</f>
        <v>2002</v>
      </c>
      <c r="D52" s="514">
        <f>IF(LEFT(F52,14)="Bonne pratique",D48+1,D48)</f>
        <v>3</v>
      </c>
      <c r="E52" t="s" s="558">
        <f>C52&amp;D52&amp;RIGHT(F52,1)</f>
        <v>2022</v>
      </c>
      <c r="F52" s="61"/>
      <c r="G52" s="61"/>
      <c r="H52" s="61"/>
      <c r="I52" s="61"/>
      <c r="J52" s="61"/>
      <c r="K52" s="61"/>
      <c r="L52" s="61"/>
      <c r="M52" s="61"/>
      <c r="N52" s="61"/>
      <c r="O52" s="61"/>
      <c r="P52" s="507"/>
    </row>
    <row r="53" ht="25.8" customHeight="1">
      <c r="A53" s="511"/>
      <c r="B53" s="512"/>
      <c r="C53" t="s" s="513">
        <f>IF(LEFT(RIGHT($B$1,2),1)=" ",RIGHT($B$1,1),RIGHT($B$1,2))</f>
        <v>2002</v>
      </c>
      <c r="D53" s="514">
        <f>IF(LEFT(F53,14)="Bonne pratique",D52+1,D52)</f>
        <v>4</v>
      </c>
      <c r="E53" t="s" s="558">
        <f>C53&amp;D53&amp;RIGHT(F53,1)</f>
        <v>2029</v>
      </c>
      <c r="F53" t="s" s="516">
        <v>1806</v>
      </c>
      <c r="G53" s="517"/>
      <c r="H53" s="518"/>
      <c r="I53" s="519"/>
      <c r="J53" t="s" s="520">
        <f>VLOOKUP(E60,'BDD'!$A$2:$N$567,6,FALSE)</f>
        <v>726</v>
      </c>
      <c r="K53" s="521"/>
      <c r="L53" s="517"/>
      <c r="M53" s="517"/>
      <c r="N53" s="517"/>
      <c r="O53" s="512"/>
      <c r="P53" s="522"/>
    </row>
    <row r="54" ht="15" customHeight="1">
      <c r="A54" s="504"/>
      <c r="B54" s="61"/>
      <c r="C54" t="s" s="513">
        <f>IF(LEFT(RIGHT($B$1,2),1)=" ",RIGHT($B$1,1),RIGHT($B$1,2))</f>
        <v>2002</v>
      </c>
      <c r="D54" s="514">
        <f>IF(LEFT(F54,14)="Bonne pratique",D53+1,D53)</f>
        <v>4</v>
      </c>
      <c r="E54" t="s" s="558">
        <f>C54&amp;D54&amp;RIGHT(F54,1)</f>
        <v>2030</v>
      </c>
      <c r="F54" s="61"/>
      <c r="G54" s="61"/>
      <c r="H54" s="61"/>
      <c r="I54" s="61"/>
      <c r="J54" s="61"/>
      <c r="K54" s="61"/>
      <c r="L54" s="61"/>
      <c r="M54" s="61"/>
      <c r="N54" s="61"/>
      <c r="O54" s="61"/>
      <c r="P54" s="507"/>
    </row>
    <row r="55" ht="18" customHeight="1">
      <c r="A55" s="523"/>
      <c r="B55" s="524"/>
      <c r="C55" t="s" s="513">
        <f>IF(LEFT(RIGHT($B$1,2),1)=" ",RIGHT($B$1,1),RIGHT($B$1,2))</f>
        <v>2002</v>
      </c>
      <c r="D55" s="514">
        <f>IF(LEFT(F55,14)="Bonne pratique",D54+1,D54)</f>
        <v>4</v>
      </c>
      <c r="E55" t="s" s="558">
        <f>C55&amp;D55&amp;RIGHT(F55,1)</f>
        <v>2030</v>
      </c>
      <c r="F55" s="524"/>
      <c r="G55" s="524"/>
      <c r="H55" s="524"/>
      <c r="I55" s="525"/>
      <c r="J55" t="s" s="526">
        <v>727</v>
      </c>
      <c r="K55" s="525"/>
      <c r="L55" s="524"/>
      <c r="M55" s="524"/>
      <c r="N55" s="524"/>
      <c r="O55" s="524"/>
      <c r="P55" s="527"/>
    </row>
    <row r="56" ht="18" customHeight="1">
      <c r="A56" s="504"/>
      <c r="B56" s="61"/>
      <c r="C56" t="s" s="513">
        <f>IF(LEFT(RIGHT($B$1,2),1)=" ",RIGHT($B$1,1),RIGHT($B$1,2))</f>
        <v>2002</v>
      </c>
      <c r="D56" s="514">
        <f>IF(LEFT(F56,14)="Bonne pratique",D55+1,D55)</f>
        <v>4</v>
      </c>
      <c r="E56" t="s" s="558">
        <f>C56&amp;D56&amp;RIGHT(F56,1)</f>
        <v>2030</v>
      </c>
      <c r="F56" s="61"/>
      <c r="G56" s="61"/>
      <c r="H56" s="61"/>
      <c r="I56" s="61"/>
      <c r="J56" s="528"/>
      <c r="K56" s="61"/>
      <c r="L56" s="61"/>
      <c r="M56" s="529"/>
      <c r="N56" s="529"/>
      <c r="O56" s="61"/>
      <c r="P56" s="507"/>
    </row>
    <row r="57" ht="15" customHeight="1">
      <c r="A57" s="504"/>
      <c r="B57" s="61"/>
      <c r="C57" t="s" s="513">
        <f>IF(LEFT(RIGHT($B$1,2),1)=" ",RIGHT($B$1,1),RIGHT($B$1,2))</f>
        <v>2002</v>
      </c>
      <c r="D57" s="514">
        <f>IF(LEFT(F57,14)="Bonne pratique",D56+1,D56)</f>
        <v>4</v>
      </c>
      <c r="E57" t="s" s="558">
        <f>C57&amp;D57&amp;RIGHT(F57,1)</f>
        <v>2030</v>
      </c>
      <c r="F57" s="61"/>
      <c r="G57" s="529"/>
      <c r="H57" s="529"/>
      <c r="I57" s="529"/>
      <c r="J57" s="530"/>
      <c r="K57" s="529"/>
      <c r="L57" s="542"/>
      <c r="M57" t="s" s="562">
        <v>1763</v>
      </c>
      <c r="N57" s="563"/>
      <c r="O57" s="534"/>
      <c r="P57" s="507"/>
    </row>
    <row r="58" ht="33" customHeight="1">
      <c r="A58" s="504"/>
      <c r="B58" s="61"/>
      <c r="C58" t="s" s="513">
        <f>IF(LEFT(RIGHT($B$1,2),1)=" ",RIGHT($B$1,1),RIGHT($B$1,2))</f>
        <v>2002</v>
      </c>
      <c r="D58" s="514">
        <f>IF(LEFT(F58,14)="Bonne pratique",D57+1,D57)</f>
        <v>4</v>
      </c>
      <c r="E58" t="s" s="558">
        <f>C58&amp;D58&amp;RIGHT(F58,1)</f>
        <v>2030</v>
      </c>
      <c r="F58" s="535"/>
      <c r="G58" t="s" s="536">
        <v>244</v>
      </c>
      <c r="H58" t="s" s="536">
        <v>1764</v>
      </c>
      <c r="I58" t="s" s="536">
        <v>1787</v>
      </c>
      <c r="J58" t="s" s="536">
        <v>1765</v>
      </c>
      <c r="K58" t="s" s="536">
        <v>1788</v>
      </c>
      <c r="L58" s="538"/>
      <c r="M58" t="s" s="539">
        <v>1766</v>
      </c>
      <c r="N58" t="s" s="540">
        <v>1767</v>
      </c>
      <c r="O58" s="534"/>
      <c r="P58" s="507"/>
    </row>
    <row r="59" ht="15" customHeight="1">
      <c r="A59" s="504"/>
      <c r="B59" s="61"/>
      <c r="C59" t="s" s="513">
        <f>IF(LEFT(RIGHT($B$1,2),1)=" ",RIGHT($B$1,1),RIGHT($B$1,2))</f>
        <v>2002</v>
      </c>
      <c r="D59" s="514">
        <f>IF(LEFT(F59,14)="Bonne pratique",D58+1,D58)</f>
        <v>4</v>
      </c>
      <c r="E59" t="s" s="558">
        <f>C59&amp;D59&amp;RIGHT(F59,1)</f>
        <v>2030</v>
      </c>
      <c r="F59" s="529"/>
      <c r="G59" s="541"/>
      <c r="H59" s="541"/>
      <c r="I59" s="541"/>
      <c r="J59" s="541"/>
      <c r="K59" s="541"/>
      <c r="L59" s="61"/>
      <c r="M59" s="541"/>
      <c r="N59" s="541"/>
      <c r="O59" s="61"/>
      <c r="P59" s="507"/>
    </row>
    <row r="60" ht="130.05" customHeight="1">
      <c r="A60" s="504"/>
      <c r="B60" s="542"/>
      <c r="C60" t="s" s="543">
        <f>IF(LEFT(RIGHT($B$1,2),1)=" ",RIGHT($B$1,1),RIGHT($B$1,2))</f>
        <v>2002</v>
      </c>
      <c r="D60" s="544">
        <f>IF(LEFT(F60,14)="Bonne pratique",D59+1,D59)</f>
        <v>4</v>
      </c>
      <c r="E60" t="s" s="545">
        <f>C60&amp;D60&amp;RIGHT(F60,1)</f>
        <v>2031</v>
      </c>
      <c r="F60" t="s" s="546">
        <v>1769</v>
      </c>
      <c r="G60" t="s" s="547">
        <f>_xlfn.IFERROR(IF(VLOOKUP($E60,'BDD'!$A$1:$S$567,MATCH(G$10,'BDD'!$A$1:$P$1,0),FALSE)=0,"",VLOOKUP($E60,'BDD'!$A$1:$S$567,MATCH(G$10,'BDD'!$A$1:$P$1,0),FALSE)),"")</f>
        <v>728</v>
      </c>
      <c r="H60" t="s" s="548">
        <f>IF(VLOOKUP(E60,'BDD'!$A$1:$S$567,15,FALSE)=0,"Critère non évalué","")</f>
        <v>1770</v>
      </c>
      <c r="I60" t="s" s="546">
        <f>_xlfn.IFERROR(IF(VLOOKUP($E60,'BDD'!$A$1:$S$567,MATCH(I$10,'BDD'!$A$1:$P$1,0),FALSE)=0,"",VLOOKUP($E60,'BDD'!$A$1:$S$567,MATCH(I$10,'BDD'!$A$1:$P$1,0),FALSE)),"")</f>
        <v>283</v>
      </c>
      <c r="J60" s="549"/>
      <c r="K60" t="s" s="547">
        <f>_xlfn.IFERROR(IF(VLOOKUP($E60,'BDD'!$A$1:$S$567,MATCH(K$10,'BDD'!$A$1:$P$1,0),FALSE)=0,"",VLOOKUP($E60,'BDD'!$A$1:$S$567,MATCH(K$10,'BDD'!$A$1:$P$1,0),FALSE)),"")</f>
        <v>729</v>
      </c>
      <c r="L60" s="550"/>
      <c r="M60" s="551"/>
      <c r="N60" s="551"/>
      <c r="O60" s="534"/>
      <c r="P60" s="507"/>
    </row>
    <row r="61" ht="130.05" customHeight="1">
      <c r="A61" s="504"/>
      <c r="B61" s="542"/>
      <c r="C61" t="s" s="543">
        <f>IF(LEFT(RIGHT($B$1,2),1)=" ",RIGHT($B$1,1),RIGHT($B$1,2))</f>
        <v>2002</v>
      </c>
      <c r="D61" s="544">
        <f>IF(LEFT(F61,14)="Bonne pratique",D60+1,D60)</f>
        <v>4</v>
      </c>
      <c r="E61" t="s" s="545">
        <f>C61&amp;D61&amp;RIGHT(F61,1)</f>
        <v>2032</v>
      </c>
      <c r="F61" t="s" s="552">
        <v>1772</v>
      </c>
      <c r="G61" t="s" s="540">
        <f>_xlfn.IFERROR(IF(VLOOKUP($E61,'BDD'!$A$1:$S$567,MATCH(G$10,'BDD'!$A$1:$P$1,0),FALSE)=0,"",VLOOKUP($E61,'BDD'!$A$1:$S$567,MATCH(G$10,'BDD'!$A$1:$P$1,0),FALSE)),"")</f>
        <v>732</v>
      </c>
      <c r="H61" t="s" s="553">
        <f>IF(VLOOKUP(E61,'BDD'!$A$1:$S$567,15,FALSE)=0,"Critère non évalué","")</f>
        <v>1770</v>
      </c>
      <c r="I61" t="s" s="552">
        <f>_xlfn.IFERROR(IF(VLOOKUP($E61,'BDD'!$A$1:$S$567,MATCH(I$10,'BDD'!$A$1:$P$1,0),FALSE)=0,"",VLOOKUP($E61,'BDD'!$A$1:$S$567,MATCH(I$10,'BDD'!$A$1:$P$1,0),FALSE)),"")</f>
        <v>271</v>
      </c>
      <c r="J61" s="554"/>
      <c r="K61" t="s" s="540">
        <f>_xlfn.IFERROR(IF(VLOOKUP($E61,'BDD'!$A$1:$S$567,MATCH(K$10,'BDD'!$A$1:$P$1,0),FALSE)=0,"",VLOOKUP($E61,'BDD'!$A$1:$S$567,MATCH(K$10,'BDD'!$A$1:$P$1,0),FALSE)),"")</f>
        <v>733</v>
      </c>
      <c r="L61" s="550"/>
      <c r="M61" s="555"/>
      <c r="N61" s="555"/>
      <c r="O61" s="534"/>
      <c r="P61" s="507"/>
    </row>
    <row r="62" ht="130.05" customHeight="1" hidden="1">
      <c r="A62" s="504"/>
      <c r="B62" s="542"/>
      <c r="C62" t="s" s="543">
        <f>IF(LEFT(RIGHT($B$1,2),1)=" ",RIGHT($B$1,1),RIGHT($B$1,2))</f>
        <v>2002</v>
      </c>
      <c r="D62" s="544">
        <f>IF(LEFT(F62,14)="Bonne pratique",D61+1,D61)</f>
        <v>4</v>
      </c>
      <c r="E62" t="s" s="545">
        <f>C62&amp;D62&amp;RIGHT(F62,1)</f>
        <v>2033</v>
      </c>
      <c r="F62" t="s" s="546">
        <v>1774</v>
      </c>
      <c r="G62" t="s" s="547">
        <f>_xlfn.IFERROR(IF(VLOOKUP($E62,'BDD'!$A$1:$S$567,MATCH(G$10,'BDD'!$A$1:$P$1,0),FALSE)=0,"",VLOOKUP($E62,'BDD'!$A$1:$S$567,MATCH(G$10,'BDD'!$A$1:$P$1,0),FALSE)),"")</f>
      </c>
      <c r="H62" t="s" s="548">
        <f>IF(VLOOKUP(E62,'BDD'!$A$1:$S$567,15,FALSE)=0,"Critère non évalué","")</f>
        <v>1770</v>
      </c>
      <c r="I62" t="s" s="546">
        <f>_xlfn.IFERROR(IF(VLOOKUP($E62,'BDD'!$A$1:$S$567,MATCH(I$10,'BDD'!$A$1:$P$1,0),FALSE)=0,"",VLOOKUP($E62,'BDD'!$A$1:$S$567,MATCH(I$10,'BDD'!$A$1:$P$1,0),FALSE)),"")</f>
      </c>
      <c r="J62" s="549"/>
      <c r="K62" t="s" s="547">
        <f>_xlfn.IFERROR(IF(VLOOKUP($E62,'BDD'!$A$1:$S$567,MATCH(K$10,'BDD'!$A$1:$P$1,0),FALSE)=0,"",VLOOKUP($E62,'BDD'!$A$1:$S$567,MATCH(K$10,'BDD'!$A$1:$P$1,0),FALSE)),"")</f>
      </c>
      <c r="L62" s="550"/>
      <c r="M62" s="551"/>
      <c r="N62" s="551"/>
      <c r="O62" s="534"/>
      <c r="P62" s="507"/>
    </row>
    <row r="63" ht="130.05" customHeight="1" hidden="1">
      <c r="A63" s="504"/>
      <c r="B63" s="542"/>
      <c r="C63" t="s" s="543">
        <f>IF(LEFT(RIGHT($B$1,2),1)=" ",RIGHT($B$1,1),RIGHT($B$1,2))</f>
        <v>2002</v>
      </c>
      <c r="D63" s="544">
        <f>IF(LEFT(F63,14)="Bonne pratique",D62+1,D62)</f>
        <v>4</v>
      </c>
      <c r="E63" t="s" s="545">
        <f>C63&amp;D63&amp;RIGHT(F63,1)</f>
        <v>2029</v>
      </c>
      <c r="F63" t="s" s="552">
        <v>1776</v>
      </c>
      <c r="G63" t="s" s="540">
        <f>_xlfn.IFERROR(IF(VLOOKUP($E63,'BDD'!$A$1:$S$567,MATCH(G$10,'BDD'!$A$1:$P$1,0),FALSE)=0,"",VLOOKUP($E63,'BDD'!$A$1:$S$567,MATCH(G$10,'BDD'!$A$1:$P$1,0),FALSE)),"")</f>
      </c>
      <c r="H63" t="s" s="553">
        <f>IF(VLOOKUP(E63,'BDD'!$A$1:$S$567,15,FALSE)=0,"Critère non évalué","")</f>
        <v>1770</v>
      </c>
      <c r="I63" t="s" s="552">
        <f>_xlfn.IFERROR(IF(VLOOKUP($E63,'BDD'!$A$1:$S$567,MATCH(I$10,'BDD'!$A$1:$P$1,0),FALSE)=0,"",VLOOKUP($E63,'BDD'!$A$1:$S$567,MATCH(I$10,'BDD'!$A$1:$P$1,0),FALSE)),"")</f>
      </c>
      <c r="J63" s="556"/>
      <c r="K63" t="s" s="540">
        <f>_xlfn.IFERROR(IF(VLOOKUP($E63,'BDD'!$A$1:$S$567,MATCH(K$10,'BDD'!$A$1:$P$1,0),FALSE)=0,"",VLOOKUP($E63,'BDD'!$A$1:$S$567,MATCH(K$10,'BDD'!$A$1:$P$1,0),FALSE)),"")</f>
      </c>
      <c r="L63" s="550"/>
      <c r="M63" s="555"/>
      <c r="N63" s="555"/>
      <c r="O63" s="534"/>
      <c r="P63" s="507"/>
    </row>
    <row r="64" ht="130.05" customHeight="1" hidden="1">
      <c r="A64" s="504"/>
      <c r="B64" s="542"/>
      <c r="C64" t="s" s="543">
        <f>IF(LEFT(RIGHT($B$1,2),1)=" ",RIGHT($B$1,1),RIGHT($B$1,2))</f>
        <v>2002</v>
      </c>
      <c r="D64" s="544">
        <f>IF(LEFT(F64,14)="Bonne pratique",D63+1,D63)</f>
        <v>4</v>
      </c>
      <c r="E64" t="s" s="545">
        <f>C64&amp;D64&amp;RIGHT(F64,1)</f>
        <v>2034</v>
      </c>
      <c r="F64" t="s" s="546">
        <v>1778</v>
      </c>
      <c r="G64" s="567">
        <f>_xlfn.IFERROR(IF(VLOOKUP($E64,'BDD'!$A$1:$S$567,MATCH(G$10,'BDD'!$A$1:$P$1,0),FALSE)=0,"",VLOOKUP($E64,'BDD'!$A$1:$S$567,MATCH(G$10,'BDD'!$A$1:$P$1,0),FALSE)),"")</f>
      </c>
      <c r="H64" s="568">
        <f>IF(VLOOKUP(E64,'BDD'!$A$1:$S$567,15,FALSE)=0,"Critère non évalué","")</f>
      </c>
      <c r="I64" s="569">
        <f>_xlfn.IFERROR(IF(VLOOKUP($E64,'BDD'!$A$1:$S$567,MATCH(I$10,'BDD'!$A$1:$P$1,0),FALSE)=0,"",VLOOKUP($E64,'BDD'!$A$1:$S$567,MATCH(I$10,'BDD'!$A$1:$P$1,0),FALSE)),"")</f>
      </c>
      <c r="J64" s="549"/>
      <c r="K64" s="567">
        <f>_xlfn.IFERROR(IF(VLOOKUP($E64,'BDD'!$A$1:$S$567,MATCH(K$10,'BDD'!$A$1:$P$1,0),FALSE)=0,"",VLOOKUP($E64,'BDD'!$A$1:$S$567,MATCH(K$10,'BDD'!$A$1:$P$1,0),FALSE)),"")</f>
      </c>
      <c r="L64" s="550"/>
      <c r="M64" s="557"/>
      <c r="N64" s="557"/>
      <c r="O64" s="534"/>
      <c r="P64" s="507"/>
    </row>
    <row r="65" ht="130.05" customHeight="1" hidden="1">
      <c r="A65" s="504"/>
      <c r="B65" s="542"/>
      <c r="C65" t="s" s="543">
        <f>IF(LEFT(RIGHT($B$1,2),1)=" ",RIGHT($B$1,1),RIGHT($B$1,2))</f>
        <v>2002</v>
      </c>
      <c r="D65" s="544">
        <f>IF(LEFT(F65,14)="Bonne pratique",D64+1,D64)</f>
        <v>4</v>
      </c>
      <c r="E65" s="566">
        <f>C65&amp;D65&amp;RIGHT(F65,1)</f>
      </c>
      <c r="F65" t="s" s="552">
        <v>1780</v>
      </c>
      <c r="G65" s="557">
        <f>_xlfn.IFERROR(IF(VLOOKUP($E65,'BDD'!$A$1:$S$567,MATCH(G$10,'BDD'!$A$1:$P$1,0),FALSE)=0,"",VLOOKUP($E65,'BDD'!$A$1:$S$567,MATCH(G$10,'BDD'!$A$1:$P$1,0),FALSE)),"")</f>
      </c>
      <c r="H65" s="570">
        <f>IF(VLOOKUP(E65,'BDD'!$A$1:$S$567,15,FALSE)=0,"Critère non évalué","")</f>
      </c>
      <c r="I65" s="571">
        <f>_xlfn.IFERROR(IF(VLOOKUP($E65,'BDD'!$A$1:$S$567,MATCH(I$10,'BDD'!$A$1:$P$1,0),FALSE)=0,"",VLOOKUP($E65,'BDD'!$A$1:$S$567,MATCH(I$10,'BDD'!$A$1:$P$1,0),FALSE)),"")</f>
      </c>
      <c r="J65" s="554"/>
      <c r="K65" s="557">
        <f>_xlfn.IFERROR(IF(VLOOKUP($E65,'BDD'!$A$1:$S$567,MATCH(K$10,'BDD'!$A$1:$P$1,0),FALSE)=0,"",VLOOKUP($E65,'BDD'!$A$1:$S$567,MATCH(K$10,'BDD'!$A$1:$P$1,0),FALSE)),"")</f>
      </c>
      <c r="L65" s="550"/>
      <c r="M65" s="555"/>
      <c r="N65" s="555"/>
      <c r="O65" s="534"/>
      <c r="P65" s="507"/>
    </row>
    <row r="66" ht="130.05" customHeight="1" hidden="1">
      <c r="A66" s="504"/>
      <c r="B66" s="542"/>
      <c r="C66" t="s" s="543">
        <f>IF(LEFT(RIGHT($B$1,2),1)=" ",RIGHT($B$1,1),RIGHT($B$1,2))</f>
        <v>2002</v>
      </c>
      <c r="D66" s="550">
        <f>IF(LEFT(F66,14)="Bonne pratique",D65+1,D65)</f>
      </c>
      <c r="E66" s="566">
        <f>C66&amp;D66&amp;RIGHT(F66,1)</f>
      </c>
      <c r="F66" t="s" s="546">
        <v>1782</v>
      </c>
      <c r="G66" s="567">
        <f>_xlfn.IFERROR(IF(VLOOKUP($E66,'BDD'!$A$1:$S$567,MATCH(G$10,'BDD'!$A$1:$P$1,0),FALSE)=0,"",VLOOKUP($E66,'BDD'!$A$1:$S$567,MATCH(G$10,'BDD'!$A$1:$P$1,0),FALSE)),"")</f>
      </c>
      <c r="H66" s="568">
        <f>IF(VLOOKUP(E66,'BDD'!$A$1:$S$567,15,FALSE)=0,"Critère non évalué","")</f>
      </c>
      <c r="I66" s="569">
        <f>_xlfn.IFERROR(IF(VLOOKUP($E66,'BDD'!$A$1:$S$567,MATCH(I$10,'BDD'!$A$1:$P$1,0),FALSE)=0,"",VLOOKUP($E66,'BDD'!$A$1:$S$567,MATCH(I$10,'BDD'!$A$1:$P$1,0),FALSE)),"")</f>
      </c>
      <c r="J66" s="549"/>
      <c r="K66" s="567">
        <f>_xlfn.IFERROR(IF(VLOOKUP($E66,'BDD'!$A$1:$S$567,MATCH(K$10,'BDD'!$A$1:$P$1,0),FALSE)=0,"",VLOOKUP($E66,'BDD'!$A$1:$S$567,MATCH(K$10,'BDD'!$A$1:$P$1,0),FALSE)),"")</f>
      </c>
      <c r="L66" s="550"/>
      <c r="M66" s="557"/>
      <c r="N66" s="557"/>
      <c r="O66" s="534"/>
      <c r="P66" s="507"/>
    </row>
    <row r="67" ht="15" customHeight="1">
      <c r="A67" s="504"/>
      <c r="B67" s="61"/>
      <c r="C67" t="s" s="513">
        <f>IF(LEFT(RIGHT($B$1,2),1)=" ",RIGHT($B$1,1),RIGHT($B$1,2))</f>
        <v>2002</v>
      </c>
      <c r="D67" s="61">
        <f>IF(LEFT(F67,14)="Bonne pratique",D66+1,D66)</f>
      </c>
      <c r="E67" s="565">
        <f>C67&amp;D67&amp;RIGHT(F67,1)</f>
      </c>
      <c r="F67" s="559"/>
      <c r="G67" s="559"/>
      <c r="H67" s="559"/>
      <c r="I67" s="559"/>
      <c r="J67" s="559"/>
      <c r="K67" s="559"/>
      <c r="L67" s="61"/>
      <c r="M67" s="559"/>
      <c r="N67" s="559"/>
      <c r="O67" s="61"/>
      <c r="P67" s="507"/>
    </row>
    <row r="68" ht="14.4" customHeight="1">
      <c r="A68" s="504"/>
      <c r="B68" s="61"/>
      <c r="C68" t="s" s="513">
        <f>IF(LEFT(RIGHT($B$1,2),1)=" ",RIGHT($B$1,1),RIGHT($B$1,2))</f>
        <v>2002</v>
      </c>
      <c r="D68" s="61"/>
      <c r="E68" s="565"/>
      <c r="F68" s="61"/>
      <c r="G68" s="61"/>
      <c r="H68" s="61"/>
      <c r="I68" s="61"/>
      <c r="J68" s="61"/>
      <c r="K68" s="61"/>
      <c r="L68" s="61"/>
      <c r="M68" s="61"/>
      <c r="N68" s="61"/>
      <c r="O68" s="61"/>
      <c r="P68" s="507"/>
    </row>
    <row r="69" ht="14.4" customHeight="1">
      <c r="A69" s="504"/>
      <c r="B69" s="61"/>
      <c r="C69" t="s" s="513">
        <f>IF(LEFT(RIGHT($B$1,2),1)=" ",RIGHT($B$1,1),RIGHT($B$1,2))</f>
        <v>2002</v>
      </c>
      <c r="D69" s="61"/>
      <c r="E69" s="565"/>
      <c r="F69" s="61"/>
      <c r="G69" s="61"/>
      <c r="H69" s="61"/>
      <c r="I69" s="61"/>
      <c r="J69" s="61"/>
      <c r="K69" s="61"/>
      <c r="L69" s="61"/>
      <c r="M69" s="61"/>
      <c r="N69" s="61"/>
      <c r="O69" s="61"/>
      <c r="P69" s="507"/>
    </row>
    <row r="70" ht="14.4" customHeight="1">
      <c r="A70" s="504"/>
      <c r="B70" s="61"/>
      <c r="C70" t="s" s="513">
        <f>IF(LEFT(RIGHT($B$1,2),1)=" ",RIGHT($B$1,1),RIGHT($B$1,2))</f>
        <v>2002</v>
      </c>
      <c r="D70" s="61"/>
      <c r="E70" s="565"/>
      <c r="F70" s="61"/>
      <c r="G70" s="61"/>
      <c r="H70" s="61"/>
      <c r="I70" s="61"/>
      <c r="J70" s="61"/>
      <c r="K70" s="61"/>
      <c r="L70" s="61"/>
      <c r="M70" s="61"/>
      <c r="N70" s="61"/>
      <c r="O70" s="61"/>
      <c r="P70" s="507"/>
    </row>
    <row r="71" ht="25.8" customHeight="1">
      <c r="A71" s="511"/>
      <c r="B71" s="512"/>
      <c r="C71" t="s" s="513">
        <f>IF(LEFT(RIGHT($B$1,2),1)=" ",RIGHT($B$1,1),RIGHT($B$1,2))</f>
        <v>2002</v>
      </c>
      <c r="D71" s="61">
        <f>IF(LEFT(F71,14)="Bonne pratique",D67+1,D67)</f>
      </c>
      <c r="E71" s="565">
        <f>C71&amp;D71&amp;RIGHT(F71,1)</f>
      </c>
      <c r="F71" t="s" s="516">
        <v>1814</v>
      </c>
      <c r="G71" s="517"/>
      <c r="H71" s="518"/>
      <c r="I71" s="519"/>
      <c r="J71" s="519">
        <f>VLOOKUP(E78,'BDD'!$A$2:$N$567,6,FALSE)</f>
      </c>
      <c r="K71" s="521"/>
      <c r="L71" s="517"/>
      <c r="M71" s="517"/>
      <c r="N71" s="517"/>
      <c r="O71" s="512"/>
      <c r="P71" s="522"/>
    </row>
    <row r="72" ht="15" customHeight="1">
      <c r="A72" s="504"/>
      <c r="B72" s="61"/>
      <c r="C72" t="s" s="513">
        <f>IF(LEFT(RIGHT($B$1,2),1)=" ",RIGHT($B$1,1),RIGHT($B$1,2))</f>
        <v>2002</v>
      </c>
      <c r="D72" s="61">
        <f>IF(LEFT(F72,14)="Bonne pratique",D71+1,D71)</f>
      </c>
      <c r="E72" s="565">
        <f>C72&amp;D72&amp;RIGHT(F72,1)</f>
      </c>
      <c r="F72" s="61"/>
      <c r="G72" s="61"/>
      <c r="H72" s="61"/>
      <c r="I72" s="61"/>
      <c r="J72" s="61"/>
      <c r="K72" s="61"/>
      <c r="L72" s="61"/>
      <c r="M72" s="61"/>
      <c r="N72" s="61"/>
      <c r="O72" s="61"/>
      <c r="P72" s="507"/>
    </row>
    <row r="73" ht="18" customHeight="1">
      <c r="A73" s="523"/>
      <c r="B73" s="524"/>
      <c r="C73" t="s" s="513">
        <f>IF(LEFT(RIGHT($B$1,2),1)=" ",RIGHT($B$1,1),RIGHT($B$1,2))</f>
        <v>2002</v>
      </c>
      <c r="D73" s="61">
        <f>IF(LEFT(F73,14)="Bonne pratique",D72+1,D72)</f>
      </c>
      <c r="E73" s="565">
        <f>C73&amp;D73&amp;RIGHT(F73,1)</f>
      </c>
      <c r="F73" s="524"/>
      <c r="G73" s="524"/>
      <c r="H73" s="524"/>
      <c r="I73" s="525"/>
      <c r="J73" t="s" s="526">
        <v>740</v>
      </c>
      <c r="K73" s="525"/>
      <c r="L73" s="524"/>
      <c r="M73" s="524"/>
      <c r="N73" s="524"/>
      <c r="O73" s="524"/>
      <c r="P73" s="527"/>
    </row>
    <row r="74" ht="18" customHeight="1">
      <c r="A74" s="504"/>
      <c r="B74" s="61"/>
      <c r="C74" t="s" s="513">
        <f>IF(LEFT(RIGHT($B$1,2),1)=" ",RIGHT($B$1,1),RIGHT($B$1,2))</f>
        <v>2002</v>
      </c>
      <c r="D74" s="61">
        <f>IF(LEFT(F74,14)="Bonne pratique",D73+1,D73)</f>
      </c>
      <c r="E74" s="565">
        <f>C74&amp;D74&amp;RIGHT(F74,1)</f>
      </c>
      <c r="F74" s="61"/>
      <c r="G74" s="61"/>
      <c r="H74" s="61"/>
      <c r="I74" s="61"/>
      <c r="J74" s="528"/>
      <c r="K74" s="61"/>
      <c r="L74" s="61"/>
      <c r="M74" s="529"/>
      <c r="N74" s="529"/>
      <c r="O74" s="61"/>
      <c r="P74" s="507"/>
    </row>
    <row r="75" ht="15" customHeight="1">
      <c r="A75" s="504"/>
      <c r="B75" s="61"/>
      <c r="C75" t="s" s="513">
        <f>IF(LEFT(RIGHT($B$1,2),1)=" ",RIGHT($B$1,1),RIGHT($B$1,2))</f>
        <v>2002</v>
      </c>
      <c r="D75" s="61">
        <f>IF(LEFT(F75,14)="Bonne pratique",D74+1,D74)</f>
      </c>
      <c r="E75" s="565">
        <f>C75&amp;D75&amp;RIGHT(F75,1)</f>
      </c>
      <c r="F75" s="61"/>
      <c r="G75" s="529"/>
      <c r="H75" s="529"/>
      <c r="I75" s="529"/>
      <c r="J75" s="530"/>
      <c r="K75" s="529"/>
      <c r="L75" s="542"/>
      <c r="M75" t="s" s="562">
        <v>1763</v>
      </c>
      <c r="N75" s="563"/>
      <c r="O75" s="534"/>
      <c r="P75" s="507"/>
    </row>
    <row r="76" ht="33" customHeight="1">
      <c r="A76" s="504"/>
      <c r="B76" s="61"/>
      <c r="C76" t="s" s="513">
        <f>IF(LEFT(RIGHT($B$1,2),1)=" ",RIGHT($B$1,1),RIGHT($B$1,2))</f>
        <v>2002</v>
      </c>
      <c r="D76" s="61">
        <f>IF(LEFT(F76,14)="Bonne pratique",D75+1,D75)</f>
      </c>
      <c r="E76" s="565">
        <f>C76&amp;D76&amp;RIGHT(F76,1)</f>
      </c>
      <c r="F76" s="564"/>
      <c r="G76" t="s" s="536">
        <v>244</v>
      </c>
      <c r="H76" t="s" s="536">
        <v>1764</v>
      </c>
      <c r="I76" t="s" s="536">
        <v>1787</v>
      </c>
      <c r="J76" t="s" s="536">
        <v>1765</v>
      </c>
      <c r="K76" t="s" s="536">
        <v>1788</v>
      </c>
      <c r="L76" s="538"/>
      <c r="M76" t="s" s="539">
        <v>1766</v>
      </c>
      <c r="N76" t="s" s="540">
        <v>1767</v>
      </c>
      <c r="O76" s="534"/>
      <c r="P76" s="507"/>
    </row>
    <row r="77" ht="15" customHeight="1">
      <c r="A77" s="504"/>
      <c r="B77" s="61"/>
      <c r="C77" t="s" s="513">
        <f>IF(LEFT(RIGHT($B$1,2),1)=" ",RIGHT($B$1,1),RIGHT($B$1,2))</f>
        <v>2002</v>
      </c>
      <c r="D77" s="61">
        <f>IF(LEFT(F77,14)="Bonne pratique",D76+1,D76)</f>
      </c>
      <c r="E77" s="565">
        <f>C77&amp;D77&amp;RIGHT(F77,1)</f>
      </c>
      <c r="F77" s="529"/>
      <c r="G77" s="541"/>
      <c r="H77" s="541"/>
      <c r="I77" s="541"/>
      <c r="J77" s="541"/>
      <c r="K77" s="541"/>
      <c r="L77" s="61"/>
      <c r="M77" s="541"/>
      <c r="N77" s="541"/>
      <c r="O77" s="61"/>
      <c r="P77" s="507"/>
    </row>
    <row r="78" ht="130.05" customHeight="1">
      <c r="A78" s="504"/>
      <c r="B78" s="542"/>
      <c r="C78" t="s" s="543">
        <f>IF(LEFT(RIGHT($B$1,2),1)=" ",RIGHT($B$1,1),RIGHT($B$1,2))</f>
        <v>2002</v>
      </c>
      <c r="D78" s="550">
        <f>IF(LEFT(F78,14)="Bonne pratique",D77+1,D77)</f>
      </c>
      <c r="E78" s="566">
        <f>C78&amp;D78&amp;RIGHT(F78,1)</f>
      </c>
      <c r="F78" t="s" s="546">
        <v>1769</v>
      </c>
      <c r="G78" s="567">
        <f>_xlfn.IFERROR(IF(VLOOKUP($E78,'BDD'!$A$1:$S$567,MATCH(G$10,'BDD'!$A$1:$P$1,0),FALSE)=0,"",VLOOKUP($E78,'BDD'!$A$1:$S$567,MATCH(G$10,'BDD'!$A$1:$P$1,0),FALSE)),"")</f>
      </c>
      <c r="H78" s="568">
        <f>IF(VLOOKUP(E78,'BDD'!$A$1:$S$567,15,FALSE)=0,"Critère non évalué","")</f>
      </c>
      <c r="I78" s="569">
        <f>_xlfn.IFERROR(IF(VLOOKUP($E78,'BDD'!$A$1:$S$567,MATCH(I$10,'BDD'!$A$1:$P$1,0),FALSE)=0,"",VLOOKUP($E78,'BDD'!$A$1:$S$567,MATCH(I$10,'BDD'!$A$1:$P$1,0),FALSE)),"")</f>
      </c>
      <c r="J78" s="549"/>
      <c r="K78" s="567">
        <f>_xlfn.IFERROR(IF(VLOOKUP($E78,'BDD'!$A$1:$S$567,MATCH(K$10,'BDD'!$A$1:$P$1,0),FALSE)=0,"",VLOOKUP($E78,'BDD'!$A$1:$S$567,MATCH(K$10,'BDD'!$A$1:$P$1,0),FALSE)),"")</f>
      </c>
      <c r="L78" s="550"/>
      <c r="M78" s="551"/>
      <c r="N78" s="551"/>
      <c r="O78" s="534"/>
      <c r="P78" s="507"/>
    </row>
    <row r="79" ht="130.05" customHeight="1">
      <c r="A79" s="504"/>
      <c r="B79" s="542"/>
      <c r="C79" t="s" s="543">
        <f>IF(LEFT(RIGHT($B$1,2),1)=" ",RIGHT($B$1,1),RIGHT($B$1,2))</f>
        <v>2002</v>
      </c>
      <c r="D79" s="550">
        <f>IF(LEFT(F79,14)="Bonne pratique",D78+1,D78)</f>
      </c>
      <c r="E79" s="566">
        <f>C79&amp;D79&amp;RIGHT(F79,1)</f>
      </c>
      <c r="F79" t="s" s="552">
        <v>1772</v>
      </c>
      <c r="G79" s="557">
        <f>_xlfn.IFERROR(IF(VLOOKUP($E79,'BDD'!$A$1:$S$567,MATCH(G$10,'BDD'!$A$1:$P$1,0),FALSE)=0,"",VLOOKUP($E79,'BDD'!$A$1:$S$567,MATCH(G$10,'BDD'!$A$1:$P$1,0),FALSE)),"")</f>
      </c>
      <c r="H79" s="570">
        <f>IF(VLOOKUP(E79,'BDD'!$A$1:$S$567,15,FALSE)=0,"Critère non évalué","")</f>
      </c>
      <c r="I79" s="571">
        <f>_xlfn.IFERROR(IF(VLOOKUP($E79,'BDD'!$A$1:$S$567,MATCH(I$10,'BDD'!$A$1:$P$1,0),FALSE)=0,"",VLOOKUP($E79,'BDD'!$A$1:$S$567,MATCH(I$10,'BDD'!$A$1:$P$1,0),FALSE)),"")</f>
      </c>
      <c r="J79" s="554"/>
      <c r="K79" s="557">
        <f>_xlfn.IFERROR(IF(VLOOKUP($E79,'BDD'!$A$1:$S$567,MATCH(K$10,'BDD'!$A$1:$P$1,0),FALSE)=0,"",VLOOKUP($E79,'BDD'!$A$1:$S$567,MATCH(K$10,'BDD'!$A$1:$P$1,0),FALSE)),"")</f>
      </c>
      <c r="L79" s="550"/>
      <c r="M79" s="555"/>
      <c r="N79" s="555"/>
      <c r="O79" s="534"/>
      <c r="P79" s="507"/>
    </row>
    <row r="80" ht="130.05" customHeight="1">
      <c r="A80" s="504"/>
      <c r="B80" s="542"/>
      <c r="C80" t="s" s="543">
        <f>IF(LEFT(RIGHT($B$1,2),1)=" ",RIGHT($B$1,1),RIGHT($B$1,2))</f>
        <v>2002</v>
      </c>
      <c r="D80" s="550">
        <f>IF(LEFT(F80,14)="Bonne pratique",D79+1,D79)</f>
      </c>
      <c r="E80" s="566">
        <f>C80&amp;D80&amp;RIGHT(F80,1)</f>
      </c>
      <c r="F80" t="s" s="546">
        <v>1774</v>
      </c>
      <c r="G80" s="567">
        <f>_xlfn.IFERROR(IF(VLOOKUP($E80,'BDD'!$A$1:$S$567,MATCH(G$10,'BDD'!$A$1:$P$1,0),FALSE)=0,"",VLOOKUP($E80,'BDD'!$A$1:$S$567,MATCH(G$10,'BDD'!$A$1:$P$1,0),FALSE)),"")</f>
      </c>
      <c r="H80" s="568">
        <f>IF(VLOOKUP(E80,'BDD'!$A$1:$S$567,15,FALSE)=0,"Critère non évalué","")</f>
      </c>
      <c r="I80" s="569">
        <f>_xlfn.IFERROR(IF(VLOOKUP($E80,'BDD'!$A$1:$S$567,MATCH(I$10,'BDD'!$A$1:$P$1,0),FALSE)=0,"",VLOOKUP($E80,'BDD'!$A$1:$S$567,MATCH(I$10,'BDD'!$A$1:$P$1,0),FALSE)),"")</f>
      </c>
      <c r="J80" s="549"/>
      <c r="K80" s="567">
        <f>_xlfn.IFERROR(IF(VLOOKUP($E80,'BDD'!$A$1:$S$567,MATCH(K$10,'BDD'!$A$1:$P$1,0),FALSE)=0,"",VLOOKUP($E80,'BDD'!$A$1:$S$567,MATCH(K$10,'BDD'!$A$1:$P$1,0),FALSE)),"")</f>
      </c>
      <c r="L80" s="550"/>
      <c r="M80" s="551"/>
      <c r="N80" s="551"/>
      <c r="O80" s="534"/>
      <c r="P80" s="507"/>
    </row>
    <row r="81" ht="130.05" customHeight="1" hidden="1">
      <c r="A81" s="504"/>
      <c r="B81" s="542"/>
      <c r="C81" t="s" s="543">
        <f>IF(LEFT(RIGHT($B$1,2),1)=" ",RIGHT($B$1,1),RIGHT($B$1,2))</f>
        <v>2002</v>
      </c>
      <c r="D81" s="550">
        <f>IF(LEFT(F81,14)="Bonne pratique",D80+1,D80)</f>
      </c>
      <c r="E81" s="566">
        <f>C81&amp;D81&amp;RIGHT(F81,1)</f>
      </c>
      <c r="F81" t="s" s="552">
        <v>1776</v>
      </c>
      <c r="G81" s="557">
        <f>_xlfn.IFERROR(IF(VLOOKUP($E81,'BDD'!$A$1:$S$567,MATCH(G$10,'BDD'!$A$1:$P$1,0),FALSE)=0,"",VLOOKUP($E81,'BDD'!$A$1:$S$567,MATCH(G$10,'BDD'!$A$1:$P$1,0),FALSE)),"")</f>
      </c>
      <c r="H81" s="570">
        <f>IF(VLOOKUP(E81,'BDD'!$A$1:$S$567,15,FALSE)=0,"Critère non évalué","")</f>
      </c>
      <c r="I81" s="571">
        <f>_xlfn.IFERROR(IF(VLOOKUP($E81,'BDD'!$A$1:$S$567,MATCH(I$10,'BDD'!$A$1:$P$1,0),FALSE)=0,"",VLOOKUP($E81,'BDD'!$A$1:$S$567,MATCH(I$10,'BDD'!$A$1:$P$1,0),FALSE)),"")</f>
      </c>
      <c r="J81" s="556"/>
      <c r="K81" s="557">
        <f>_xlfn.IFERROR(IF(VLOOKUP($E81,'BDD'!$A$1:$S$567,MATCH(K$10,'BDD'!$A$1:$P$1,0),FALSE)=0,"",VLOOKUP($E81,'BDD'!$A$1:$S$567,MATCH(K$10,'BDD'!$A$1:$P$1,0),FALSE)),"")</f>
      </c>
      <c r="L81" s="550"/>
      <c r="M81" s="555"/>
      <c r="N81" s="555"/>
      <c r="O81" s="534"/>
      <c r="P81" s="507"/>
    </row>
    <row r="82" ht="130.05" customHeight="1" hidden="1">
      <c r="A82" s="504"/>
      <c r="B82" s="542"/>
      <c r="C82" t="s" s="543">
        <f>IF(LEFT(RIGHT($B$1,2),1)=" ",RIGHT($B$1,1),RIGHT($B$1,2))</f>
        <v>2002</v>
      </c>
      <c r="D82" s="550">
        <f>IF(LEFT(F82,14)="Bonne pratique",D81+1,D81)</f>
      </c>
      <c r="E82" s="566">
        <f>C82&amp;D82&amp;RIGHT(F82,1)</f>
      </c>
      <c r="F82" t="s" s="546">
        <v>1778</v>
      </c>
      <c r="G82" s="567">
        <f>_xlfn.IFERROR(IF(VLOOKUP($E82,'BDD'!$A$1:$S$567,MATCH(G$10,'BDD'!$A$1:$P$1,0),FALSE)=0,"",VLOOKUP($E82,'BDD'!$A$1:$S$567,MATCH(G$10,'BDD'!$A$1:$P$1,0),FALSE)),"")</f>
      </c>
      <c r="H82" s="568">
        <f>IF(VLOOKUP(E82,'BDD'!$A$1:$S$567,15,FALSE)=0,"Critère non évalué","")</f>
      </c>
      <c r="I82" s="569">
        <f>_xlfn.IFERROR(IF(VLOOKUP($E82,'BDD'!$A$1:$S$567,MATCH(I$10,'BDD'!$A$1:$P$1,0),FALSE)=0,"",VLOOKUP($E82,'BDD'!$A$1:$S$567,MATCH(I$10,'BDD'!$A$1:$P$1,0),FALSE)),"")</f>
      </c>
      <c r="J82" s="549"/>
      <c r="K82" s="567">
        <f>_xlfn.IFERROR(IF(VLOOKUP($E82,'BDD'!$A$1:$S$567,MATCH(K$10,'BDD'!$A$1:$P$1,0),FALSE)=0,"",VLOOKUP($E82,'BDD'!$A$1:$S$567,MATCH(K$10,'BDD'!$A$1:$P$1,0),FALSE)),"")</f>
      </c>
      <c r="L82" s="550"/>
      <c r="M82" s="557"/>
      <c r="N82" s="557"/>
      <c r="O82" s="534"/>
      <c r="P82" s="507"/>
    </row>
    <row r="83" ht="130.05" customHeight="1" hidden="1">
      <c r="A83" s="504"/>
      <c r="B83" s="542"/>
      <c r="C83" t="s" s="543">
        <f>IF(LEFT(RIGHT($B$1,2),1)=" ",RIGHT($B$1,1),RIGHT($B$1,2))</f>
        <v>2002</v>
      </c>
      <c r="D83" s="550">
        <f>IF(LEFT(F83,14)="Bonne pratique",D82+1,D82)</f>
      </c>
      <c r="E83" s="566">
        <f>C83&amp;D83&amp;RIGHT(F83,1)</f>
      </c>
      <c r="F83" t="s" s="552">
        <v>1780</v>
      </c>
      <c r="G83" s="557">
        <f>_xlfn.IFERROR(IF(VLOOKUP($E83,'BDD'!$A$1:$S$567,MATCH(G$10,'BDD'!$A$1:$P$1,0),FALSE)=0,"",VLOOKUP($E83,'BDD'!$A$1:$S$567,MATCH(G$10,'BDD'!$A$1:$P$1,0),FALSE)),"")</f>
      </c>
      <c r="H83" s="570">
        <f>IF(VLOOKUP(E83,'BDD'!$A$1:$S$567,15,FALSE)=0,"Critère non évalué","")</f>
      </c>
      <c r="I83" s="571">
        <f>_xlfn.IFERROR(IF(VLOOKUP($E83,'BDD'!$A$1:$S$567,MATCH(I$10,'BDD'!$A$1:$P$1,0),FALSE)=0,"",VLOOKUP($E83,'BDD'!$A$1:$S$567,MATCH(I$10,'BDD'!$A$1:$P$1,0),FALSE)),"")</f>
      </c>
      <c r="J83" s="556"/>
      <c r="K83" s="557">
        <f>_xlfn.IFERROR(IF(VLOOKUP($E83,'BDD'!$A$1:$S$567,MATCH(K$10,'BDD'!$A$1:$P$1,0),FALSE)=0,"",VLOOKUP($E83,'BDD'!$A$1:$S$567,MATCH(K$10,'BDD'!$A$1:$P$1,0),FALSE)),"")</f>
      </c>
      <c r="L83" s="550"/>
      <c r="M83" s="555"/>
      <c r="N83" s="555"/>
      <c r="O83" s="534"/>
      <c r="P83" s="507"/>
    </row>
    <row r="84" ht="130.05" customHeight="1" hidden="1">
      <c r="A84" s="504"/>
      <c r="B84" s="542"/>
      <c r="C84" t="s" s="543">
        <f>IF(LEFT(RIGHT($B$1,2),1)=" ",RIGHT($B$1,1),RIGHT($B$1,2))</f>
        <v>2002</v>
      </c>
      <c r="D84" s="550">
        <f>IF(LEFT(F84,14)="Bonne pratique",D83+1,D83)</f>
      </c>
      <c r="E84" s="566">
        <f>C84&amp;D84&amp;RIGHT(F84,1)</f>
      </c>
      <c r="F84" t="s" s="546">
        <v>1782</v>
      </c>
      <c r="G84" s="567">
        <f>_xlfn.IFERROR(IF(VLOOKUP($E84,'BDD'!$A$1:$S$567,MATCH(G$10,'BDD'!$A$1:$P$1,0),FALSE)=0,"",VLOOKUP($E84,'BDD'!$A$1:$S$567,MATCH(G$10,'BDD'!$A$1:$P$1,0),FALSE)),"")</f>
      </c>
      <c r="H84" s="568">
        <f>IF(VLOOKUP(E84,'BDD'!$A$1:$S$567,15,FALSE)=0,"Critère non évalué","")</f>
      </c>
      <c r="I84" s="569">
        <f>_xlfn.IFERROR(IF(VLOOKUP($E84,'BDD'!$A$1:$S$567,MATCH(I$10,'BDD'!$A$1:$P$1,0),FALSE)=0,"",VLOOKUP($E84,'BDD'!$A$1:$S$567,MATCH(I$10,'BDD'!$A$1:$P$1,0),FALSE)),"")</f>
      </c>
      <c r="J84" s="549"/>
      <c r="K84" s="567">
        <f>_xlfn.IFERROR(IF(VLOOKUP($E84,'BDD'!$A$1:$S$567,MATCH(K$10,'BDD'!$A$1:$P$1,0),FALSE)=0,"",VLOOKUP($E84,'BDD'!$A$1:$S$567,MATCH(K$10,'BDD'!$A$1:$P$1,0),FALSE)),"")</f>
      </c>
      <c r="L84" s="550"/>
      <c r="M84" s="557"/>
      <c r="N84" s="557"/>
      <c r="O84" s="534"/>
      <c r="P84" s="507"/>
    </row>
    <row r="85" ht="14.4" customHeight="1" hidden="1">
      <c r="A85" s="504"/>
      <c r="B85" s="61"/>
      <c r="C85" t="s" s="513">
        <f>IF(LEFT(RIGHT($B$1,2),1)=" ",RIGHT($B$1,1),RIGHT($B$1,2))</f>
        <v>2002</v>
      </c>
      <c r="D85" s="61"/>
      <c r="E85" s="61"/>
      <c r="F85" s="541"/>
      <c r="G85" s="541"/>
      <c r="H85" s="541"/>
      <c r="I85" s="541"/>
      <c r="J85" s="541"/>
      <c r="K85" s="541"/>
      <c r="L85" s="61"/>
      <c r="M85" s="541"/>
      <c r="N85" s="541"/>
      <c r="O85" s="61"/>
      <c r="P85" s="507"/>
    </row>
    <row r="86" ht="14.4" customHeight="1" hidden="1">
      <c r="A86" s="504"/>
      <c r="B86" s="61"/>
      <c r="C86" t="s" s="513">
        <f>IF(LEFT(RIGHT($B$1,2),1)=" ",RIGHT($B$1,1),RIGHT($B$1,2))</f>
        <v>2002</v>
      </c>
      <c r="D86" s="61"/>
      <c r="E86" s="61"/>
      <c r="F86" s="541"/>
      <c r="G86" s="541"/>
      <c r="H86" s="541"/>
      <c r="I86" s="541"/>
      <c r="J86" s="541"/>
      <c r="K86" s="541"/>
      <c r="L86" s="61"/>
      <c r="M86" s="541"/>
      <c r="N86" s="541"/>
      <c r="O86" s="61"/>
      <c r="P86" s="507"/>
    </row>
    <row r="87" ht="30" customHeight="1" hidden="1">
      <c r="A87" s="511"/>
      <c r="B87" s="512"/>
      <c r="C87" t="s" s="513">
        <f>IF(LEFT(RIGHT($B$1,2),1)=" ",RIGHT($B$1,1),RIGHT($B$1,2))</f>
        <v>2002</v>
      </c>
      <c r="D87" s="61">
        <f>IF(LEFT(F87,14)="Bonne pratique",D83+1,D83)</f>
      </c>
      <c r="E87" s="565">
        <f>C87&amp;D87&amp;RIGHT(F87,1)</f>
      </c>
      <c r="F87" t="s" s="828">
        <v>1887</v>
      </c>
      <c r="G87" s="829"/>
      <c r="H87" s="830"/>
      <c r="I87" s="831"/>
      <c r="J87" s="831">
        <f>VLOOKUP(E94,'BDD'!$A$2:$N$567,6,FALSE)</f>
      </c>
      <c r="K87" s="832"/>
      <c r="L87" s="517"/>
      <c r="M87" s="829"/>
      <c r="N87" s="829"/>
      <c r="O87" s="512"/>
      <c r="P87" s="522"/>
    </row>
    <row r="88" ht="9" customHeight="1" hidden="1">
      <c r="A88" s="504"/>
      <c r="B88" s="61"/>
      <c r="C88" t="s" s="513">
        <f>IF(LEFT(RIGHT($B$1,2),1)=" ",RIGHT($B$1,1),RIGHT($B$1,2))</f>
        <v>2002</v>
      </c>
      <c r="D88" s="61">
        <f>IF(LEFT(F88,14)="Bonne pratique",D87+1,D87)</f>
      </c>
      <c r="E88" s="565">
        <f>C88&amp;D88&amp;RIGHT(F88,1)</f>
      </c>
      <c r="F88" s="541"/>
      <c r="G88" s="541"/>
      <c r="H88" s="541"/>
      <c r="I88" s="541"/>
      <c r="J88" s="541"/>
      <c r="K88" s="541"/>
      <c r="L88" s="61"/>
      <c r="M88" s="541"/>
      <c r="N88" s="541"/>
      <c r="O88" s="61"/>
      <c r="P88" s="507"/>
    </row>
    <row r="89" ht="18" customHeight="1" hidden="1">
      <c r="A89" s="523"/>
      <c r="B89" s="524"/>
      <c r="C89" t="s" s="513">
        <f>IF(LEFT(RIGHT($B$1,2),1)=" ",RIGHT($B$1,1),RIGHT($B$1,2))</f>
        <v>2002</v>
      </c>
      <c r="D89" s="61">
        <f>IF(LEFT(F89,14)="Bonne pratique",D88+1,D88)</f>
      </c>
      <c r="E89" s="565">
        <f>C89&amp;D89&amp;RIGHT(F89,1)</f>
      </c>
      <c r="F89" s="833"/>
      <c r="G89" s="833"/>
      <c r="H89" s="833"/>
      <c r="I89" s="834"/>
      <c r="J89" s="835"/>
      <c r="K89" s="834"/>
      <c r="L89" s="524"/>
      <c r="M89" s="833"/>
      <c r="N89" s="833"/>
      <c r="O89" s="524"/>
      <c r="P89" s="527"/>
    </row>
    <row r="90" ht="18" customHeight="1" hidden="1">
      <c r="A90" s="504"/>
      <c r="B90" s="61"/>
      <c r="C90" t="s" s="513">
        <f>IF(LEFT(RIGHT($B$1,2),1)=" ",RIGHT($B$1,1),RIGHT($B$1,2))</f>
        <v>2002</v>
      </c>
      <c r="D90" s="61">
        <f>IF(LEFT(F90,14)="Bonne pratique",D89+1,D89)</f>
      </c>
      <c r="E90" s="565">
        <f>C90&amp;D90&amp;RIGHT(F90,1)</f>
      </c>
      <c r="F90" s="541"/>
      <c r="G90" s="541"/>
      <c r="H90" s="541"/>
      <c r="I90" s="541"/>
      <c r="J90" s="836"/>
      <c r="K90" s="541"/>
      <c r="L90" s="61"/>
      <c r="M90" s="541"/>
      <c r="N90" s="541"/>
      <c r="O90" s="61"/>
      <c r="P90" s="507"/>
    </row>
    <row r="91" ht="9" customHeight="1" hidden="1">
      <c r="A91" s="504"/>
      <c r="B91" s="61"/>
      <c r="C91" t="s" s="513">
        <f>IF(LEFT(RIGHT($B$1,2),1)=" ",RIGHT($B$1,1),RIGHT($B$1,2))</f>
        <v>2002</v>
      </c>
      <c r="D91" s="61">
        <f>IF(LEFT(F91,14)="Bonne pratique",D90+1,D90)</f>
      </c>
      <c r="E91" s="565">
        <f>C91&amp;D91&amp;RIGHT(F91,1)</f>
      </c>
      <c r="F91" s="541"/>
      <c r="G91" s="541"/>
      <c r="H91" s="541"/>
      <c r="I91" s="541"/>
      <c r="J91" s="837"/>
      <c r="K91" s="541"/>
      <c r="L91" s="542"/>
      <c r="M91" t="s" s="562">
        <v>1763</v>
      </c>
      <c r="N91" s="563"/>
      <c r="O91" s="534"/>
      <c r="P91" s="507"/>
    </row>
    <row r="92" ht="33" customHeight="1" hidden="1">
      <c r="A92" s="504"/>
      <c r="B92" s="61"/>
      <c r="C92" t="s" s="513">
        <f>IF(LEFT(RIGHT($B$1,2),1)=" ",RIGHT($B$1,1),RIGHT($B$1,2))</f>
        <v>2002</v>
      </c>
      <c r="D92" s="61">
        <f>IF(LEFT(F92,14)="Bonne pratique",D91+1,D91)</f>
      </c>
      <c r="E92" s="565">
        <f>C92&amp;D92&amp;RIGHT(F92,1)</f>
      </c>
      <c r="F92" s="838"/>
      <c r="G92" t="s" s="536">
        <v>244</v>
      </c>
      <c r="H92" t="s" s="536">
        <v>1764</v>
      </c>
      <c r="I92" t="s" s="536">
        <v>1787</v>
      </c>
      <c r="J92" t="s" s="536">
        <v>1765</v>
      </c>
      <c r="K92" t="s" s="536">
        <v>1788</v>
      </c>
      <c r="L92" s="538"/>
      <c r="M92" t="s" s="539">
        <v>1766</v>
      </c>
      <c r="N92" t="s" s="540">
        <v>1767</v>
      </c>
      <c r="O92" s="534"/>
      <c r="P92" s="507"/>
    </row>
    <row r="93" ht="9" customHeight="1" hidden="1">
      <c r="A93" s="504"/>
      <c r="B93" s="61"/>
      <c r="C93" t="s" s="513">
        <f>IF(LEFT(RIGHT($B$1,2),1)=" ",RIGHT($B$1,1),RIGHT($B$1,2))</f>
        <v>2002</v>
      </c>
      <c r="D93" s="61">
        <f>IF(LEFT(F93,14)="Bonne pratique",D92+1,D92)</f>
      </c>
      <c r="E93" s="565">
        <f>C93&amp;D93&amp;RIGHT(F93,1)</f>
      </c>
      <c r="F93" s="541"/>
      <c r="G93" s="541"/>
      <c r="H93" s="541"/>
      <c r="I93" s="541"/>
      <c r="J93" s="541"/>
      <c r="K93" s="541"/>
      <c r="L93" s="61"/>
      <c r="M93" s="541"/>
      <c r="N93" s="541"/>
      <c r="O93" s="61"/>
      <c r="P93" s="507"/>
    </row>
    <row r="94" ht="130.05" customHeight="1" hidden="1">
      <c r="A94" s="504"/>
      <c r="B94" s="542"/>
      <c r="C94" t="s" s="543">
        <f>IF(LEFT(RIGHT($B$1,2),1)=" ",RIGHT($B$1,1),RIGHT($B$1,2))</f>
        <v>2002</v>
      </c>
      <c r="D94" s="550">
        <f>IF(LEFT(F94,14)="Bonne pratique",D93+1,D93)</f>
      </c>
      <c r="E94" s="566">
        <f>C94&amp;D94&amp;RIGHT(F94,1)</f>
      </c>
      <c r="F94" t="s" s="546">
        <v>1769</v>
      </c>
      <c r="G94" s="567">
        <f>_xlfn.IFERROR(IF(VLOOKUP($E94,'BDD'!$A$1:$S$567,MATCH(G$10,'BDD'!$A$1:$P$1,0),FALSE)=0,"",VLOOKUP($E94,'BDD'!$A$1:$S$567,MATCH(G$10,'BDD'!$A$1:$P$1,0),FALSE)),"")</f>
      </c>
      <c r="H94" s="568">
        <f>IF(VLOOKUP(E94,'BDD'!$A$1:$S$567,15,FALSE)=0,"Critère non évalué","")</f>
      </c>
      <c r="I94" s="569">
        <f>_xlfn.IFERROR(IF(VLOOKUP($E94,'BDD'!$A$1:$S$567,MATCH(I$10,'BDD'!$A$1:$P$1,0),FALSE)=0,"",VLOOKUP($E94,'BDD'!$A$1:$S$567,MATCH(I$10,'BDD'!$A$1:$P$1,0),FALSE)),"")</f>
      </c>
      <c r="J94" s="549"/>
      <c r="K94" s="567">
        <f>_xlfn.IFERROR(IF(VLOOKUP($E94,'BDD'!$A$1:$S$567,MATCH(K$10,'BDD'!$A$1:$P$1,0),FALSE)=0,"",VLOOKUP($E94,'BDD'!$A$1:$S$567,MATCH(K$10,'BDD'!$A$1:$P$1,0),FALSE)),"")</f>
      </c>
      <c r="L94" s="550"/>
      <c r="M94" s="551"/>
      <c r="N94" s="551"/>
      <c r="O94" s="534"/>
      <c r="P94" s="507"/>
    </row>
    <row r="95" ht="130.05" customHeight="1" hidden="1">
      <c r="A95" s="504"/>
      <c r="B95" s="542"/>
      <c r="C95" t="s" s="543">
        <f>IF(LEFT(RIGHT($B$1,2),1)=" ",RIGHT($B$1,1),RIGHT($B$1,2))</f>
        <v>2002</v>
      </c>
      <c r="D95" s="550">
        <f>IF(LEFT(F95,14)="Bonne pratique",D94+1,D94)</f>
      </c>
      <c r="E95" s="566">
        <f>C95&amp;D95&amp;RIGHT(F95,1)</f>
      </c>
      <c r="F95" t="s" s="552">
        <v>1772</v>
      </c>
      <c r="G95" s="557">
        <f>_xlfn.IFERROR(IF(VLOOKUP($E95,'BDD'!$A$1:$S$567,MATCH(G$10,'BDD'!$A$1:$P$1,0),FALSE)=0,"",VLOOKUP($E95,'BDD'!$A$1:$S$567,MATCH(G$10,'BDD'!$A$1:$P$1,0),FALSE)),"")</f>
      </c>
      <c r="H95" s="570">
        <f>IF(VLOOKUP(E95,'BDD'!$A$1:$S$567,15,FALSE)=0,"Critère non évalué","")</f>
      </c>
      <c r="I95" s="571">
        <f>_xlfn.IFERROR(IF(VLOOKUP($E95,'BDD'!$A$1:$S$567,MATCH(I$10,'BDD'!$A$1:$P$1,0),FALSE)=0,"",VLOOKUP($E95,'BDD'!$A$1:$S$567,MATCH(I$10,'BDD'!$A$1:$P$1,0),FALSE)),"")</f>
      </c>
      <c r="J95" s="554"/>
      <c r="K95" s="557">
        <f>_xlfn.IFERROR(IF(VLOOKUP($E95,'BDD'!$A$1:$S$567,MATCH(K$10,'BDD'!$A$1:$P$1,0),FALSE)=0,"",VLOOKUP($E95,'BDD'!$A$1:$S$567,MATCH(K$10,'BDD'!$A$1:$P$1,0),FALSE)),"")</f>
      </c>
      <c r="L95" s="550"/>
      <c r="M95" s="555"/>
      <c r="N95" s="555"/>
      <c r="O95" s="534"/>
      <c r="P95" s="507"/>
    </row>
    <row r="96" ht="130.05" customHeight="1" hidden="1">
      <c r="A96" s="504"/>
      <c r="B96" s="542"/>
      <c r="C96" t="s" s="543">
        <f>IF(LEFT(RIGHT($B$1,2),1)=" ",RIGHT($B$1,1),RIGHT($B$1,2))</f>
        <v>2002</v>
      </c>
      <c r="D96" s="550">
        <f>IF(LEFT(F96,14)="Bonne pratique",D95+1,D95)</f>
      </c>
      <c r="E96" s="566">
        <f>C96&amp;D96&amp;RIGHT(F96,1)</f>
      </c>
      <c r="F96" t="s" s="546">
        <v>1774</v>
      </c>
      <c r="G96" s="567">
        <f>_xlfn.IFERROR(IF(VLOOKUP($E96,'BDD'!$A$1:$S$567,MATCH(G$10,'BDD'!$A$1:$P$1,0),FALSE)=0,"",VLOOKUP($E96,'BDD'!$A$1:$S$567,MATCH(G$10,'BDD'!$A$1:$P$1,0),FALSE)),"")</f>
      </c>
      <c r="H96" s="568">
        <f>IF(VLOOKUP(E96,'BDD'!$A$1:$S$567,15,FALSE)=0,"Critère non évalué","")</f>
      </c>
      <c r="I96" s="569">
        <f>_xlfn.IFERROR(IF(VLOOKUP($E96,'BDD'!$A$1:$S$567,MATCH(I$10,'BDD'!$A$1:$P$1,0),FALSE)=0,"",VLOOKUP($E96,'BDD'!$A$1:$S$567,MATCH(I$10,'BDD'!$A$1:$P$1,0),FALSE)),"")</f>
      </c>
      <c r="J96" s="549"/>
      <c r="K96" s="567">
        <f>_xlfn.IFERROR(IF(VLOOKUP($E96,'BDD'!$A$1:$S$567,MATCH(K$10,'BDD'!$A$1:$P$1,0),FALSE)=0,"",VLOOKUP($E96,'BDD'!$A$1:$S$567,MATCH(K$10,'BDD'!$A$1:$P$1,0),FALSE)),"")</f>
      </c>
      <c r="L96" s="550"/>
      <c r="M96" s="551"/>
      <c r="N96" s="551"/>
      <c r="O96" s="534"/>
      <c r="P96" s="507"/>
    </row>
    <row r="97" ht="130.05" customHeight="1" hidden="1">
      <c r="A97" s="504"/>
      <c r="B97" s="542"/>
      <c r="C97" t="s" s="543">
        <f>IF(LEFT(RIGHT($B$1,2),1)=" ",RIGHT($B$1,1),RIGHT($B$1,2))</f>
        <v>2002</v>
      </c>
      <c r="D97" s="550">
        <f>IF(LEFT(F97,14)="Bonne pratique",D96+1,D96)</f>
      </c>
      <c r="E97" s="566">
        <f>C97&amp;D97&amp;RIGHT(F97,1)</f>
      </c>
      <c r="F97" t="s" s="552">
        <v>1776</v>
      </c>
      <c r="G97" s="557">
        <f>_xlfn.IFERROR(IF(VLOOKUP($E97,'BDD'!$A$1:$S$567,MATCH(G$10,'BDD'!$A$1:$P$1,0),FALSE)=0,"",VLOOKUP($E97,'BDD'!$A$1:$S$567,MATCH(G$10,'BDD'!$A$1:$P$1,0),FALSE)),"")</f>
      </c>
      <c r="H97" s="570">
        <f>IF(VLOOKUP(E97,'BDD'!$A$1:$S$567,15,FALSE)=0,"Critère non évalué","")</f>
      </c>
      <c r="I97" s="571">
        <f>_xlfn.IFERROR(IF(VLOOKUP($E97,'BDD'!$A$1:$S$567,MATCH(I$10,'BDD'!$A$1:$P$1,0),FALSE)=0,"",VLOOKUP($E97,'BDD'!$A$1:$S$567,MATCH(I$10,'BDD'!$A$1:$P$1,0),FALSE)),"")</f>
      </c>
      <c r="J97" s="556"/>
      <c r="K97" s="557">
        <f>_xlfn.IFERROR(IF(VLOOKUP($E97,'BDD'!$A$1:$S$567,MATCH(K$10,'BDD'!$A$1:$P$1,0),FALSE)=0,"",VLOOKUP($E97,'BDD'!$A$1:$S$567,MATCH(K$10,'BDD'!$A$1:$P$1,0),FALSE)),"")</f>
      </c>
      <c r="L97" s="550"/>
      <c r="M97" s="555"/>
      <c r="N97" s="555"/>
      <c r="O97" s="534"/>
      <c r="P97" s="507"/>
    </row>
    <row r="98" ht="130.05" customHeight="1" hidden="1">
      <c r="A98" s="504"/>
      <c r="B98" s="542"/>
      <c r="C98" t="s" s="543">
        <f>IF(LEFT(RIGHT($B$1,2),1)=" ",RIGHT($B$1,1),RIGHT($B$1,2))</f>
        <v>2002</v>
      </c>
      <c r="D98" s="550">
        <f>IF(LEFT(F98,14)="Bonne pratique",D97+1,D97)</f>
      </c>
      <c r="E98" s="566">
        <f>C98&amp;D98&amp;RIGHT(F98,1)</f>
      </c>
      <c r="F98" t="s" s="546">
        <v>1778</v>
      </c>
      <c r="G98" s="567">
        <f>_xlfn.IFERROR(IF(VLOOKUP($E98,'BDD'!$A$1:$S$567,MATCH(G$10,'BDD'!$A$1:$P$1,0),FALSE)=0,"",VLOOKUP($E98,'BDD'!$A$1:$S$567,MATCH(G$10,'BDD'!$A$1:$P$1,0),FALSE)),"")</f>
      </c>
      <c r="H98" s="568">
        <f>IF(VLOOKUP(E98,'BDD'!$A$1:$S$567,15,FALSE)=0,"Critère non évalué","")</f>
      </c>
      <c r="I98" s="569">
        <f>_xlfn.IFERROR(IF(VLOOKUP($E98,'BDD'!$A$1:$S$567,MATCH(I$10,'BDD'!$A$1:$P$1,0),FALSE)=0,"",VLOOKUP($E98,'BDD'!$A$1:$S$567,MATCH(I$10,'BDD'!$A$1:$P$1,0),FALSE)),"")</f>
      </c>
      <c r="J98" s="549"/>
      <c r="K98" s="567">
        <f>_xlfn.IFERROR(IF(VLOOKUP($E98,'BDD'!$A$1:$S$567,MATCH(K$10,'BDD'!$A$1:$P$1,0),FALSE)=0,"",VLOOKUP($E98,'BDD'!$A$1:$S$567,MATCH(K$10,'BDD'!$A$1:$P$1,0),FALSE)),"")</f>
      </c>
      <c r="L98" s="550"/>
      <c r="M98" s="557"/>
      <c r="N98" s="557"/>
      <c r="O98" s="534"/>
      <c r="P98" s="507"/>
    </row>
    <row r="99" ht="130.05" customHeight="1" hidden="1">
      <c r="A99" s="504"/>
      <c r="B99" s="542"/>
      <c r="C99" t="s" s="543">
        <f>IF(LEFT(RIGHT($B$1,2),1)=" ",RIGHT($B$1,1),RIGHT($B$1,2))</f>
        <v>2002</v>
      </c>
      <c r="D99" s="550">
        <f>IF(LEFT(F99,14)="Bonne pratique",D98+1,D98)</f>
      </c>
      <c r="E99" s="566">
        <f>C99&amp;D99&amp;RIGHT(F99,1)</f>
      </c>
      <c r="F99" t="s" s="552">
        <v>1780</v>
      </c>
      <c r="G99" s="557">
        <f>_xlfn.IFERROR(IF(VLOOKUP($E99,'BDD'!$A$1:$S$567,MATCH(G$10,'BDD'!$A$1:$P$1,0),FALSE)=0,"",VLOOKUP($E99,'BDD'!$A$1:$S$567,MATCH(G$10,'BDD'!$A$1:$P$1,0),FALSE)),"")</f>
      </c>
      <c r="H99" s="570">
        <f>IF(VLOOKUP(E99,'BDD'!$A$1:$S$567,15,FALSE)=0,"Critère non évalué","")</f>
      </c>
      <c r="I99" s="571">
        <f>_xlfn.IFERROR(IF(VLOOKUP($E99,'BDD'!$A$1:$S$567,MATCH(I$10,'BDD'!$A$1:$P$1,0),FALSE)=0,"",VLOOKUP($E99,'BDD'!$A$1:$S$567,MATCH(I$10,'BDD'!$A$1:$P$1,0),FALSE)),"")</f>
      </c>
      <c r="J99" s="556"/>
      <c r="K99" s="557">
        <f>_xlfn.IFERROR(IF(VLOOKUP($E99,'BDD'!$A$1:$S$567,MATCH(K$10,'BDD'!$A$1:$P$1,0),FALSE)=0,"",VLOOKUP($E99,'BDD'!$A$1:$S$567,MATCH(K$10,'BDD'!$A$1:$P$1,0),FALSE)),"")</f>
      </c>
      <c r="L99" s="550"/>
      <c r="M99" s="555"/>
      <c r="N99" s="555"/>
      <c r="O99" s="534"/>
      <c r="P99" s="507"/>
    </row>
    <row r="100" ht="130.05" customHeight="1" hidden="1">
      <c r="A100" s="504"/>
      <c r="B100" s="542"/>
      <c r="C100" t="s" s="543">
        <f>IF(LEFT(RIGHT($B$1,2),1)=" ",RIGHT($B$1,1),RIGHT($B$1,2))</f>
        <v>2002</v>
      </c>
      <c r="D100" s="550">
        <f>IF(LEFT(F100,14)="Bonne pratique",D99+1,D99)</f>
      </c>
      <c r="E100" s="566">
        <f>C100&amp;D100&amp;RIGHT(F100,1)</f>
      </c>
      <c r="F100" t="s" s="546">
        <v>1782</v>
      </c>
      <c r="G100" s="567">
        <f>_xlfn.IFERROR(IF(VLOOKUP($E100,'BDD'!$A$1:$S$567,MATCH(G$10,'BDD'!$A$1:$P$1,0),FALSE)=0,"",VLOOKUP($E100,'BDD'!$A$1:$S$567,MATCH(G$10,'BDD'!$A$1:$P$1,0),FALSE)),"")</f>
      </c>
      <c r="H100" s="568">
        <f>IF(VLOOKUP(E100,'BDD'!$A$1:$S$567,15,FALSE)=0,"Critère non évalué","")</f>
      </c>
      <c r="I100" s="569">
        <f>_xlfn.IFERROR(IF(VLOOKUP($E100,'BDD'!$A$1:$S$567,MATCH(I$10,'BDD'!$A$1:$P$1,0),FALSE)=0,"",VLOOKUP($E100,'BDD'!$A$1:$S$567,MATCH(I$10,'BDD'!$A$1:$P$1,0),FALSE)),"")</f>
      </c>
      <c r="J100" s="549"/>
      <c r="K100" s="567">
        <f>_xlfn.IFERROR(IF(VLOOKUP($E100,'BDD'!$A$1:$S$567,MATCH(K$10,'BDD'!$A$1:$P$1,0),FALSE)=0,"",VLOOKUP($E100,'BDD'!$A$1:$S$567,MATCH(K$10,'BDD'!$A$1:$P$1,0),FALSE)),"")</f>
      </c>
      <c r="L100" s="550"/>
      <c r="M100" s="557"/>
      <c r="N100" s="557"/>
      <c r="O100" s="534"/>
      <c r="P100" s="507"/>
    </row>
    <row r="101" ht="14.4" customHeight="1" hidden="1">
      <c r="A101" s="504"/>
      <c r="B101" s="61"/>
      <c r="C101" t="s" s="513">
        <f>IF(LEFT(RIGHT($B$1,2),1)=" ",RIGHT($B$1,1),RIGHT($B$1,2))</f>
        <v>2002</v>
      </c>
      <c r="D101" s="61"/>
      <c r="E101" s="61"/>
      <c r="F101" s="541"/>
      <c r="G101" s="541"/>
      <c r="H101" s="541"/>
      <c r="I101" s="541"/>
      <c r="J101" s="541"/>
      <c r="K101" s="541"/>
      <c r="L101" s="61"/>
      <c r="M101" s="541"/>
      <c r="N101" s="541"/>
      <c r="O101" s="61"/>
      <c r="P101" s="507"/>
    </row>
    <row r="102" ht="14.4" customHeight="1" hidden="1">
      <c r="A102" s="504"/>
      <c r="B102" s="61"/>
      <c r="C102" t="s" s="513">
        <f>IF(LEFT(RIGHT($B$1,2),1)=" ",RIGHT($B$1,1),RIGHT($B$1,2))</f>
        <v>2002</v>
      </c>
      <c r="D102" s="61"/>
      <c r="E102" s="61"/>
      <c r="F102" s="541"/>
      <c r="G102" s="541"/>
      <c r="H102" s="541"/>
      <c r="I102" s="541"/>
      <c r="J102" s="541"/>
      <c r="K102" s="541"/>
      <c r="L102" s="61"/>
      <c r="M102" s="541"/>
      <c r="N102" s="541"/>
      <c r="O102" s="61"/>
      <c r="P102" s="507"/>
    </row>
    <row r="103" ht="30" customHeight="1" hidden="1">
      <c r="A103" s="511"/>
      <c r="B103" s="512"/>
      <c r="C103" t="s" s="513">
        <f>IF(LEFT(RIGHT($B$1,2),1)=" ",RIGHT($B$1,1),RIGHT($B$1,2))</f>
        <v>2002</v>
      </c>
      <c r="D103" s="61">
        <f>IF(LEFT(F103,14)="Bonne pratique",D99+1,D99)</f>
      </c>
      <c r="E103" s="565">
        <f>C103&amp;D103&amp;RIGHT(F103,1)</f>
      </c>
      <c r="F103" t="s" s="828">
        <v>1888</v>
      </c>
      <c r="G103" s="829"/>
      <c r="H103" s="830"/>
      <c r="I103" s="831"/>
      <c r="J103" s="831">
        <f>VLOOKUP(E110,'BDD'!$A$2:$N$567,6,FALSE)</f>
      </c>
      <c r="K103" s="832"/>
      <c r="L103" s="517"/>
      <c r="M103" s="829"/>
      <c r="N103" s="829"/>
      <c r="O103" s="512"/>
      <c r="P103" s="522"/>
    </row>
    <row r="104" ht="9" customHeight="1" hidden="1">
      <c r="A104" s="504"/>
      <c r="B104" s="61"/>
      <c r="C104" t="s" s="513">
        <f>IF(LEFT(RIGHT($B$1,2),1)=" ",RIGHT($B$1,1),RIGHT($B$1,2))</f>
        <v>2002</v>
      </c>
      <c r="D104" s="61">
        <f>IF(LEFT(F104,14)="Bonne pratique",D103+1,D103)</f>
      </c>
      <c r="E104" s="565">
        <f>C104&amp;D104&amp;RIGHT(F104,1)</f>
      </c>
      <c r="F104" s="541"/>
      <c r="G104" s="541"/>
      <c r="H104" s="541"/>
      <c r="I104" s="541"/>
      <c r="J104" s="541"/>
      <c r="K104" s="541"/>
      <c r="L104" s="61"/>
      <c r="M104" s="541"/>
      <c r="N104" s="541"/>
      <c r="O104" s="61"/>
      <c r="P104" s="507"/>
    </row>
    <row r="105" ht="18" customHeight="1" hidden="1">
      <c r="A105" s="523"/>
      <c r="B105" s="524"/>
      <c r="C105" t="s" s="513">
        <f>IF(LEFT(RIGHT($B$1,2),1)=" ",RIGHT($B$1,1),RIGHT($B$1,2))</f>
        <v>2002</v>
      </c>
      <c r="D105" s="61">
        <f>IF(LEFT(F105,14)="Bonne pratique",D104+1,D104)</f>
      </c>
      <c r="E105" s="565">
        <f>C105&amp;D105&amp;RIGHT(F105,1)</f>
      </c>
      <c r="F105" s="833"/>
      <c r="G105" s="833"/>
      <c r="H105" s="833"/>
      <c r="I105" s="834"/>
      <c r="J105" s="835"/>
      <c r="K105" s="834"/>
      <c r="L105" s="524"/>
      <c r="M105" s="833"/>
      <c r="N105" s="833"/>
      <c r="O105" s="524"/>
      <c r="P105" s="527"/>
    </row>
    <row r="106" ht="18" customHeight="1" hidden="1">
      <c r="A106" s="504"/>
      <c r="B106" s="61"/>
      <c r="C106" t="s" s="513">
        <f>IF(LEFT(RIGHT($B$1,2),1)=" ",RIGHT($B$1,1),RIGHT($B$1,2))</f>
        <v>2002</v>
      </c>
      <c r="D106" s="61">
        <f>IF(LEFT(F106,14)="Bonne pratique",D105+1,D105)</f>
      </c>
      <c r="E106" s="565">
        <f>C106&amp;D106&amp;RIGHT(F106,1)</f>
      </c>
      <c r="F106" s="541"/>
      <c r="G106" s="541"/>
      <c r="H106" s="541"/>
      <c r="I106" s="541"/>
      <c r="J106" s="836"/>
      <c r="K106" s="541"/>
      <c r="L106" s="61"/>
      <c r="M106" s="541"/>
      <c r="N106" s="541"/>
      <c r="O106" s="61"/>
      <c r="P106" s="507"/>
    </row>
    <row r="107" ht="9" customHeight="1" hidden="1">
      <c r="A107" s="504"/>
      <c r="B107" s="61"/>
      <c r="C107" t="s" s="513">
        <f>IF(LEFT(RIGHT($B$1,2),1)=" ",RIGHT($B$1,1),RIGHT($B$1,2))</f>
        <v>2002</v>
      </c>
      <c r="D107" s="61">
        <f>IF(LEFT(F107,14)="Bonne pratique",D106+1,D106)</f>
      </c>
      <c r="E107" s="565">
        <f>C107&amp;D107&amp;RIGHT(F107,1)</f>
      </c>
      <c r="F107" s="541"/>
      <c r="G107" s="541"/>
      <c r="H107" s="541"/>
      <c r="I107" s="541"/>
      <c r="J107" s="837"/>
      <c r="K107" s="541"/>
      <c r="L107" s="542"/>
      <c r="M107" t="s" s="562">
        <v>1763</v>
      </c>
      <c r="N107" s="563"/>
      <c r="O107" s="534"/>
      <c r="P107" s="507"/>
    </row>
    <row r="108" ht="33" customHeight="1" hidden="1">
      <c r="A108" s="504"/>
      <c r="B108" s="61"/>
      <c r="C108" t="s" s="513">
        <f>IF(LEFT(RIGHT($B$1,2),1)=" ",RIGHT($B$1,1),RIGHT($B$1,2))</f>
        <v>2002</v>
      </c>
      <c r="D108" s="61">
        <f>IF(LEFT(F108,14)="Bonne pratique",D107+1,D107)</f>
      </c>
      <c r="E108" s="565">
        <f>C108&amp;D108&amp;RIGHT(F108,1)</f>
      </c>
      <c r="F108" s="838"/>
      <c r="G108" t="s" s="536">
        <v>244</v>
      </c>
      <c r="H108" t="s" s="536">
        <v>1764</v>
      </c>
      <c r="I108" t="s" s="536">
        <v>1787</v>
      </c>
      <c r="J108" t="s" s="536">
        <v>1765</v>
      </c>
      <c r="K108" t="s" s="536">
        <v>1788</v>
      </c>
      <c r="L108" s="538"/>
      <c r="M108" t="s" s="539">
        <v>1766</v>
      </c>
      <c r="N108" t="s" s="540">
        <v>1767</v>
      </c>
      <c r="O108" s="534"/>
      <c r="P108" s="507"/>
    </row>
    <row r="109" ht="9" customHeight="1" hidden="1">
      <c r="A109" s="504"/>
      <c r="B109" s="61"/>
      <c r="C109" t="s" s="513">
        <f>IF(LEFT(RIGHT($B$1,2),1)=" ",RIGHT($B$1,1),RIGHT($B$1,2))</f>
        <v>2002</v>
      </c>
      <c r="D109" s="61">
        <f>IF(LEFT(F109,14)="Bonne pratique",D108+1,D108)</f>
      </c>
      <c r="E109" s="565">
        <f>C109&amp;D109&amp;RIGHT(F109,1)</f>
      </c>
      <c r="F109" s="541"/>
      <c r="G109" s="541"/>
      <c r="H109" s="541"/>
      <c r="I109" s="541"/>
      <c r="J109" s="541"/>
      <c r="K109" s="541"/>
      <c r="L109" s="61"/>
      <c r="M109" s="541"/>
      <c r="N109" s="541"/>
      <c r="O109" s="61"/>
      <c r="P109" s="507"/>
    </row>
    <row r="110" ht="130.05" customHeight="1" hidden="1">
      <c r="A110" s="504"/>
      <c r="B110" s="542"/>
      <c r="C110" t="s" s="543">
        <f>IF(LEFT(RIGHT($B$1,2),1)=" ",RIGHT($B$1,1),RIGHT($B$1,2))</f>
        <v>2002</v>
      </c>
      <c r="D110" s="550">
        <f>IF(LEFT(F110,14)="Bonne pratique",D109+1,D109)</f>
      </c>
      <c r="E110" s="566">
        <f>C110&amp;D110&amp;RIGHT(F110,1)</f>
      </c>
      <c r="F110" t="s" s="546">
        <v>1769</v>
      </c>
      <c r="G110" s="567">
        <f>_xlfn.IFERROR(IF(VLOOKUP($E110,'BDD'!$A$1:$S$567,MATCH(G$10,'BDD'!$A$1:$P$1,0),FALSE)=0,"",VLOOKUP($E110,'BDD'!$A$1:$S$567,MATCH(G$10,'BDD'!$A$1:$P$1,0),FALSE)),"")</f>
      </c>
      <c r="H110" s="568">
        <f>IF(VLOOKUP(E110,'BDD'!$A$1:$S$567,15,FALSE)=0,"Critère non évalué","")</f>
      </c>
      <c r="I110" s="569">
        <f>_xlfn.IFERROR(IF(VLOOKUP($E110,'BDD'!$A$1:$S$567,MATCH(I$10,'BDD'!$A$1:$P$1,0),FALSE)=0,"",VLOOKUP($E110,'BDD'!$A$1:$S$567,MATCH(I$10,'BDD'!$A$1:$P$1,0),FALSE)),"")</f>
      </c>
      <c r="J110" s="549"/>
      <c r="K110" s="567">
        <f>_xlfn.IFERROR(IF(VLOOKUP($E110,'BDD'!$A$1:$S$567,MATCH(K$10,'BDD'!$A$1:$P$1,0),FALSE)=0,"",VLOOKUP($E110,'BDD'!$A$1:$S$567,MATCH(K$10,'BDD'!$A$1:$P$1,0),FALSE)),"")</f>
      </c>
      <c r="L110" s="550"/>
      <c r="M110" s="551"/>
      <c r="N110" s="551"/>
      <c r="O110" s="534"/>
      <c r="P110" s="507"/>
    </row>
    <row r="111" ht="130.05" customHeight="1" hidden="1">
      <c r="A111" s="504"/>
      <c r="B111" s="542"/>
      <c r="C111" t="s" s="543">
        <f>IF(LEFT(RIGHT($B$1,2),1)=" ",RIGHT($B$1,1),RIGHT($B$1,2))</f>
        <v>2002</v>
      </c>
      <c r="D111" s="550">
        <f>IF(LEFT(F111,14)="Bonne pratique",D110+1,D110)</f>
      </c>
      <c r="E111" s="566">
        <f>C111&amp;D111&amp;RIGHT(F111,1)</f>
      </c>
      <c r="F111" t="s" s="552">
        <v>1772</v>
      </c>
      <c r="G111" s="557">
        <f>_xlfn.IFERROR(IF(VLOOKUP($E111,'BDD'!$A$1:$S$567,MATCH(G$10,'BDD'!$A$1:$P$1,0),FALSE)=0,"",VLOOKUP($E111,'BDD'!$A$1:$S$567,MATCH(G$10,'BDD'!$A$1:$P$1,0),FALSE)),"")</f>
      </c>
      <c r="H111" s="570">
        <f>IF(VLOOKUP(E111,'BDD'!$A$1:$S$567,15,FALSE)=0,"Critère non évalué","")</f>
      </c>
      <c r="I111" s="571">
        <f>_xlfn.IFERROR(IF(VLOOKUP($E111,'BDD'!$A$1:$S$567,MATCH(I$10,'BDD'!$A$1:$P$1,0),FALSE)=0,"",VLOOKUP($E111,'BDD'!$A$1:$S$567,MATCH(I$10,'BDD'!$A$1:$P$1,0),FALSE)),"")</f>
      </c>
      <c r="J111" s="554"/>
      <c r="K111" s="557">
        <f>_xlfn.IFERROR(IF(VLOOKUP($E111,'BDD'!$A$1:$S$567,MATCH(K$10,'BDD'!$A$1:$P$1,0),FALSE)=0,"",VLOOKUP($E111,'BDD'!$A$1:$S$567,MATCH(K$10,'BDD'!$A$1:$P$1,0),FALSE)),"")</f>
      </c>
      <c r="L111" s="550"/>
      <c r="M111" s="555"/>
      <c r="N111" s="555"/>
      <c r="O111" s="534"/>
      <c r="P111" s="507"/>
    </row>
    <row r="112" ht="130.05" customHeight="1" hidden="1">
      <c r="A112" s="504"/>
      <c r="B112" s="542"/>
      <c r="C112" t="s" s="543">
        <f>IF(LEFT(RIGHT($B$1,2),1)=" ",RIGHT($B$1,1),RIGHT($B$1,2))</f>
        <v>2002</v>
      </c>
      <c r="D112" s="550">
        <f>IF(LEFT(F112,14)="Bonne pratique",D111+1,D111)</f>
      </c>
      <c r="E112" s="566">
        <f>C112&amp;D112&amp;RIGHT(F112,1)</f>
      </c>
      <c r="F112" t="s" s="546">
        <v>1774</v>
      </c>
      <c r="G112" s="567">
        <f>_xlfn.IFERROR(IF(VLOOKUP($E112,'BDD'!$A$1:$S$567,MATCH(G$10,'BDD'!$A$1:$P$1,0),FALSE)=0,"",VLOOKUP($E112,'BDD'!$A$1:$S$567,MATCH(G$10,'BDD'!$A$1:$P$1,0),FALSE)),"")</f>
      </c>
      <c r="H112" s="568">
        <f>IF(VLOOKUP(E112,'BDD'!$A$1:$S$567,15,FALSE)=0,"Critère non évalué","")</f>
      </c>
      <c r="I112" s="569">
        <f>_xlfn.IFERROR(IF(VLOOKUP($E112,'BDD'!$A$1:$S$567,MATCH(I$10,'BDD'!$A$1:$P$1,0),FALSE)=0,"",VLOOKUP($E112,'BDD'!$A$1:$S$567,MATCH(I$10,'BDD'!$A$1:$P$1,0),FALSE)),"")</f>
      </c>
      <c r="J112" s="549"/>
      <c r="K112" s="567">
        <f>_xlfn.IFERROR(IF(VLOOKUP($E112,'BDD'!$A$1:$S$567,MATCH(K$10,'BDD'!$A$1:$P$1,0),FALSE)=0,"",VLOOKUP($E112,'BDD'!$A$1:$S$567,MATCH(K$10,'BDD'!$A$1:$P$1,0),FALSE)),"")</f>
      </c>
      <c r="L112" s="550"/>
      <c r="M112" s="551"/>
      <c r="N112" s="551"/>
      <c r="O112" s="534"/>
      <c r="P112" s="507"/>
    </row>
    <row r="113" ht="130.05" customHeight="1" hidden="1">
      <c r="A113" s="504"/>
      <c r="B113" s="542"/>
      <c r="C113" t="s" s="543">
        <f>IF(LEFT(RIGHT($B$1,2),1)=" ",RIGHT($B$1,1),RIGHT($B$1,2))</f>
        <v>2002</v>
      </c>
      <c r="D113" s="550">
        <f>IF(LEFT(F113,14)="Bonne pratique",D112+1,D112)</f>
      </c>
      <c r="E113" s="566">
        <f>C113&amp;D113&amp;RIGHT(F113,1)</f>
      </c>
      <c r="F113" t="s" s="552">
        <v>1776</v>
      </c>
      <c r="G113" s="557">
        <f>_xlfn.IFERROR(IF(VLOOKUP($E113,'BDD'!$A$1:$S$567,MATCH(G$10,'BDD'!$A$1:$P$1,0),FALSE)=0,"",VLOOKUP($E113,'BDD'!$A$1:$S$567,MATCH(G$10,'BDD'!$A$1:$P$1,0),FALSE)),"")</f>
      </c>
      <c r="H113" s="570">
        <f>IF(VLOOKUP(E113,'BDD'!$A$1:$S$567,15,FALSE)=0,"Critère non évalué","")</f>
      </c>
      <c r="I113" s="571">
        <f>_xlfn.IFERROR(IF(VLOOKUP($E113,'BDD'!$A$1:$S$567,MATCH(I$10,'BDD'!$A$1:$P$1,0),FALSE)=0,"",VLOOKUP($E113,'BDD'!$A$1:$S$567,MATCH(I$10,'BDD'!$A$1:$P$1,0),FALSE)),"")</f>
      </c>
      <c r="J113" s="556"/>
      <c r="K113" s="557">
        <f>_xlfn.IFERROR(IF(VLOOKUP($E113,'BDD'!$A$1:$S$567,MATCH(K$10,'BDD'!$A$1:$P$1,0),FALSE)=0,"",VLOOKUP($E113,'BDD'!$A$1:$S$567,MATCH(K$10,'BDD'!$A$1:$P$1,0),FALSE)),"")</f>
      </c>
      <c r="L113" s="550"/>
      <c r="M113" s="555"/>
      <c r="N113" s="555"/>
      <c r="O113" s="534"/>
      <c r="P113" s="507"/>
    </row>
    <row r="114" ht="130.05" customHeight="1" hidden="1">
      <c r="A114" s="504"/>
      <c r="B114" s="542"/>
      <c r="C114" t="s" s="543">
        <f>IF(LEFT(RIGHT($B$1,2),1)=" ",RIGHT($B$1,1),RIGHT($B$1,2))</f>
        <v>2002</v>
      </c>
      <c r="D114" s="550">
        <f>IF(LEFT(F114,14)="Bonne pratique",D113+1,D113)</f>
      </c>
      <c r="E114" s="566">
        <f>C114&amp;D114&amp;RIGHT(F114,1)</f>
      </c>
      <c r="F114" t="s" s="546">
        <v>1778</v>
      </c>
      <c r="G114" s="567">
        <f>_xlfn.IFERROR(IF(VLOOKUP($E114,'BDD'!$A$1:$S$567,MATCH(G$10,'BDD'!$A$1:$P$1,0),FALSE)=0,"",VLOOKUP($E114,'BDD'!$A$1:$S$567,MATCH(G$10,'BDD'!$A$1:$P$1,0),FALSE)),"")</f>
      </c>
      <c r="H114" s="568">
        <f>IF(VLOOKUP(E114,'BDD'!$A$1:$S$567,15,FALSE)=0,"Critère non évalué","")</f>
      </c>
      <c r="I114" s="569">
        <f>_xlfn.IFERROR(IF(VLOOKUP($E114,'BDD'!$A$1:$S$567,MATCH(I$10,'BDD'!$A$1:$P$1,0),FALSE)=0,"",VLOOKUP($E114,'BDD'!$A$1:$S$567,MATCH(I$10,'BDD'!$A$1:$P$1,0),FALSE)),"")</f>
      </c>
      <c r="J114" s="549"/>
      <c r="K114" s="567">
        <f>_xlfn.IFERROR(IF(VLOOKUP($E114,'BDD'!$A$1:$S$567,MATCH(K$10,'BDD'!$A$1:$P$1,0),FALSE)=0,"",VLOOKUP($E114,'BDD'!$A$1:$S$567,MATCH(K$10,'BDD'!$A$1:$P$1,0),FALSE)),"")</f>
      </c>
      <c r="L114" s="550"/>
      <c r="M114" s="557"/>
      <c r="N114" s="557"/>
      <c r="O114" s="534"/>
      <c r="P114" s="507"/>
    </row>
    <row r="115" ht="130.05" customHeight="1" hidden="1">
      <c r="A115" s="504"/>
      <c r="B115" s="542"/>
      <c r="C115" t="s" s="543">
        <f>IF(LEFT(RIGHT($B$1,2),1)=" ",RIGHT($B$1,1),RIGHT($B$1,2))</f>
        <v>2002</v>
      </c>
      <c r="D115" s="550">
        <f>IF(LEFT(F115,14)="Bonne pratique",D114+1,D114)</f>
      </c>
      <c r="E115" s="566">
        <f>C115&amp;D115&amp;RIGHT(F115,1)</f>
      </c>
      <c r="F115" t="s" s="552">
        <v>1780</v>
      </c>
      <c r="G115" s="557">
        <f>_xlfn.IFERROR(IF(VLOOKUP($E115,'BDD'!$A$1:$S$567,MATCH(G$10,'BDD'!$A$1:$P$1,0),FALSE)=0,"",VLOOKUP($E115,'BDD'!$A$1:$S$567,MATCH(G$10,'BDD'!$A$1:$P$1,0),FALSE)),"")</f>
      </c>
      <c r="H115" s="570">
        <f>IF(VLOOKUP(E115,'BDD'!$A$1:$S$567,15,FALSE)=0,"Critère non évalué","")</f>
      </c>
      <c r="I115" s="571">
        <f>_xlfn.IFERROR(IF(VLOOKUP($E115,'BDD'!$A$1:$S$567,MATCH(I$10,'BDD'!$A$1:$P$1,0),FALSE)=0,"",VLOOKUP($E115,'BDD'!$A$1:$S$567,MATCH(I$10,'BDD'!$A$1:$P$1,0),FALSE)),"")</f>
      </c>
      <c r="J115" s="556"/>
      <c r="K115" s="557">
        <f>_xlfn.IFERROR(IF(VLOOKUP($E115,'BDD'!$A$1:$S$567,MATCH(K$10,'BDD'!$A$1:$P$1,0),FALSE)=0,"",VLOOKUP($E115,'BDD'!$A$1:$S$567,MATCH(K$10,'BDD'!$A$1:$P$1,0),FALSE)),"")</f>
      </c>
      <c r="L115" s="550"/>
      <c r="M115" s="555"/>
      <c r="N115" s="555"/>
      <c r="O115" s="534"/>
      <c r="P115" s="507"/>
    </row>
    <row r="116" ht="130.05" customHeight="1" hidden="1">
      <c r="A116" s="504"/>
      <c r="B116" s="542"/>
      <c r="C116" t="s" s="543">
        <f>RIGHT($B$1,1)</f>
        <v>2002</v>
      </c>
      <c r="D116" s="550">
        <f>IF(LEFT(F116,14)="Bonne pratique",D115+1,D115)</f>
      </c>
      <c r="E116" s="566">
        <f>C116&amp;D116&amp;RIGHT(F116,1)</f>
      </c>
      <c r="F116" t="s" s="546">
        <v>1782</v>
      </c>
      <c r="G116" s="567">
        <f>_xlfn.IFERROR(IF(VLOOKUP($E116,'BDD'!$A$1:$S$567,MATCH(G$10,'BDD'!$A$1:$P$1,0),FALSE)=0,"",VLOOKUP($E116,'BDD'!$A$1:$S$567,MATCH(G$10,'BDD'!$A$1:$P$1,0),FALSE)),"")</f>
      </c>
      <c r="H116" s="568">
        <f>IF(VLOOKUP(E116,'BDD'!$A$1:$S$567,15,FALSE)=0,"Critère non évalué","")</f>
      </c>
      <c r="I116" s="569">
        <f>_xlfn.IFERROR(IF(VLOOKUP($E116,'BDD'!$A$1:$S$567,MATCH(I$10,'BDD'!$A$1:$P$1,0),FALSE)=0,"",VLOOKUP($E116,'BDD'!$A$1:$S$567,MATCH(I$10,'BDD'!$A$1:$P$1,0),FALSE)),"")</f>
      </c>
      <c r="J116" s="549"/>
      <c r="K116" s="567">
        <f>_xlfn.IFERROR(IF(VLOOKUP($E116,'BDD'!$A$1:$S$567,MATCH(K$10,'BDD'!$A$1:$P$1,0),FALSE)=0,"",VLOOKUP($E116,'BDD'!$A$1:$S$567,MATCH(K$10,'BDD'!$A$1:$P$1,0),FALSE)),"")</f>
      </c>
      <c r="L116" s="550"/>
      <c r="M116" s="557"/>
      <c r="N116" s="557"/>
      <c r="O116" s="534"/>
      <c r="P116" s="507"/>
    </row>
    <row r="117" ht="14.4" customHeight="1">
      <c r="A117" s="504"/>
      <c r="B117" s="61"/>
      <c r="C117" s="61"/>
      <c r="D117" s="61"/>
      <c r="E117" s="61"/>
      <c r="F117" s="559"/>
      <c r="G117" s="559"/>
      <c r="H117" s="559"/>
      <c r="I117" s="559"/>
      <c r="J117" s="559"/>
      <c r="K117" s="559"/>
      <c r="L117" s="61"/>
      <c r="M117" s="559"/>
      <c r="N117" s="559"/>
      <c r="O117" s="61"/>
      <c r="P117" s="507"/>
    </row>
    <row r="118" ht="14.4" customHeight="1">
      <c r="A118" t="s" s="572">
        <v>171</v>
      </c>
      <c r="B118" s="573"/>
      <c r="C118" s="573"/>
      <c r="D118" s="573"/>
      <c r="E118" s="573"/>
      <c r="F118" s="573"/>
      <c r="G118" s="573"/>
      <c r="H118" s="573"/>
      <c r="I118" s="573"/>
      <c r="J118" s="573"/>
      <c r="K118" s="573"/>
      <c r="L118" s="573"/>
      <c r="M118" s="573"/>
      <c r="N118" s="573"/>
      <c r="O118" s="573"/>
      <c r="P118" t="s" s="574">
        <v>171</v>
      </c>
    </row>
  </sheetData>
  <mergeCells count="7">
    <mergeCell ref="M107:N107"/>
    <mergeCell ref="M9:N9"/>
    <mergeCell ref="M25:N25"/>
    <mergeCell ref="M41:N41"/>
    <mergeCell ref="M57:N57"/>
    <mergeCell ref="M75:N75"/>
    <mergeCell ref="M91:N91"/>
  </mergeCells>
  <pageMargins left="0.7" right="0.7" top="0.75" bottom="0.75" header="0.3" footer="0.3"/>
  <pageSetup firstPageNumber="1" fitToHeight="1" fitToWidth="1" scale="100" useFirstPageNumber="0" orientation="portrait" pageOrder="downThenOver"/>
  <headerFooter>
    <oddFooter>&amp;C&amp;"Helvetica Neue,Regular"&amp;12&amp;K000000&amp;P</oddFooter>
  </headerFooter>
  <drawing r:id="rId1"/>
</worksheet>
</file>

<file path=xl/worksheets/sheet15.xml><?xml version="1.0" encoding="utf-8"?>
<worksheet xmlns:r="http://schemas.openxmlformats.org/officeDocument/2006/relationships" xmlns="http://schemas.openxmlformats.org/spreadsheetml/2006/main">
  <dimension ref="A1:AI100"/>
  <sheetViews>
    <sheetView workbookViewId="0" showGridLines="0" defaultGridColor="1"/>
  </sheetViews>
  <sheetFormatPr defaultColWidth="8.83333" defaultRowHeight="14.4" customHeight="1" outlineLevelRow="0" outlineLevelCol="0"/>
  <cols>
    <col min="1" max="2" width="5.85156" style="875" customWidth="1"/>
    <col min="3" max="5" hidden="1" width="8.83333" style="875" customWidth="1"/>
    <col min="6" max="6" width="25.6719" style="875" customWidth="1"/>
    <col min="7" max="7" width="73.5" style="875" customWidth="1"/>
    <col min="8" max="12" width="5.85156" style="875" customWidth="1"/>
    <col min="13" max="13" width="8.85156" style="875" customWidth="1"/>
    <col min="14" max="14" width="50.8516" style="875" customWidth="1"/>
    <col min="15" max="21" width="4.35156" style="875" customWidth="1"/>
    <col min="22" max="22" width="3" style="875" customWidth="1"/>
    <col min="23" max="23" width="23.8516" style="875" customWidth="1"/>
    <col min="24" max="24" width="59.8516" style="875" customWidth="1"/>
    <col min="25" max="25" width="4" style="875" customWidth="1"/>
    <col min="26" max="27" width="17.1719" style="875" customWidth="1"/>
    <col min="28" max="28" width="5.85156" style="875" customWidth="1"/>
    <col min="29" max="29" width="7.85156" style="875" customWidth="1"/>
    <col min="30" max="30" width="2.5" style="875" customWidth="1"/>
    <col min="31" max="31" width="19" style="875" customWidth="1"/>
    <col min="32" max="34" width="5.85156" style="875" customWidth="1"/>
    <col min="35" max="35" width="8.85156" style="875" customWidth="1"/>
    <col min="36" max="16384" width="8.85156" style="875" customWidth="1"/>
  </cols>
  <sheetData>
    <row r="1" ht="45" customHeight="1">
      <c r="A1" s="576"/>
      <c r="B1" t="s" s="498">
        <v>2001</v>
      </c>
      <c r="C1" s="577"/>
      <c r="D1" s="577"/>
      <c r="E1" s="499"/>
      <c r="F1" s="499"/>
      <c r="G1" s="499"/>
      <c r="H1" s="499"/>
      <c r="I1" s="499"/>
      <c r="J1" s="578"/>
      <c r="K1" s="579"/>
      <c r="L1" s="499"/>
      <c r="M1" s="499"/>
      <c r="N1" s="580"/>
      <c r="O1" s="580"/>
      <c r="P1" s="580"/>
      <c r="Q1" t="s" s="581">
        <f>VLOOKUP($E$27,'BDD'!$A$2:$N$567,3,FALSE)</f>
        <v>227</v>
      </c>
      <c r="R1" s="500"/>
      <c r="S1" s="501"/>
      <c r="T1" s="501"/>
      <c r="U1" s="501"/>
      <c r="V1" s="501"/>
      <c r="W1" s="501"/>
      <c r="X1" s="501"/>
      <c r="Y1" s="501"/>
      <c r="Z1" s="501"/>
      <c r="AA1" s="501"/>
      <c r="AB1" s="501"/>
      <c r="AC1" s="501"/>
      <c r="AD1" s="501"/>
      <c r="AE1" s="501"/>
      <c r="AF1" s="501"/>
      <c r="AG1" s="501"/>
      <c r="AH1" s="501"/>
      <c r="AI1" s="582"/>
    </row>
    <row r="2" ht="45" customHeight="1">
      <c r="A2" s="504"/>
      <c r="B2" s="505"/>
      <c r="C2" s="505"/>
      <c r="D2" s="505"/>
      <c r="E2" s="505"/>
      <c r="F2" s="505"/>
      <c r="G2" s="505"/>
      <c r="H2" s="505"/>
      <c r="I2" s="505"/>
      <c r="J2" s="505"/>
      <c r="K2" s="505"/>
      <c r="L2" s="505"/>
      <c r="M2" s="505"/>
      <c r="N2" s="583"/>
      <c r="O2" s="583"/>
      <c r="P2" s="583"/>
      <c r="Q2" t="s" s="506">
        <f>VLOOKUP($E$27,'BDD'!$A$2:$N$567,4,FALSE)</f>
        <v>671</v>
      </c>
      <c r="R2" s="505"/>
      <c r="S2" s="584"/>
      <c r="T2" s="584"/>
      <c r="U2" s="584"/>
      <c r="V2" s="584"/>
      <c r="W2" s="584"/>
      <c r="X2" s="584"/>
      <c r="Y2" s="584"/>
      <c r="Z2" s="584"/>
      <c r="AA2" s="584"/>
      <c r="AB2" s="584"/>
      <c r="AC2" s="584"/>
      <c r="AD2" s="584"/>
      <c r="AE2" s="584"/>
      <c r="AF2" s="584"/>
      <c r="AG2" s="584"/>
      <c r="AH2" s="584"/>
      <c r="AI2" s="585"/>
    </row>
    <row r="3" ht="45" customHeight="1">
      <c r="A3" s="504"/>
      <c r="B3" s="586"/>
      <c r="C3" s="586"/>
      <c r="D3" s="586"/>
      <c r="E3" s="586"/>
      <c r="F3" s="586"/>
      <c r="G3" s="587"/>
      <c r="H3" s="587"/>
      <c r="I3" s="587"/>
      <c r="J3" s="587"/>
      <c r="K3" s="587"/>
      <c r="L3" s="587"/>
      <c r="M3" s="587"/>
      <c r="N3" s="586"/>
      <c r="O3" s="586"/>
      <c r="P3" s="586"/>
      <c r="Q3" s="586"/>
      <c r="R3" s="586"/>
      <c r="S3" s="586"/>
      <c r="T3" s="586"/>
      <c r="U3" s="586"/>
      <c r="V3" s="586"/>
      <c r="W3" s="588"/>
      <c r="X3" s="586"/>
      <c r="Y3" s="586"/>
      <c r="Z3" s="586"/>
      <c r="AA3" s="589"/>
      <c r="AB3" s="586"/>
      <c r="AC3" s="586"/>
      <c r="AD3" s="586"/>
      <c r="AE3" s="586"/>
      <c r="AF3" s="586"/>
      <c r="AG3" s="586"/>
      <c r="AH3" s="505"/>
      <c r="AI3" s="585"/>
    </row>
    <row r="4" ht="26.4" customHeight="1">
      <c r="A4" s="504"/>
      <c r="B4" s="586"/>
      <c r="C4" s="586"/>
      <c r="D4" s="586"/>
      <c r="E4" s="586"/>
      <c r="F4" s="586"/>
      <c r="G4" t="s" s="590">
        <v>1817</v>
      </c>
      <c r="H4" s="591"/>
      <c r="I4" s="587"/>
      <c r="J4" s="591"/>
      <c r="K4" s="591"/>
      <c r="L4" s="591"/>
      <c r="M4" s="591"/>
      <c r="N4" s="586"/>
      <c r="O4" s="586"/>
      <c r="P4" s="586"/>
      <c r="Q4" s="586"/>
      <c r="R4" s="586"/>
      <c r="S4" s="586"/>
      <c r="T4" s="586"/>
      <c r="U4" s="586"/>
      <c r="V4" s="586"/>
      <c r="W4" t="s" s="592">
        <v>1818</v>
      </c>
      <c r="X4" s="586"/>
      <c r="Y4" s="586"/>
      <c r="Z4" s="593"/>
      <c r="AA4" s="594"/>
      <c r="AB4" t="s" s="595">
        <v>1819</v>
      </c>
      <c r="AC4" s="586"/>
      <c r="AD4" s="586"/>
      <c r="AE4" s="586"/>
      <c r="AF4" s="596"/>
      <c r="AG4" s="596"/>
      <c r="AH4" s="597"/>
      <c r="AI4" s="585"/>
    </row>
    <row r="5" ht="30" customHeight="1">
      <c r="A5" s="504"/>
      <c r="B5" s="586"/>
      <c r="C5" s="586"/>
      <c r="D5" s="586"/>
      <c r="E5" t="s" s="745">
        <f>RIGHT($B$1,1)&amp;"11"</f>
        <v>76</v>
      </c>
      <c r="F5" s="586"/>
      <c r="G5" t="s" s="598">
        <f>IF(VLOOKUP(E5,'BDD'!$A$2:$N$567,13,FALSE)=0,"",VLOOKUP(E5,'BDD'!$A$2:$N$567,13,FALSE))</f>
        <v>676</v>
      </c>
      <c r="H5" s="599"/>
      <c r="I5" s="587"/>
      <c r="J5" s="25"/>
      <c r="K5" s="599"/>
      <c r="L5" s="600"/>
      <c r="M5" s="600"/>
      <c r="N5" s="601"/>
      <c r="O5" s="601"/>
      <c r="P5" s="601"/>
      <c r="Q5" s="601"/>
      <c r="R5" s="601"/>
      <c r="S5" s="601"/>
      <c r="T5" s="601"/>
      <c r="U5" s="601"/>
      <c r="V5" s="601"/>
      <c r="W5" s="602"/>
      <c r="X5" s="601"/>
      <c r="Y5" s="601"/>
      <c r="Z5" s="601"/>
      <c r="AA5" s="603"/>
      <c r="AB5" s="601"/>
      <c r="AC5" s="586"/>
      <c r="AD5" s="586"/>
      <c r="AE5" s="586"/>
      <c r="AF5" s="586"/>
      <c r="AG5" s="586"/>
      <c r="AH5" s="505"/>
      <c r="AI5" s="585"/>
    </row>
    <row r="6" ht="30" customHeight="1">
      <c r="A6" s="604"/>
      <c r="B6" s="565"/>
      <c r="C6" s="565"/>
      <c r="D6" s="565"/>
      <c r="E6" t="s" s="745">
        <f>RIGHT($B$1,1)&amp;"12"</f>
        <v>678</v>
      </c>
      <c r="F6" s="565"/>
      <c r="G6" t="s" s="598">
        <f>IF(VLOOKUP(E6,'BDD'!$A$2:$N$567,13,FALSE)=0,"",VLOOKUP(E6,'BDD'!$A$2:$N$567,13,FALSE))</f>
        <v>680</v>
      </c>
      <c r="H6" s="605"/>
      <c r="I6" s="587"/>
      <c r="J6" s="25"/>
      <c r="K6" s="606"/>
      <c r="L6" s="607"/>
      <c r="M6" s="608"/>
      <c r="N6" s="609"/>
      <c r="O6" s="610"/>
      <c r="P6" s="610"/>
      <c r="Q6" s="610"/>
      <c r="R6" s="610"/>
      <c r="S6" s="610"/>
      <c r="T6" s="610"/>
      <c r="U6" s="610"/>
      <c r="V6" s="611"/>
      <c r="W6" s="610"/>
      <c r="X6" s="610"/>
      <c r="Y6" s="611"/>
      <c r="Z6" s="612"/>
      <c r="AA6" s="612"/>
      <c r="AB6" s="613"/>
      <c r="AC6" s="614"/>
      <c r="AD6" s="615"/>
      <c r="AE6" s="615"/>
      <c r="AF6" s="587"/>
      <c r="AG6" s="587"/>
      <c r="AH6" s="616"/>
      <c r="AI6" s="617"/>
    </row>
    <row r="7" ht="30" customHeight="1">
      <c r="A7" s="604"/>
      <c r="B7" s="565"/>
      <c r="C7" s="565"/>
      <c r="D7" s="565"/>
      <c r="E7" t="s" s="745">
        <f>RIGHT($B$1,1)&amp;"13"</f>
        <v>682</v>
      </c>
      <c r="F7" s="565"/>
      <c r="G7" t="s" s="598">
        <f>IF(VLOOKUP(E7,'BDD'!$A$2:$N$567,13,FALSE)=0,"",VLOOKUP(E7,'BDD'!$A$2:$N$567,13,FALSE))</f>
        <v>685</v>
      </c>
      <c r="H7" s="605"/>
      <c r="I7" s="587"/>
      <c r="J7" s="25"/>
      <c r="K7" s="606"/>
      <c r="L7" s="618"/>
      <c r="M7" s="619"/>
      <c r="N7" t="s" s="620">
        <v>11</v>
      </c>
      <c r="O7" t="s" s="621">
        <v>12</v>
      </c>
      <c r="P7" t="s" s="621">
        <v>13</v>
      </c>
      <c r="Q7" t="s" s="621">
        <v>14</v>
      </c>
      <c r="R7" t="s" s="621">
        <v>15</v>
      </c>
      <c r="S7" t="s" s="621">
        <v>16</v>
      </c>
      <c r="T7" t="s" s="621">
        <v>17</v>
      </c>
      <c r="U7" t="s" s="621">
        <v>18</v>
      </c>
      <c r="V7" s="70"/>
      <c r="W7" t="s" s="622">
        <v>20</v>
      </c>
      <c r="X7" t="s" s="623">
        <v>21</v>
      </c>
      <c r="Y7" s="624"/>
      <c r="Z7" t="s" s="625">
        <v>22</v>
      </c>
      <c r="AA7" t="s" s="626">
        <v>223</v>
      </c>
      <c r="AB7" s="627"/>
      <c r="AC7" s="628"/>
      <c r="AD7" t="s" s="629">
        <v>1820</v>
      </c>
      <c r="AE7" t="s" s="630">
        <v>1752</v>
      </c>
      <c r="AF7" s="631"/>
      <c r="AG7" s="587"/>
      <c r="AH7" s="616"/>
      <c r="AI7" s="617"/>
    </row>
    <row r="8" ht="30" customHeight="1">
      <c r="A8" s="604"/>
      <c r="B8" s="565"/>
      <c r="C8" s="565"/>
      <c r="D8" s="565"/>
      <c r="E8" t="s" s="745">
        <f>RIGHT($B$1,1)&amp;"14"</f>
        <v>687</v>
      </c>
      <c r="F8" s="565"/>
      <c r="G8" t="s" s="598">
        <f>IF(VLOOKUP(E8,'BDD'!$A$2:$N$567,13,FALSE)=0,"",VLOOKUP(E8,'BDD'!$A$2:$N$567,13,FALSE))</f>
        <v>688</v>
      </c>
      <c r="H8" s="605"/>
      <c r="I8" s="587"/>
      <c r="J8" s="25"/>
      <c r="K8" s="606"/>
      <c r="L8" s="618"/>
      <c r="M8" t="s" s="632">
        <f>IF(LEFT(RIGHT($B$1,2),1)=" ",RIGHT($B$1,1),RIGHT($B$1,2))&amp;1</f>
        <v>348</v>
      </c>
      <c r="N8" t="s" s="539">
        <f>RIGHT(M8,1)&amp;" : "&amp;VLOOKUP($M8&amp;"1",'BDD'!$A$2:$N$567,6,FALSE)</f>
        <v>2035</v>
      </c>
      <c r="O8" t="s" s="71">
        <f>IF(VLOOKUP($M8&amp;RIGHT(O$7,1),'BDD'!$A$1:$S$428,15,FALSE)=4,"NE",IF(VLOOKUP($M8&amp;RIGHT(O$7,1),'BDD'!$A$1:$S$428,15,FALSE)=0,"NE",VLOOKUP($M8&amp;RIGHT(O$7,1),'BDD'!$A$1:$S$428,15,FALSE)))</f>
        <v>27</v>
      </c>
      <c r="P8" t="s" s="71">
        <f>IF(VLOOKUP($M8&amp;RIGHT(P$7,1),'BDD'!$A$1:$S$428,15,FALSE)=4,"NE",IF(VLOOKUP($M8&amp;RIGHT(P$7,1),'BDD'!$A$1:$S$428,15,FALSE)=0,"NE",VLOOKUP($M8&amp;RIGHT(P$7,1),'BDD'!$A$1:$S$428,15,FALSE)))</f>
        <v>27</v>
      </c>
      <c r="Q8" t="s" s="71">
        <f>IF(VLOOKUP($M8&amp;RIGHT(Q$7,1),'BDD'!$A$1:$S$428,15,FALSE)=4,"NE",IF(VLOOKUP($M8&amp;RIGHT(Q$7,1),'BDD'!$A$1:$S$428,15,FALSE)=0,"NE",VLOOKUP($M8&amp;RIGHT(Q$7,1),'BDD'!$A$1:$S$428,15,FALSE)))</f>
        <v>27</v>
      </c>
      <c r="R8" s="72"/>
      <c r="S8" s="72"/>
      <c r="T8" s="72"/>
      <c r="U8" s="72"/>
      <c r="V8" s="633"/>
      <c r="W8" t="s" s="634">
        <v>28</v>
      </c>
      <c r="X8" s="635"/>
      <c r="Y8" s="636"/>
      <c r="Z8" s="637">
        <f>O25</f>
        <v>0</v>
      </c>
      <c r="AA8" s="77">
        <f>S25</f>
      </c>
      <c r="AB8" s="627"/>
      <c r="AC8" s="628"/>
      <c r="AD8" s="638"/>
      <c r="AE8" t="s" s="639">
        <v>1753</v>
      </c>
      <c r="AF8" s="631"/>
      <c r="AG8" s="587"/>
      <c r="AH8" s="616"/>
      <c r="AI8" s="617"/>
    </row>
    <row r="9" ht="30" customHeight="1">
      <c r="A9" s="604"/>
      <c r="B9" s="565"/>
      <c r="C9" s="565"/>
      <c r="D9" s="565"/>
      <c r="E9" t="s" s="745">
        <f>RIGHT($B$1,1)&amp;"15"</f>
        <v>690</v>
      </c>
      <c r="F9" s="565"/>
      <c r="G9" t="s" s="598">
        <f>IF(VLOOKUP(E9,'BDD'!$A$2:$N$567,13,FALSE)=0,"",VLOOKUP(E9,'BDD'!$A$2:$N$567,13,FALSE))</f>
      </c>
      <c r="H9" s="605"/>
      <c r="I9" s="587"/>
      <c r="J9" s="25"/>
      <c r="K9" s="606"/>
      <c r="L9" s="618"/>
      <c r="M9" t="s" s="632">
        <f>IF(LEFT(RIGHT($B$1,2),1)=" ",RIGHT($B$1,1),RIGHT($B$1,2))&amp;2</f>
        <v>351</v>
      </c>
      <c r="N9" t="s" s="640">
        <f>RIGHT(M9,1)&amp;" : "&amp;VLOOKUP($M9&amp;"1",'BDD'!$A$2:$N$567,6,FALSE)</f>
        <v>2036</v>
      </c>
      <c r="O9" t="s" s="85">
        <f>IF(VLOOKUP($M9&amp;RIGHT(O$7,1),'BDD'!$A$1:$S$428,15,FALSE)=4,"NE",IF(VLOOKUP($M9&amp;RIGHT(O$7,1),'BDD'!$A$1:$S$428,15,FALSE)=0,"NE",VLOOKUP($M9&amp;RIGHT(O$7,1),'BDD'!$A$1:$S$428,15,FALSE)))</f>
        <v>27</v>
      </c>
      <c r="P9" t="s" s="85">
        <f>IF(VLOOKUP($M9&amp;RIGHT(P$7,1),'BDD'!$A$1:$S$428,15,FALSE)=4,"NE",IF(VLOOKUP($M9&amp;RIGHT(P$7,1),'BDD'!$A$1:$S$428,15,FALSE)=0,"NE",VLOOKUP($M9&amp;RIGHT(P$7,1),'BDD'!$A$1:$S$428,15,FALSE)))</f>
        <v>27</v>
      </c>
      <c r="Q9" t="s" s="85">
        <f>IF(VLOOKUP($M9&amp;RIGHT(Q$7,1),'BDD'!$A$1:$S$428,15,FALSE)=4,"NE",IF(VLOOKUP($M9&amp;RIGHT(Q$7,1),'BDD'!$A$1:$S$428,15,FALSE)=0,"NE",VLOOKUP($M9&amp;RIGHT(Q$7,1),'BDD'!$A$1:$S$428,15,FALSE)))</f>
        <v>27</v>
      </c>
      <c r="R9" s="86"/>
      <c r="S9" s="86"/>
      <c r="T9" s="86"/>
      <c r="U9" s="86"/>
      <c r="V9" s="633"/>
      <c r="W9" t="s" s="641">
        <v>28</v>
      </c>
      <c r="X9" s="642"/>
      <c r="Y9" s="643"/>
      <c r="Z9" s="644">
        <f>O30</f>
        <v>0</v>
      </c>
      <c r="AA9" s="90">
        <f>S30</f>
      </c>
      <c r="AB9" s="627"/>
      <c r="AC9" s="628"/>
      <c r="AD9" s="638"/>
      <c r="AE9" t="s" s="645">
        <v>1754</v>
      </c>
      <c r="AF9" s="631"/>
      <c r="AG9" s="587"/>
      <c r="AH9" s="616"/>
      <c r="AI9" s="617"/>
    </row>
    <row r="10" ht="30" customHeight="1">
      <c r="A10" s="604"/>
      <c r="B10" s="565"/>
      <c r="C10" s="565"/>
      <c r="D10" s="565"/>
      <c r="E10" t="s" s="745">
        <f>RIGHT($B$1,1)&amp;"16"</f>
        <v>692</v>
      </c>
      <c r="F10" s="565"/>
      <c r="G10" t="s" s="646">
        <f>IF(VLOOKUP(E10,'BDD'!$A$2:$N$567,13,FALSE)=0,"",VLOOKUP(E10,'BDD'!$A$2:$N$567,13,FALSE))</f>
      </c>
      <c r="H10" s="605"/>
      <c r="I10" s="587"/>
      <c r="J10" s="25"/>
      <c r="K10" s="606"/>
      <c r="L10" s="618"/>
      <c r="M10" t="s" s="632">
        <f>IF(LEFT(RIGHT($B$1,2),1)=" ",RIGHT($B$1,1),RIGHT($B$1,2))&amp;3</f>
        <v>354</v>
      </c>
      <c r="N10" t="s" s="539">
        <f>RIGHT(M10,1)&amp;" : "&amp;VLOOKUP($M10&amp;"1",'BDD'!$A$2:$N$567,6,FALSE)</f>
        <v>2037</v>
      </c>
      <c r="O10" t="s" s="71">
        <f>IF(VLOOKUP($M10&amp;RIGHT(O$7,1),'BDD'!$A$1:$S$428,15,FALSE)=4,"NE",IF(VLOOKUP($M10&amp;RIGHT(O$7,1),'BDD'!$A$1:$S$428,15,FALSE)=0,"NE",VLOOKUP($M10&amp;RIGHT(O$7,1),'BDD'!$A$1:$S$428,15,FALSE)))</f>
        <v>27</v>
      </c>
      <c r="P10" t="s" s="71">
        <f>IF(VLOOKUP($M10&amp;RIGHT(P$7,1),'BDD'!$A$1:$S$428,15,FALSE)=4,"NE",IF(VLOOKUP($M10&amp;RIGHT(P$7,1),'BDD'!$A$1:$S$428,15,FALSE)=0,"NE",VLOOKUP($M10&amp;RIGHT(P$7,1),'BDD'!$A$1:$S$428,15,FALSE)))</f>
        <v>27</v>
      </c>
      <c r="Q10" t="s" s="71">
        <f>IF(VLOOKUP($M10&amp;RIGHT(Q$7,1),'BDD'!$A$1:$S$428,15,FALSE)=4,"NE",IF(VLOOKUP($M10&amp;RIGHT(Q$7,1),'BDD'!$A$1:$S$428,15,FALSE)=0,"NE",VLOOKUP($M10&amp;RIGHT(Q$7,1),'BDD'!$A$1:$S$428,15,FALSE)))</f>
        <v>27</v>
      </c>
      <c r="R10" t="s" s="71">
        <f>IF(VLOOKUP($M10&amp;RIGHT(R$7,1),'BDD'!$A$1:$S$428,15,FALSE)=4,"NE",IF(VLOOKUP($M10&amp;RIGHT(R$7,1),'BDD'!$A$1:$S$428,15,FALSE)=0,"NE",VLOOKUP($M10&amp;RIGHT(R$7,1),'BDD'!$A$1:$S$428,15,FALSE)))</f>
        <v>27</v>
      </c>
      <c r="S10" t="s" s="71">
        <f>IF(VLOOKUP($M10&amp;RIGHT(S$7,1),'BDD'!$A$1:$S$428,15,FALSE)=4,"NE",IF(VLOOKUP($M10&amp;RIGHT(S$7,1),'BDD'!$A$1:$S$428,15,FALSE)=0,"NE",VLOOKUP($M10&amp;RIGHT(S$7,1),'BDD'!$A$1:$S$428,15,FALSE)))</f>
        <v>27</v>
      </c>
      <c r="T10" t="s" s="71">
        <f>IF(VLOOKUP($M10&amp;RIGHT(T$7,1),'BDD'!$A$1:$S$428,15,FALSE)=4,"NE",IF(VLOOKUP($M10&amp;RIGHT(T$7,1),'BDD'!$A$1:$S$428,15,FALSE)=0,"NE",VLOOKUP($M10&amp;RIGHT(T$7,1),'BDD'!$A$1:$S$428,15,FALSE)))</f>
        <v>27</v>
      </c>
      <c r="U10" t="s" s="71">
        <f>IF(VLOOKUP($M10&amp;RIGHT(U$7,1),'BDD'!$A$1:$S$428,15,FALSE)=4,"NE",IF(VLOOKUP($M10&amp;RIGHT(U$7,1),'BDD'!$A$1:$S$428,15,FALSE)=0,"NE",VLOOKUP($M10&amp;RIGHT(U$7,1),'BDD'!$A$1:$S$428,15,FALSE)))</f>
        <v>27</v>
      </c>
      <c r="V10" s="633"/>
      <c r="W10" t="s" s="647">
        <v>28</v>
      </c>
      <c r="X10" s="648"/>
      <c r="Y10" s="636"/>
      <c r="Z10" s="637">
        <f>O35</f>
        <v>0</v>
      </c>
      <c r="AA10" s="77">
        <f>S35</f>
      </c>
      <c r="AB10" s="627"/>
      <c r="AC10" s="628"/>
      <c r="AD10" s="649"/>
      <c r="AE10" t="s" s="650">
        <v>1824</v>
      </c>
      <c r="AF10" s="651"/>
      <c r="AG10" s="652"/>
      <c r="AH10" s="653"/>
      <c r="AI10" s="617"/>
    </row>
    <row r="11" ht="30" customHeight="1">
      <c r="A11" s="504"/>
      <c r="B11" s="586"/>
      <c r="C11" s="586"/>
      <c r="D11" s="586"/>
      <c r="E11" t="s" s="745">
        <f>RIGHT($B$1,1)&amp;"17"</f>
        <v>694</v>
      </c>
      <c r="F11" s="586"/>
      <c r="G11" t="s" s="646">
        <f>IF(VLOOKUP(E11,'BDD'!$A$2:$N$567,13,FALSE)=0,"",VLOOKUP(E11,'BDD'!$A$2:$N$567,13,FALSE))</f>
      </c>
      <c r="H11" s="652"/>
      <c r="I11" s="587"/>
      <c r="J11" s="25"/>
      <c r="K11" s="654"/>
      <c r="L11" s="655"/>
      <c r="M11" t="s" s="656">
        <f>IF(LEFT(RIGHT($B$1,2),1)=" ",RIGHT($B$1,1),RIGHT($B$1,2))&amp;4</f>
        <v>357</v>
      </c>
      <c r="N11" t="s" s="640">
        <f>RIGHT(M11,1)&amp;" : "&amp;VLOOKUP($M11&amp;"1",'BDD'!$A$2:$N$567,6,FALSE)</f>
        <v>2038</v>
      </c>
      <c r="O11" t="s" s="85">
        <f>IF(VLOOKUP($M11&amp;RIGHT(O$7,1),'BDD'!$A$1:$S$428,15,FALSE)=4,"NE",IF(VLOOKUP($M11&amp;RIGHT(O$7,1),'BDD'!$A$1:$S$428,15,FALSE)=0,"NE",VLOOKUP($M11&amp;RIGHT(O$7,1),'BDD'!$A$1:$S$428,15,FALSE)))</f>
        <v>27</v>
      </c>
      <c r="P11" t="s" s="85">
        <f>IF(VLOOKUP($M11&amp;RIGHT(P$7,1),'BDD'!$A$1:$S$428,15,FALSE)=4,"NE",IF(VLOOKUP($M11&amp;RIGHT(P$7,1),'BDD'!$A$1:$S$428,15,FALSE)=0,"NE",VLOOKUP($M11&amp;RIGHT(P$7,1),'BDD'!$A$1:$S$428,15,FALSE)))</f>
        <v>27</v>
      </c>
      <c r="Q11" s="86"/>
      <c r="R11" s="86"/>
      <c r="S11" s="86"/>
      <c r="T11" s="86"/>
      <c r="U11" s="86"/>
      <c r="V11" s="633"/>
      <c r="W11" t="s" s="641">
        <v>28</v>
      </c>
      <c r="X11" s="642"/>
      <c r="Y11" s="636"/>
      <c r="Z11" s="644">
        <f>O44</f>
        <v>0</v>
      </c>
      <c r="AA11" s="90">
        <f>S44</f>
      </c>
      <c r="AB11" s="627"/>
      <c r="AC11" s="657"/>
      <c r="AD11" s="658"/>
      <c r="AE11" s="659"/>
      <c r="AF11" s="652"/>
      <c r="AG11" s="652"/>
      <c r="AH11" s="653"/>
      <c r="AI11" s="585"/>
    </row>
    <row r="12" ht="30" customHeight="1">
      <c r="A12" s="504"/>
      <c r="B12" s="586"/>
      <c r="C12" s="586"/>
      <c r="D12" s="586"/>
      <c r="E12" s="586"/>
      <c r="F12" s="586"/>
      <c r="G12" t="s" s="660">
        <v>1826</v>
      </c>
      <c r="H12" s="587"/>
      <c r="I12" s="587"/>
      <c r="J12" s="25"/>
      <c r="K12" s="661"/>
      <c r="L12" s="662"/>
      <c r="M12" t="s" s="663">
        <f>IF(LEFT(RIGHT($B$1,2),1)=" ",RIGHT($B$1,1),RIGHT($B$1,2))&amp;5</f>
        <v>360</v>
      </c>
      <c r="N12" t="s" s="539">
        <f>RIGHT(M12,1)&amp;" : "&amp;VLOOKUP($M12&amp;"1",'BDD'!$A$2:$N$567,6,FALSE)</f>
        <v>2039</v>
      </c>
      <c r="O12" t="s" s="71">
        <f>IF(VLOOKUP($M12&amp;RIGHT(O$7,1),'BDD'!$A$1:$S$428,15,FALSE)=4,"NE",IF(VLOOKUP($M12&amp;RIGHT(O$7,1),'BDD'!$A$1:$S$428,15,FALSE)=0,"NE",VLOOKUP($M12&amp;RIGHT(O$7,1),'BDD'!$A$1:$S$428,15,FALSE)))</f>
        <v>27</v>
      </c>
      <c r="P12" t="s" s="71">
        <f>IF(VLOOKUP($M12&amp;RIGHT(P$7,1),'BDD'!$A$1:$S$428,15,FALSE)=4,"NE",IF(VLOOKUP($M12&amp;RIGHT(P$7,1),'BDD'!$A$1:$S$428,15,FALSE)=0,"NE",VLOOKUP($M12&amp;RIGHT(P$7,1),'BDD'!$A$1:$S$428,15,FALSE)))</f>
        <v>27</v>
      </c>
      <c r="Q12" t="s" s="71">
        <f>IF(VLOOKUP($M12&amp;RIGHT(Q$7,1),'BDD'!$A$1:$S$428,15,FALSE)=4,"NE",IF(VLOOKUP($M12&amp;RIGHT(Q$7,1),'BDD'!$A$1:$S$428,15,FALSE)=0,"NE",VLOOKUP($M12&amp;RIGHT(Q$7,1),'BDD'!$A$1:$S$428,15,FALSE)))</f>
        <v>27</v>
      </c>
      <c r="R12" s="72"/>
      <c r="S12" s="72"/>
      <c r="T12" s="72"/>
      <c r="U12" s="72"/>
      <c r="V12" s="633"/>
      <c r="W12" t="s" s="664">
        <v>28</v>
      </c>
      <c r="X12" s="665"/>
      <c r="Y12" s="636"/>
      <c r="Z12" s="637">
        <f>O48</f>
        <v>0</v>
      </c>
      <c r="AA12" s="77">
        <f>S48</f>
      </c>
      <c r="AB12" s="627"/>
      <c r="AC12" s="657"/>
      <c r="AD12" s="666"/>
      <c r="AE12" s="25"/>
      <c r="AF12" s="586"/>
      <c r="AG12" s="586"/>
      <c r="AH12" s="505"/>
      <c r="AI12" s="585"/>
    </row>
    <row r="13" ht="30" customHeight="1">
      <c r="A13" s="504"/>
      <c r="B13" s="586"/>
      <c r="C13" s="586"/>
      <c r="D13" s="586"/>
      <c r="E13" t="s" s="745">
        <f>RIGHT($B$1,1)&amp;"11"</f>
        <v>76</v>
      </c>
      <c r="F13" s="586"/>
      <c r="G13" t="s" s="667">
        <f>IF(VLOOKUP(E13,'BDD'!$A$2:$N$567,14,FALSE)=0,"",VLOOKUP(E13,'BDD'!$A$2:$N$567,14,FALSE))</f>
        <v>677</v>
      </c>
      <c r="H13" s="591"/>
      <c r="I13" s="587"/>
      <c r="J13" s="25"/>
      <c r="K13" s="668"/>
      <c r="L13" s="669"/>
      <c r="M13" s="670"/>
      <c r="N13" s="671"/>
      <c r="O13" s="672"/>
      <c r="P13" s="672"/>
      <c r="Q13" s="672"/>
      <c r="R13" s="672"/>
      <c r="S13" s="672"/>
      <c r="T13" s="672"/>
      <c r="U13" s="672"/>
      <c r="V13" s="673"/>
      <c r="W13" s="675"/>
      <c r="X13" s="675"/>
      <c r="Y13" s="673"/>
      <c r="Z13" s="676"/>
      <c r="AA13" s="676"/>
      <c r="AB13" s="677"/>
      <c r="AC13" s="678"/>
      <c r="AD13" s="586"/>
      <c r="AE13" s="586"/>
      <c r="AF13" s="679"/>
      <c r="AG13" s="679"/>
      <c r="AH13" s="680"/>
      <c r="AI13" s="585"/>
    </row>
    <row r="14" ht="30" customHeight="1">
      <c r="A14" s="504"/>
      <c r="B14" s="586"/>
      <c r="C14" s="586"/>
      <c r="D14" s="586"/>
      <c r="E14" t="s" s="745">
        <f>RIGHT($B$1,1)&amp;"12"</f>
        <v>678</v>
      </c>
      <c r="F14" s="586"/>
      <c r="G14" t="s" s="667">
        <f>IF(VLOOKUP(E14,'BDD'!$A$2:$N$567,14,FALSE)=0,"",VLOOKUP(E14,'BDD'!$A$2:$N$567,14,FALSE))</f>
        <v>681</v>
      </c>
      <c r="H14" s="681"/>
      <c r="I14" s="587"/>
      <c r="J14" s="25"/>
      <c r="K14" s="682"/>
      <c r="L14" s="683"/>
      <c r="M14" s="684"/>
      <c r="N14" t="s" s="685">
        <f>"Evaluation globale du vecteur "&amp;RIGHT(B1,2)</f>
        <v>2040</v>
      </c>
      <c r="O14" s="686"/>
      <c r="P14" s="687"/>
      <c r="Q14" s="687"/>
      <c r="R14" s="687"/>
      <c r="S14" s="687"/>
      <c r="T14" s="687"/>
      <c r="U14" s="687"/>
      <c r="V14" s="687"/>
      <c r="W14" s="688"/>
      <c r="X14" s="689"/>
      <c r="Y14" s="690"/>
      <c r="Z14" t="s" s="691">
        <v>1829</v>
      </c>
      <c r="AA14" t="s" s="692">
        <v>1830</v>
      </c>
      <c r="AB14" s="693"/>
      <c r="AC14" s="678"/>
      <c r="AD14" s="679"/>
      <c r="AE14" s="679"/>
      <c r="AF14" s="586"/>
      <c r="AG14" s="586"/>
      <c r="AH14" s="505"/>
      <c r="AI14" s="585"/>
    </row>
    <row r="15" ht="30" customHeight="1">
      <c r="A15" s="504"/>
      <c r="B15" s="586"/>
      <c r="C15" s="586"/>
      <c r="D15" s="586"/>
      <c r="E15" t="s" s="745">
        <f>RIGHT($B$1,1)&amp;"13"</f>
        <v>682</v>
      </c>
      <c r="F15" s="586"/>
      <c r="G15" t="s" s="667">
        <f>IF(VLOOKUP(E15,'BDD'!$A$2:$N$567,14,FALSE)=0,"",VLOOKUP(E15,'BDD'!$A$2:$N$567,14,FALSE))</f>
        <v>686</v>
      </c>
      <c r="H15" s="694"/>
      <c r="I15" s="587"/>
      <c r="J15" s="25"/>
      <c r="K15" s="695"/>
      <c r="L15" s="662"/>
      <c r="M15" s="696"/>
      <c r="N15" s="697"/>
      <c r="O15" s="698"/>
      <c r="P15" s="699"/>
      <c r="Q15" s="699"/>
      <c r="R15" s="699"/>
      <c r="S15" s="699"/>
      <c r="T15" s="699"/>
      <c r="U15" s="699"/>
      <c r="V15" s="700"/>
      <c r="W15" t="s" s="701">
        <v>28</v>
      </c>
      <c r="X15" s="702"/>
      <c r="Y15" s="703"/>
      <c r="Z15" s="704">
        <f>O22</f>
        <v>0</v>
      </c>
      <c r="AA15" s="705">
        <f>SUM($W$27:$W$54)</f>
      </c>
      <c r="AB15" s="693"/>
      <c r="AC15" s="678"/>
      <c r="AD15" s="586"/>
      <c r="AE15" s="586"/>
      <c r="AF15" s="586"/>
      <c r="AG15" s="586"/>
      <c r="AH15" s="505"/>
      <c r="AI15" s="585"/>
    </row>
    <row r="16" ht="30" customHeight="1">
      <c r="A16" s="504"/>
      <c r="B16" s="586"/>
      <c r="C16" s="586"/>
      <c r="D16" s="586"/>
      <c r="E16" t="s" s="745">
        <f>RIGHT($B$1,1)&amp;"14"</f>
        <v>687</v>
      </c>
      <c r="F16" s="586"/>
      <c r="G16" t="s" s="667">
        <f>IF(VLOOKUP(E16,'BDD'!$A$2:$N$567,14,FALSE)=0,"",VLOOKUP(E16,'BDD'!$A$2:$N$567,14,FALSE))</f>
        <v>689</v>
      </c>
      <c r="H16" s="694"/>
      <c r="I16" s="587"/>
      <c r="J16" s="25"/>
      <c r="K16" s="661"/>
      <c r="L16" s="706"/>
      <c r="M16" s="707"/>
      <c r="N16" s="708"/>
      <c r="O16" s="709"/>
      <c r="P16" s="709"/>
      <c r="Q16" s="709"/>
      <c r="R16" s="709"/>
      <c r="S16" s="709"/>
      <c r="T16" s="709"/>
      <c r="U16" s="709"/>
      <c r="V16" s="709"/>
      <c r="W16" s="710"/>
      <c r="X16" s="708"/>
      <c r="Y16" s="709"/>
      <c r="Z16" s="711"/>
      <c r="AA16" s="711"/>
      <c r="AB16" s="712"/>
      <c r="AC16" s="678"/>
      <c r="AD16" s="586"/>
      <c r="AE16" s="586"/>
      <c r="AF16" s="586"/>
      <c r="AG16" s="586"/>
      <c r="AH16" s="505"/>
      <c r="AI16" s="585"/>
    </row>
    <row r="17" ht="30" customHeight="1" hidden="1">
      <c r="A17" s="504"/>
      <c r="B17" s="586"/>
      <c r="C17" s="586"/>
      <c r="D17" s="586"/>
      <c r="E17" s="25"/>
      <c r="F17" s="25"/>
      <c r="G17" s="25"/>
      <c r="H17" s="694"/>
      <c r="I17" s="587"/>
      <c r="J17" s="25"/>
      <c r="K17" s="694"/>
      <c r="L17" s="876"/>
      <c r="M17" s="877"/>
      <c r="N17" s="878"/>
      <c r="O17" s="878"/>
      <c r="P17" s="878"/>
      <c r="Q17" s="878"/>
      <c r="R17" s="878"/>
      <c r="S17" s="878"/>
      <c r="T17" s="878"/>
      <c r="U17" s="878"/>
      <c r="V17" s="878"/>
      <c r="W17" s="878"/>
      <c r="X17" s="878"/>
      <c r="Y17" s="878"/>
      <c r="Z17" s="878"/>
      <c r="AA17" s="878"/>
      <c r="AB17" s="878"/>
      <c r="AC17" s="586"/>
      <c r="AD17" s="586"/>
      <c r="AE17" s="586"/>
      <c r="AF17" s="586"/>
      <c r="AG17" s="586"/>
      <c r="AH17" s="505"/>
      <c r="AI17" s="585"/>
    </row>
    <row r="18" ht="30" customHeight="1" hidden="1">
      <c r="A18" s="504"/>
      <c r="B18" s="586"/>
      <c r="C18" s="586"/>
      <c r="D18" s="586"/>
      <c r="E18" s="25"/>
      <c r="F18" s="25"/>
      <c r="G18" s="25"/>
      <c r="H18" s="694"/>
      <c r="I18" s="587"/>
      <c r="J18" s="25"/>
      <c r="K18" s="694"/>
      <c r="L18" s="876"/>
      <c r="M18" s="877"/>
      <c r="N18" s="878"/>
      <c r="O18" s="878"/>
      <c r="P18" s="878"/>
      <c r="Q18" s="878"/>
      <c r="R18" s="878"/>
      <c r="S18" s="878"/>
      <c r="T18" s="878"/>
      <c r="U18" s="878"/>
      <c r="V18" s="878"/>
      <c r="W18" s="878"/>
      <c r="X18" s="878"/>
      <c r="Y18" s="878"/>
      <c r="Z18" s="878"/>
      <c r="AA18" s="878"/>
      <c r="AB18" s="878"/>
      <c r="AC18" s="586"/>
      <c r="AD18" s="586"/>
      <c r="AE18" s="586"/>
      <c r="AF18" s="586"/>
      <c r="AG18" s="586"/>
      <c r="AH18" s="505"/>
      <c r="AI18" s="585"/>
    </row>
    <row r="19" ht="30" customHeight="1">
      <c r="A19" s="504"/>
      <c r="B19" s="586"/>
      <c r="C19" s="586"/>
      <c r="D19" s="586"/>
      <c r="E19" t="s" s="745">
        <f>RIGHT($B$1,1)&amp;"15"</f>
        <v>690</v>
      </c>
      <c r="F19" s="586"/>
      <c r="G19" t="s" s="667">
        <f>IF(VLOOKUP(E19,'BDD'!$A$2:$N$567,14,FALSE)=0,"",VLOOKUP(E19,'BDD'!$A$2:$N$567,14,FALSE))</f>
        <v>691</v>
      </c>
      <c r="H19" s="694"/>
      <c r="I19" s="587"/>
      <c r="J19" s="25"/>
      <c r="K19" s="694"/>
      <c r="L19" s="713"/>
      <c r="M19" s="714"/>
      <c r="N19" s="715"/>
      <c r="O19" s="715"/>
      <c r="P19" s="715"/>
      <c r="Q19" s="715"/>
      <c r="R19" s="715"/>
      <c r="S19" s="716"/>
      <c r="T19" s="716"/>
      <c r="U19" s="716"/>
      <c r="V19" s="716"/>
      <c r="W19" s="716"/>
      <c r="X19" s="716"/>
      <c r="Y19" s="716"/>
      <c r="Z19" s="716"/>
      <c r="AA19" s="716"/>
      <c r="AB19" s="716"/>
      <c r="AC19" s="586"/>
      <c r="AD19" s="586"/>
      <c r="AE19" s="586"/>
      <c r="AF19" s="586"/>
      <c r="AG19" s="586"/>
      <c r="AH19" s="505"/>
      <c r="AI19" s="585"/>
    </row>
    <row r="20" ht="30" customHeight="1">
      <c r="A20" s="504"/>
      <c r="B20" s="586"/>
      <c r="C20" s="586"/>
      <c r="D20" s="586"/>
      <c r="E20" t="s" s="745">
        <f>RIGHT($B$1,1)&amp;"16"</f>
        <v>692</v>
      </c>
      <c r="F20" s="586"/>
      <c r="G20" t="s" s="667">
        <f>IF(VLOOKUP(E20,'BDD'!$A$2:$N$567,14,FALSE)=0,"",VLOOKUP(E20,'BDD'!$A$2:$N$567,14,FALSE))</f>
        <v>693</v>
      </c>
      <c r="H20" s="694"/>
      <c r="I20" s="587"/>
      <c r="J20" s="25"/>
      <c r="K20" s="694"/>
      <c r="L20" s="694"/>
      <c r="M20" s="719"/>
      <c r="N20" t="s" s="536">
        <v>1831</v>
      </c>
      <c r="O20" s="721">
        <f>COUNTIF(N27:N100,"Non renseigné")</f>
        <v>18</v>
      </c>
      <c r="P20" s="722"/>
      <c r="Q20" s="722"/>
      <c r="R20" s="723"/>
      <c r="S20" s="724"/>
      <c r="T20" s="586"/>
      <c r="U20" s="586"/>
      <c r="V20" s="586"/>
      <c r="W20" s="586"/>
      <c r="X20" s="586"/>
      <c r="Y20" s="586"/>
      <c r="Z20" s="586"/>
      <c r="AA20" s="586"/>
      <c r="AB20" s="586"/>
      <c r="AC20" s="586"/>
      <c r="AD20" s="586"/>
      <c r="AE20" s="586"/>
      <c r="AF20" s="586"/>
      <c r="AG20" s="586"/>
      <c r="AH20" s="505"/>
      <c r="AI20" s="585"/>
    </row>
    <row r="21" ht="30" customHeight="1">
      <c r="A21" s="504"/>
      <c r="B21" s="586"/>
      <c r="C21" s="586"/>
      <c r="D21" s="586"/>
      <c r="E21" t="s" s="744">
        <f>RIGHT($B$1,1)&amp;"17"</f>
        <v>694</v>
      </c>
      <c r="F21" s="586"/>
      <c r="G21" t="s" s="667">
        <f>IF(VLOOKUP(E21,'BDD'!$A$2:$N$567,14,FALSE)=0,"",VLOOKUP(E21,'BDD'!$A$2:$N$567,14,FALSE))</f>
      </c>
      <c r="H21" s="694"/>
      <c r="I21" s="694"/>
      <c r="J21" s="25"/>
      <c r="K21" s="694"/>
      <c r="L21" s="694"/>
      <c r="M21" s="719"/>
      <c r="N21" t="s" s="855">
        <v>1832</v>
      </c>
      <c r="O21" s="856">
        <f>COUNTIF($N$27:$N$91,"Non évalué")</f>
        <v>0</v>
      </c>
      <c r="P21" s="857"/>
      <c r="Q21" s="857"/>
      <c r="R21" s="858"/>
      <c r="S21" s="724"/>
      <c r="T21" s="586"/>
      <c r="U21" s="586"/>
      <c r="V21" s="586"/>
      <c r="W21" s="586"/>
      <c r="X21" s="586"/>
      <c r="Y21" s="586"/>
      <c r="Z21" s="586"/>
      <c r="AA21" s="586"/>
      <c r="AB21" s="586"/>
      <c r="AC21" s="586"/>
      <c r="AD21" s="586"/>
      <c r="AE21" s="586"/>
      <c r="AF21" s="586"/>
      <c r="AG21" s="586"/>
      <c r="AH21" s="505"/>
      <c r="AI21" s="585"/>
    </row>
    <row r="22" ht="50.4" customHeight="1">
      <c r="A22" s="504"/>
      <c r="B22" s="586"/>
      <c r="C22" s="586"/>
      <c r="D22" s="586"/>
      <c r="E22" t="s" s="745">
        <f>RIGHT($B$1,1)&amp;"17"</f>
        <v>694</v>
      </c>
      <c r="F22" s="586"/>
      <c r="G22" t="s" s="667">
        <f>IF(VLOOKUP(E22,'BDD'!$A$2:$N$567,14,FALSE)=0,"",VLOOKUP(E22,'BDD'!$A$2:$N$567,14,FALSE))</f>
      </c>
      <c r="H22" s="730"/>
      <c r="I22" s="730"/>
      <c r="J22" s="730"/>
      <c r="K22" s="730"/>
      <c r="L22" s="731"/>
      <c r="M22" s="719"/>
      <c r="N22" t="s" s="732">
        <v>1833</v>
      </c>
      <c r="O22" s="733">
        <v>0</v>
      </c>
      <c r="P22" s="734"/>
      <c r="Q22" s="734"/>
      <c r="R22" s="734"/>
      <c r="S22" s="586"/>
      <c r="T22" s="586"/>
      <c r="U22" s="586"/>
      <c r="V22" s="586"/>
      <c r="W22" s="586"/>
      <c r="X22" s="586"/>
      <c r="Y22" s="586"/>
      <c r="Z22" s="586"/>
      <c r="AA22" s="586"/>
      <c r="AB22" s="586"/>
      <c r="AC22" s="586"/>
      <c r="AD22" s="586"/>
      <c r="AE22" s="586"/>
      <c r="AF22" s="586"/>
      <c r="AG22" s="586"/>
      <c r="AH22" s="505"/>
      <c r="AI22" s="585"/>
    </row>
    <row r="23" ht="30" customHeight="1">
      <c r="A23" s="504"/>
      <c r="B23" s="586"/>
      <c r="C23" s="25"/>
      <c r="D23" s="586"/>
      <c r="E23" s="586"/>
      <c r="F23" s="586"/>
      <c r="G23" s="736"/>
      <c r="H23" t="s" s="737">
        <v>245</v>
      </c>
      <c r="I23" s="738"/>
      <c r="J23" s="739"/>
      <c r="K23" s="739"/>
      <c r="L23" s="740"/>
      <c r="M23" s="741"/>
      <c r="N23" s="742"/>
      <c r="O23" s="730"/>
      <c r="P23" s="730"/>
      <c r="Q23" s="730"/>
      <c r="R23" s="730"/>
      <c r="S23" s="730"/>
      <c r="T23" s="730"/>
      <c r="U23" s="730"/>
      <c r="V23" s="730"/>
      <c r="W23" s="586"/>
      <c r="X23" s="586"/>
      <c r="Y23" s="586"/>
      <c r="Z23" s="586"/>
      <c r="AA23" s="586"/>
      <c r="AB23" s="586"/>
      <c r="AC23" s="586"/>
      <c r="AD23" s="586"/>
      <c r="AE23" s="586"/>
      <c r="AF23" s="586"/>
      <c r="AG23" s="586"/>
      <c r="AH23" s="505"/>
      <c r="AI23" s="585"/>
    </row>
    <row r="24" ht="39.6" customHeight="1">
      <c r="A24" s="504"/>
      <c r="B24" s="586"/>
      <c r="C24" t="s" s="744">
        <v>10</v>
      </c>
      <c r="D24" t="s" s="745">
        <v>1745</v>
      </c>
      <c r="E24" t="s" s="745">
        <v>1834</v>
      </c>
      <c r="F24" s="746"/>
      <c r="G24" t="s" s="747">
        <v>244</v>
      </c>
      <c r="H24" t="s" s="747">
        <v>283</v>
      </c>
      <c r="I24" t="s" s="747">
        <v>263</v>
      </c>
      <c r="J24" t="s" s="747">
        <v>271</v>
      </c>
      <c r="K24" t="s" s="747">
        <v>291</v>
      </c>
      <c r="L24" t="s" s="747">
        <v>256</v>
      </c>
      <c r="M24" s="748"/>
      <c r="N24" t="s" s="747">
        <v>1764</v>
      </c>
      <c r="O24" t="s" s="749">
        <v>22</v>
      </c>
      <c r="P24" s="750"/>
      <c r="Q24" s="750"/>
      <c r="R24" s="750"/>
      <c r="S24" t="s" s="751">
        <v>223</v>
      </c>
      <c r="T24" s="750"/>
      <c r="U24" s="750"/>
      <c r="V24" s="752"/>
      <c r="W24" s="724"/>
      <c r="X24" s="586"/>
      <c r="Y24" s="586"/>
      <c r="Z24" s="586"/>
      <c r="AA24" s="586"/>
      <c r="AB24" s="586"/>
      <c r="AC24" s="586"/>
      <c r="AD24" s="586"/>
      <c r="AE24" s="586"/>
      <c r="AF24" s="586"/>
      <c r="AG24" s="586"/>
      <c r="AH24" s="505"/>
      <c r="AI24" s="585"/>
    </row>
    <row r="25" ht="30" customHeight="1">
      <c r="A25" s="504"/>
      <c r="B25" s="753"/>
      <c r="C25" t="s" s="754">
        <f>IF(LEFT(RIGHT($B$1,2),1)=" ",RIGHT($B$1,1),RIGHT($B$1,2))</f>
        <v>2002</v>
      </c>
      <c r="D25" s="755">
        <f>IF(LEFT(F25,5)="Bonne",B23+1,D24)</f>
        <v>1</v>
      </c>
      <c r="E25" s="756"/>
      <c r="F25" t="s" s="757">
        <v>1762</v>
      </c>
      <c r="G25" t="s" s="758">
        <f>VLOOKUP(E27,'BDD'!$A$2:$N$567,6,FALSE)</f>
        <v>672</v>
      </c>
      <c r="H25" s="759"/>
      <c r="I25" s="760"/>
      <c r="J25" s="760"/>
      <c r="K25" s="760"/>
      <c r="L25" s="761"/>
      <c r="M25" s="762"/>
      <c r="N25" s="763"/>
      <c r="O25" s="764">
        <v>0</v>
      </c>
      <c r="P25" s="764"/>
      <c r="Q25" s="764"/>
      <c r="R25" s="764"/>
      <c r="S25" s="765">
        <f>_xlfn.SUMIFS(S1:S100,$D1:$D100,D25,$N1:$N100,"Exigences"&amp;"*")</f>
      </c>
      <c r="T25" s="765"/>
      <c r="U25" s="765"/>
      <c r="V25" s="766"/>
      <c r="W25" s="767"/>
      <c r="X25" s="586"/>
      <c r="Y25" s="586"/>
      <c r="Z25" s="586"/>
      <c r="AA25" s="586"/>
      <c r="AB25" s="586"/>
      <c r="AC25" s="586"/>
      <c r="AD25" s="586"/>
      <c r="AE25" s="586"/>
      <c r="AF25" s="586"/>
      <c r="AG25" s="586"/>
      <c r="AH25" s="505"/>
      <c r="AI25" s="585"/>
    </row>
    <row r="26" ht="30" customHeight="1">
      <c r="A26" s="504"/>
      <c r="B26" s="753"/>
      <c r="C26" t="s" s="754">
        <f>IF(LEFT(RIGHT($B$1,2),1)=" ",RIGHT($B$1,1),RIGHT($B$1,2))</f>
        <v>2002</v>
      </c>
      <c r="D26" s="755">
        <f>IF(LEFT(F26,5)="Bonne",D24+1,D25)</f>
        <v>1</v>
      </c>
      <c r="E26" s="768"/>
      <c r="F26" t="s" s="769">
        <v>1835</v>
      </c>
      <c r="G26" t="s" s="770">
        <f>VLOOKUP(E28,'BDD'!$A$2:$N$567,7,FALSE)</f>
        <v>2041</v>
      </c>
      <c r="H26" s="771"/>
      <c r="I26" s="771"/>
      <c r="J26" s="771"/>
      <c r="K26" s="771"/>
      <c r="L26" s="772"/>
      <c r="M26" s="773"/>
      <c r="N26" s="774"/>
      <c r="O26" s="775"/>
      <c r="P26" s="775"/>
      <c r="Q26" s="775"/>
      <c r="R26" s="775"/>
      <c r="S26" s="776"/>
      <c r="T26" s="776"/>
      <c r="U26" s="776"/>
      <c r="V26" s="777"/>
      <c r="W26" s="789">
        <f>_xlfn.IFERROR(IF(N26='Suppl'!$E$65,0,IF(N26='Suppl'!$E$66,1/2/(_xlfn.COUNTIFS($N1:$N100,"Exigences"&amp;"*")+_xlfn.COUNTIFS($N1:$N100,"Non"&amp;"*")),IF(N26='Suppl'!$E$67,1/(_xlfn.COUNTIFS($N1:$N100,"Exigences"&amp;"*")+_xlfn.COUNTIFS($N1:$N100,"Non"&amp;"*")),0))),0)</f>
        <v>0</v>
      </c>
      <c r="X26" s="586"/>
      <c r="Y26" s="586"/>
      <c r="Z26" s="586"/>
      <c r="AA26" s="586"/>
      <c r="AB26" s="586"/>
      <c r="AC26" s="586"/>
      <c r="AD26" s="586"/>
      <c r="AE26" s="586"/>
      <c r="AF26" s="586"/>
      <c r="AG26" s="586"/>
      <c r="AH26" s="505"/>
      <c r="AI26" s="585"/>
    </row>
    <row r="27" ht="30" customHeight="1">
      <c r="A27" s="504"/>
      <c r="B27" s="753"/>
      <c r="C27" t="s" s="754">
        <f>IF(LEFT(RIGHT($B$1,2),1)=" ",RIGHT($B$1,1),RIGHT($B$1,2))</f>
        <v>2002</v>
      </c>
      <c r="D27" s="755">
        <f>IF(LEFT(F27,5)="Bonne",D25+1,D26)</f>
        <v>1</v>
      </c>
      <c r="E27" t="s" s="778">
        <f>C27&amp;D27&amp;RIGHT(F27,1)</f>
        <v>2003</v>
      </c>
      <c r="F27" t="s" s="779">
        <v>1769</v>
      </c>
      <c r="G27" t="s" s="780">
        <f>VLOOKUP(E27,'BDD'!$A$2:$N$567,MATCH(G$24,'BDD'!$A$1:$P$1,0),FALSE)</f>
        <v>675</v>
      </c>
      <c r="H27" s="781"/>
      <c r="I27" t="s" s="792">
        <v>263</v>
      </c>
      <c r="J27" s="782"/>
      <c r="K27" s="782"/>
      <c r="L27" s="793"/>
      <c r="M27" s="784">
        <f>IF(N27="Exigences partiellement respectées",1,IF(N27="Exigences respectées",2,0))</f>
        <v>0</v>
      </c>
      <c r="N27" t="s" s="780">
        <f>VLOOKUP(VLOOKUP(E27,'BDD'!$A$2:$P$428,15,FALSE),'Suppl'!$D$64:$E$68,2,FALSE)</f>
        <v>1751</v>
      </c>
      <c r="O27" s="785"/>
      <c r="P27" s="786"/>
      <c r="Q27" s="786"/>
      <c r="R27" s="786"/>
      <c r="S27" s="787">
        <f>IF(N27='Suppl'!$E$65,0,IF(N27='Suppl'!$E$66,1/2/(_xlfn.COUNTIFS($D1:$D100,D27,$N1:$N100,"Exigences"&amp;"*",G1:G100,"&lt;&gt;0")+_xlfn.COUNTIFS($D1:$D100,D27,$N1:$N100,"Non"&amp;"*",G1:G100,"&lt;&gt;0")),IF(N27='Suppl'!$E$67,1/(_xlfn.COUNTIFS($D1:$D100,D27,$N1:$N100,"Exigences"&amp;"*",G1:G100,"&lt;&gt;0")+_xlfn.COUNTIFS($D1:$D100,D27,$N1:$N100,"Non"&amp;"*",G1:G100,"&lt;&gt;0")),0)))</f>
        <v>0</v>
      </c>
      <c r="T27" s="787"/>
      <c r="U27" s="787"/>
      <c r="V27" s="788"/>
      <c r="W27" s="789">
        <f>_xlfn.IFERROR(IF(N27='Suppl'!$E$65,0,IF(N27='Suppl'!$E$66,1/2/(_xlfn.COUNTIFS($N1:$N100,"Exigences"&amp;"*")+_xlfn.COUNTIFS($N1:$N100,"Non"&amp;"*")),IF(N27='Suppl'!$E$67,1/(_xlfn.COUNTIFS($N1:$N100,"Exigences"&amp;"*")+_xlfn.COUNTIFS($N1:$N100,"Non"&amp;"*")),0))),0)</f>
        <v>0</v>
      </c>
      <c r="X27" s="586"/>
      <c r="Y27" s="586"/>
      <c r="Z27" s="586"/>
      <c r="AA27" s="586"/>
      <c r="AB27" s="586"/>
      <c r="AC27" s="586"/>
      <c r="AD27" s="586"/>
      <c r="AE27" s="586"/>
      <c r="AF27" s="586"/>
      <c r="AG27" s="586"/>
      <c r="AH27" s="505"/>
      <c r="AI27" s="585"/>
    </row>
    <row r="28" ht="30" customHeight="1">
      <c r="A28" s="504"/>
      <c r="B28" s="753"/>
      <c r="C28" t="s" s="754">
        <f>IF(LEFT(RIGHT($B$1,2),1)=" ",RIGHT($B$1,1),RIGHT($B$1,2))</f>
        <v>2002</v>
      </c>
      <c r="D28" s="755">
        <f>IF(LEFT(F28,5)="Bonne",D26+1,D27)</f>
        <v>1</v>
      </c>
      <c r="E28" t="s" s="778">
        <f>C28&amp;D28&amp;RIGHT(F28,1)</f>
        <v>2004</v>
      </c>
      <c r="F28" t="s" s="790">
        <v>1837</v>
      </c>
      <c r="G28" t="s" s="791">
        <f>VLOOKUP(E28,'BDD'!$A$2:$N$567,MATCH(G$24,'BDD'!$A$1:$P$1,0),FALSE)</f>
        <v>679</v>
      </c>
      <c r="H28" s="781"/>
      <c r="I28" t="s" s="792">
        <v>263</v>
      </c>
      <c r="J28" s="782"/>
      <c r="K28" s="782"/>
      <c r="L28" s="793"/>
      <c r="M28" s="794">
        <f>IF(N28="Exigences partiellement respectées",1,IF(N28="Exigences respectées",2,0))</f>
        <v>0</v>
      </c>
      <c r="N28" t="s" s="791">
        <f>VLOOKUP(VLOOKUP(E28,'BDD'!$A$2:$P$428,15,FALSE),'Suppl'!$D$64:$E$68,2,FALSE)</f>
        <v>1751</v>
      </c>
      <c r="O28" s="795"/>
      <c r="P28" s="796"/>
      <c r="Q28" s="796"/>
      <c r="R28" s="796"/>
      <c r="S28" s="797">
        <f>IF(N28='Suppl'!$E$65,0,IF(N28='Suppl'!$E$66,1/2/(_xlfn.COUNTIFS($D1:$D100,D28,$N1:$N100,"Exigences"&amp;"*",G1:G100,"&lt;&gt;0")+_xlfn.COUNTIFS($D1:$D100,D28,$N1:$N100,"Non"&amp;"*",G1:G100,"&lt;&gt;0")),IF(N28='Suppl'!$E$67,1/(_xlfn.COUNTIFS($D1:$D100,D28,$N1:$N100,"Exigences"&amp;"*",G1:G100,"&lt;&gt;0")+_xlfn.COUNTIFS($D1:$D100,D28,$N1:$N100,"Non"&amp;"*",G1:G100,"&lt;&gt;0")),0)))</f>
        <v>0</v>
      </c>
      <c r="T28" s="797"/>
      <c r="U28" s="797"/>
      <c r="V28" s="798"/>
      <c r="W28" s="789">
        <f>_xlfn.IFERROR(IF(N28='Suppl'!$E$65,0,IF(N28='Suppl'!$E$66,1/2/(_xlfn.COUNTIFS($N1:$N100,"Exigences"&amp;"*")+_xlfn.COUNTIFS($N1:$N100,"Non"&amp;"*")),IF(N28='Suppl'!$E$67,1/(_xlfn.COUNTIFS($N1:$N100,"Exigences"&amp;"*")+_xlfn.COUNTIFS($N1:$N100,"Non"&amp;"*")),0))),0)</f>
        <v>0</v>
      </c>
      <c r="X28" s="586"/>
      <c r="Y28" s="586"/>
      <c r="Z28" s="586"/>
      <c r="AA28" s="586"/>
      <c r="AB28" s="586"/>
      <c r="AC28" s="586"/>
      <c r="AD28" s="586"/>
      <c r="AE28" s="586"/>
      <c r="AF28" s="586"/>
      <c r="AG28" s="586"/>
      <c r="AH28" s="505"/>
      <c r="AI28" s="585"/>
    </row>
    <row r="29" ht="30" customHeight="1">
      <c r="A29" s="504"/>
      <c r="B29" s="753"/>
      <c r="C29" t="s" s="754">
        <f>IF(LEFT(RIGHT($B$1,2),1)=" ",RIGHT($B$1,1),RIGHT($B$1,2))</f>
        <v>2002</v>
      </c>
      <c r="D29" s="755">
        <f>IF(LEFT(F29,5)="Bonne",D27+1,D28)</f>
        <v>1</v>
      </c>
      <c r="E29" t="s" s="778">
        <f>C29&amp;D29&amp;RIGHT(F29,1)</f>
        <v>2005</v>
      </c>
      <c r="F29" t="s" s="779">
        <v>1774</v>
      </c>
      <c r="G29" t="s" s="780">
        <f>VLOOKUP(E29,'BDD'!$A$2:$N$567,MATCH(G$24,'BDD'!$A$1:$P$1,0),FALSE)</f>
        <v>684</v>
      </c>
      <c r="H29" t="s" s="799">
        <v>283</v>
      </c>
      <c r="I29" s="782"/>
      <c r="J29" s="782"/>
      <c r="K29" s="782"/>
      <c r="L29" s="793"/>
      <c r="M29" s="800">
        <f>IF(N29="Exigences partiellement respectées",1,IF(N29="Exigences respectées",2,0))</f>
        <v>0</v>
      </c>
      <c r="N29" t="s" s="780">
        <f>VLOOKUP(VLOOKUP(E29,'BDD'!$A$2:$P$428,15,FALSE),'Suppl'!$D$64:$E$68,2,FALSE)</f>
        <v>1751</v>
      </c>
      <c r="O29" s="801"/>
      <c r="P29" s="802"/>
      <c r="Q29" s="802"/>
      <c r="R29" s="802"/>
      <c r="S29" s="803">
        <f>IF(N29='Suppl'!$E$65,0,IF(N29='Suppl'!$E$66,1/2/(_xlfn.COUNTIFS($D1:$D100,D29,$N1:$N100,"Exigences"&amp;"*",G1:G100,"&lt;&gt;0")+_xlfn.COUNTIFS($D1:$D100,D29,$N1:$N100,"Non"&amp;"*",G1:G100,"&lt;&gt;0")),IF(N29='Suppl'!$E$67,1/(_xlfn.COUNTIFS($D1:$D100,D29,$N1:$N100,"Exigences"&amp;"*",G1:G100,"&lt;&gt;0")+_xlfn.COUNTIFS($D1:$D100,D29,$N1:$N100,"Non"&amp;"*",G1:G100,"&lt;&gt;0")),0)))</f>
        <v>0</v>
      </c>
      <c r="T29" s="803"/>
      <c r="U29" s="803"/>
      <c r="V29" s="804"/>
      <c r="W29" s="789">
        <f>_xlfn.IFERROR(IF(N29='Suppl'!$E$65,0,IF(N29='Suppl'!$E$66,1/2/(_xlfn.COUNTIFS($N1:$N100,"Exigences"&amp;"*")+_xlfn.COUNTIFS($N1:$N100,"Non"&amp;"*")),IF(N29='Suppl'!$E$67,1/(_xlfn.COUNTIFS($N1:$N100,"Exigences"&amp;"*")+_xlfn.COUNTIFS($N1:$N100,"Non"&amp;"*")),0))),0)</f>
        <v>0</v>
      </c>
      <c r="X29" s="586"/>
      <c r="Y29" s="586"/>
      <c r="Z29" s="586"/>
      <c r="AA29" s="586"/>
      <c r="AB29" s="586"/>
      <c r="AC29" s="586"/>
      <c r="AD29" s="586"/>
      <c r="AE29" s="586"/>
      <c r="AF29" s="586"/>
      <c r="AG29" s="586"/>
      <c r="AH29" s="505"/>
      <c r="AI29" s="585"/>
    </row>
    <row r="30" ht="30" customHeight="1">
      <c r="A30" s="504"/>
      <c r="B30" s="753"/>
      <c r="C30" t="s" s="754">
        <f>IF(LEFT(RIGHT($B$1,2),1)=" ",RIGHT($B$1,1),RIGHT($B$1,2))</f>
        <v>2002</v>
      </c>
      <c r="D30" s="755">
        <f>IF(LEFT(F30,5)="Bonne",D28+1,D29)</f>
        <v>2</v>
      </c>
      <c r="E30" t="s" s="778">
        <f>C30&amp;D30&amp;RIGHT(F30,1)</f>
        <v>2011</v>
      </c>
      <c r="F30" t="s" s="757">
        <v>1785</v>
      </c>
      <c r="G30" t="s" s="758">
        <f>VLOOKUP(E32,'BDD'!$A$2:$N$567,6,FALSE)</f>
        <v>695</v>
      </c>
      <c r="H30" t="s" s="805">
        <f>VLOOKUP(E32,'BDD'!$A$2:$N$567,6,FALSE)</f>
        <v>695</v>
      </c>
      <c r="I30" s="760"/>
      <c r="J30" s="760"/>
      <c r="K30" s="760"/>
      <c r="L30" s="761"/>
      <c r="M30" s="762"/>
      <c r="N30" s="763"/>
      <c r="O30" s="764">
        <v>0</v>
      </c>
      <c r="P30" s="764"/>
      <c r="Q30" s="764"/>
      <c r="R30" s="764"/>
      <c r="S30" s="765">
        <f>_xlfn.SUMIFS(S1:S100,$D1:$D100,D30,$N1:$N100,"Exigences"&amp;"*")</f>
      </c>
      <c r="T30" s="765"/>
      <c r="U30" s="765"/>
      <c r="V30" s="766"/>
      <c r="W30" s="789">
        <f>_xlfn.IFERROR(IF(N30='Suppl'!$E$65,0,IF(N30='Suppl'!$E$66,1/2/(_xlfn.COUNTIFS($N1:$N100,"Exigences"&amp;"*")+_xlfn.COUNTIFS($N1:$N100,"Non"&amp;"*")),IF(N30='Suppl'!$E$67,1/(_xlfn.COUNTIFS($N1:$N100,"Exigences"&amp;"*")+_xlfn.COUNTIFS($N1:$N100,"Non"&amp;"*")),0))),0)</f>
        <v>0</v>
      </c>
      <c r="X30" s="586"/>
      <c r="Y30" s="586"/>
      <c r="Z30" s="586"/>
      <c r="AA30" s="586"/>
      <c r="AB30" s="586"/>
      <c r="AC30" s="586"/>
      <c r="AD30" s="586"/>
      <c r="AE30" s="586"/>
      <c r="AF30" s="586"/>
      <c r="AG30" s="586"/>
      <c r="AH30" s="505"/>
      <c r="AI30" s="585"/>
    </row>
    <row r="31" ht="30" customHeight="1">
      <c r="A31" s="504"/>
      <c r="B31" s="753"/>
      <c r="C31" t="s" s="754">
        <f>IF(LEFT(RIGHT($B$1,2),1)=" ",RIGHT($B$1,1),RIGHT($B$1,2))</f>
        <v>2002</v>
      </c>
      <c r="D31" s="755">
        <f>IF(LEFT(F31,5)="Bonne",D29+1,D30)</f>
        <v>2</v>
      </c>
      <c r="E31" t="s" s="778">
        <f>C31&amp;D31&amp;RIGHT(F31,1)</f>
        <v>2015</v>
      </c>
      <c r="F31" t="s" s="769">
        <v>1835</v>
      </c>
      <c r="G31" t="s" s="809">
        <f>VLOOKUP(E33,'BDD'!$A$2:$N$567,7,FALSE)</f>
        <v>2042</v>
      </c>
      <c r="H31" s="810"/>
      <c r="I31" s="810"/>
      <c r="J31" s="810"/>
      <c r="K31" s="810"/>
      <c r="L31" s="810"/>
      <c r="M31" s="810"/>
      <c r="N31" s="811"/>
      <c r="O31" s="775"/>
      <c r="P31" s="775"/>
      <c r="Q31" s="775"/>
      <c r="R31" s="775"/>
      <c r="S31" s="776"/>
      <c r="T31" s="776"/>
      <c r="U31" s="776"/>
      <c r="V31" s="777"/>
      <c r="W31" s="789">
        <f>_xlfn.IFERROR(IF(N31='Suppl'!$E$65,0,IF(N31='Suppl'!$E$66,1/2/(_xlfn.COUNTIFS($N1:$N100,"Exigences"&amp;"*")+_xlfn.COUNTIFS($N1:$N100,"Non"&amp;"*")),IF(N31='Suppl'!$E$67,1/(_xlfn.COUNTIFS($N1:$N100,"Exigences"&amp;"*")+_xlfn.COUNTIFS($N1:$N100,"Non"&amp;"*")),0))),0)</f>
        <v>0</v>
      </c>
      <c r="X31" s="586"/>
      <c r="Y31" s="586"/>
      <c r="Z31" s="586"/>
      <c r="AA31" s="586"/>
      <c r="AB31" s="586"/>
      <c r="AC31" s="586"/>
      <c r="AD31" s="586"/>
      <c r="AE31" s="586"/>
      <c r="AF31" s="586"/>
      <c r="AG31" s="586"/>
      <c r="AH31" s="505"/>
      <c r="AI31" s="585"/>
    </row>
    <row r="32" ht="30" customHeight="1">
      <c r="A32" s="504"/>
      <c r="B32" s="753"/>
      <c r="C32" t="s" s="754">
        <f>IF(LEFT(RIGHT($B$1,2),1)=" ",RIGHT($B$1,1),RIGHT($B$1,2))</f>
        <v>2002</v>
      </c>
      <c r="D32" s="755">
        <f>IF(LEFT(F32,5)="Bonne",D30+1,D31)</f>
        <v>2</v>
      </c>
      <c r="E32" t="s" s="778">
        <f>C32&amp;D32&amp;RIGHT(F32,1)</f>
        <v>2015</v>
      </c>
      <c r="F32" t="s" s="779">
        <v>1769</v>
      </c>
      <c r="G32" t="s" s="780">
        <f>VLOOKUP(E32,'BDD'!$A$2:$N$567,MATCH(G$24,'BDD'!$A$1:$P$1,0),FALSE)</f>
        <v>697</v>
      </c>
      <c r="H32" s="781"/>
      <c r="I32" t="s" s="792">
        <v>263</v>
      </c>
      <c r="J32" s="782"/>
      <c r="K32" s="782"/>
      <c r="L32" s="793"/>
      <c r="M32" s="784">
        <f>IF(N32="Exigences partiellement respectées",1,IF(N32="Exigences respectées",2,0))</f>
        <v>0</v>
      </c>
      <c r="N32" t="s" s="780">
        <f>VLOOKUP(VLOOKUP(E32,'BDD'!$A$2:$P$428,15,FALSE),'Suppl'!$D$64:$E$68,2,FALSE)</f>
        <v>1751</v>
      </c>
      <c r="O32" s="785"/>
      <c r="P32" s="786"/>
      <c r="Q32" s="786"/>
      <c r="R32" s="786"/>
      <c r="S32" s="787">
        <f>IF(N32='Suppl'!$E$65,0,IF(N32='Suppl'!$E$66,1/2/(_xlfn.COUNTIFS($D1:$D100,D32,$N1:$N100,"Exigences"&amp;"*",G1:G100,"&lt;&gt;0")+_xlfn.COUNTIFS($D1:$D100,D32,$N1:$N100,"Non"&amp;"*",G1:G100,"&lt;&gt;0")),IF(N32='Suppl'!$E$67,1/(_xlfn.COUNTIFS($D1:$D100,D32,$N1:$N100,"Exigences"&amp;"*",G1:G100,"&lt;&gt;0")+_xlfn.COUNTIFS($D1:$D100,D32,$N1:$N100,"Non"&amp;"*",G1:G100,"&lt;&gt;0")),0)))</f>
        <v>0</v>
      </c>
      <c r="T32" s="787"/>
      <c r="U32" s="787"/>
      <c r="V32" s="788"/>
      <c r="W32" s="789">
        <f>_xlfn.IFERROR(IF(N32='Suppl'!$E$65,0,IF(N32='Suppl'!$E$66,1/2/(_xlfn.COUNTIFS($N1:$N100,"Exigences"&amp;"*")+_xlfn.COUNTIFS($N1:$N100,"Non"&amp;"*")),IF(N32='Suppl'!$E$67,1/(_xlfn.COUNTIFS($N1:$N100,"Exigences"&amp;"*")+_xlfn.COUNTIFS($N1:$N100,"Non"&amp;"*")),0))),0)</f>
        <v>0</v>
      </c>
      <c r="X32" s="586"/>
      <c r="Y32" s="586"/>
      <c r="Z32" s="586"/>
      <c r="AA32" s="586"/>
      <c r="AB32" s="586"/>
      <c r="AC32" s="586"/>
      <c r="AD32" s="586"/>
      <c r="AE32" s="586"/>
      <c r="AF32" s="586"/>
      <c r="AG32" s="586"/>
      <c r="AH32" s="505"/>
      <c r="AI32" s="585"/>
    </row>
    <row r="33" ht="30" customHeight="1">
      <c r="A33" s="504"/>
      <c r="B33" s="753"/>
      <c r="C33" t="s" s="754">
        <f>IF(LEFT(RIGHT($B$1,2),1)=" ",RIGHT($B$1,1),RIGHT($B$1,2))</f>
        <v>2002</v>
      </c>
      <c r="D33" s="755">
        <f>IF(LEFT(F33,5)="Bonne",D31+1,D32)</f>
        <v>2</v>
      </c>
      <c r="E33" t="s" s="778">
        <f>C33&amp;D33&amp;RIGHT(F33,1)</f>
        <v>2011</v>
      </c>
      <c r="F33" t="s" s="790">
        <v>1837</v>
      </c>
      <c r="G33" t="s" s="791">
        <f>VLOOKUP(E33,'BDD'!$A$2:$N$567,MATCH(G$24,'BDD'!$A$1:$P$1,0),FALSE)</f>
        <v>700</v>
      </c>
      <c r="H33" s="781"/>
      <c r="I33" t="s" s="792">
        <v>263</v>
      </c>
      <c r="J33" s="782"/>
      <c r="K33" s="782"/>
      <c r="L33" s="793"/>
      <c r="M33" s="794">
        <f>IF(N33="Exigences partiellement respectées",1,IF(N33="Exigences respectées",2,0))</f>
        <v>0</v>
      </c>
      <c r="N33" t="s" s="791">
        <f>VLOOKUP(VLOOKUP(E33,'BDD'!$A$2:$P$428,15,FALSE),'Suppl'!$D$64:$E$68,2,FALSE)</f>
        <v>1751</v>
      </c>
      <c r="O33" s="795"/>
      <c r="P33" s="796"/>
      <c r="Q33" s="796"/>
      <c r="R33" s="796"/>
      <c r="S33" s="797">
        <f>IF(N33='Suppl'!$E$65,0,IF(N33='Suppl'!$E$66,1/2/(_xlfn.COUNTIFS($D1:$D100,D33,$N1:$N100,"Exigences"&amp;"*",G1:G100,"&lt;&gt;0")+_xlfn.COUNTIFS($D1:$D100,D33,$N1:$N100,"Non"&amp;"*",G1:G100,"&lt;&gt;0")),IF(N33='Suppl'!$E$67,1/(_xlfn.COUNTIFS($D1:$D100,D33,$N1:$N100,"Exigences"&amp;"*",G1:G100,"&lt;&gt;0")+_xlfn.COUNTIFS($D1:$D100,D33,$N1:$N100,"Non"&amp;"*",G1:G100,"&lt;&gt;0")),0)))</f>
        <v>0</v>
      </c>
      <c r="T33" s="797"/>
      <c r="U33" s="797"/>
      <c r="V33" s="798"/>
      <c r="W33" s="789">
        <f>_xlfn.IFERROR(IF(N33='Suppl'!$E$65,0,IF(N33='Suppl'!$E$66,1/2/(_xlfn.COUNTIFS($N1:$N100,"Exigences"&amp;"*")+_xlfn.COUNTIFS($N1:$N100,"Non"&amp;"*")),IF(N33='Suppl'!$E$67,1/(_xlfn.COUNTIFS($N1:$N100,"Exigences"&amp;"*")+_xlfn.COUNTIFS($N1:$N100,"Non"&amp;"*")),0))),0)</f>
        <v>0</v>
      </c>
      <c r="X33" s="586"/>
      <c r="Y33" s="586"/>
      <c r="Z33" s="586"/>
      <c r="AA33" s="586"/>
      <c r="AB33" s="586"/>
      <c r="AC33" s="586"/>
      <c r="AD33" s="586"/>
      <c r="AE33" s="586"/>
      <c r="AF33" s="586"/>
      <c r="AG33" s="586"/>
      <c r="AH33" s="505"/>
      <c r="AI33" s="585"/>
    </row>
    <row r="34" ht="30" customHeight="1">
      <c r="A34" s="504"/>
      <c r="B34" s="753"/>
      <c r="C34" t="s" s="754">
        <f>IF(LEFT(RIGHT($B$1,2),1)=" ",RIGHT($B$1,1),RIGHT($B$1,2))</f>
        <v>2002</v>
      </c>
      <c r="D34" s="755">
        <f>IF(LEFT(F34,5)="Bonne",D32+1,D33)</f>
        <v>2</v>
      </c>
      <c r="E34" t="s" s="778">
        <f>C34&amp;D34&amp;RIGHT(F34,1)</f>
        <v>2016</v>
      </c>
      <c r="F34" t="s" s="779">
        <v>1774</v>
      </c>
      <c r="G34" t="s" s="780">
        <f>VLOOKUP(E34,'BDD'!$A$2:$N$567,MATCH(G$24,'BDD'!$A$1:$P$1,0),FALSE)</f>
        <v>702</v>
      </c>
      <c r="H34" s="781"/>
      <c r="I34" s="782"/>
      <c r="J34" t="s" s="792">
        <v>271</v>
      </c>
      <c r="K34" s="782"/>
      <c r="L34" s="793"/>
      <c r="M34" s="800">
        <f>IF(N34="Exigences partiellement respectées",1,IF(N34="Exigences respectées",2,0))</f>
        <v>0</v>
      </c>
      <c r="N34" t="s" s="780">
        <f>VLOOKUP(VLOOKUP(E34,'BDD'!$A$2:$P$428,15,FALSE),'Suppl'!$D$64:$E$68,2,FALSE)</f>
        <v>1751</v>
      </c>
      <c r="O34" s="801"/>
      <c r="P34" s="802"/>
      <c r="Q34" s="802"/>
      <c r="R34" s="802"/>
      <c r="S34" s="803">
        <f>IF(N34='Suppl'!$E$65,0,IF(N34='Suppl'!$E$66,1/2/(_xlfn.COUNTIFS($D1:$D100,D34,$N1:$N100,"Exigences"&amp;"*",G1:G100,"&lt;&gt;0")+_xlfn.COUNTIFS($D1:$D100,D34,$N1:$N100,"Non"&amp;"*",G1:G100,"&lt;&gt;0")),IF(N34='Suppl'!$E$67,1/(_xlfn.COUNTIFS($D1:$D100,D34,$N1:$N100,"Exigences"&amp;"*",G1:G100,"&lt;&gt;0")+_xlfn.COUNTIFS($D1:$D100,D34,$N1:$N100,"Non"&amp;"*",G1:G100,"&lt;&gt;0")),0)))</f>
        <v>0</v>
      </c>
      <c r="T34" s="803"/>
      <c r="U34" s="803"/>
      <c r="V34" s="804"/>
      <c r="W34" s="789">
        <f>_xlfn.IFERROR(IF(N34='Suppl'!$E$65,0,IF(N34='Suppl'!$E$66,1/2/(_xlfn.COUNTIFS($N1:$N100,"Exigences"&amp;"*")+_xlfn.COUNTIFS($N1:$N100,"Non"&amp;"*")),IF(N34='Suppl'!$E$67,1/(_xlfn.COUNTIFS($N1:$N100,"Exigences"&amp;"*")+_xlfn.COUNTIFS($N1:$N100,"Non"&amp;"*")),0))),0)</f>
        <v>0</v>
      </c>
      <c r="X34" s="586"/>
      <c r="Y34" s="586"/>
      <c r="Z34" s="586"/>
      <c r="AA34" s="586"/>
      <c r="AB34" s="586"/>
      <c r="AC34" s="586"/>
      <c r="AD34" s="586"/>
      <c r="AE34" s="586"/>
      <c r="AF34" s="586"/>
      <c r="AG34" s="586"/>
      <c r="AH34" s="505"/>
      <c r="AI34" s="585"/>
    </row>
    <row r="35" ht="30" customHeight="1">
      <c r="A35" s="504"/>
      <c r="B35" s="753"/>
      <c r="C35" t="s" s="754">
        <f>IF(LEFT(RIGHT($B$1,2),1)=" ",RIGHT($B$1,1),RIGHT($B$1,2))</f>
        <v>2002</v>
      </c>
      <c r="D35" s="755">
        <f>IF(LEFT(F35,5)="Bonne",D33+1,D34)</f>
        <v>3</v>
      </c>
      <c r="E35" t="s" s="778">
        <f>C35&amp;D35&amp;RIGHT(F35,1)</f>
        <v>2021</v>
      </c>
      <c r="F35" t="s" s="757">
        <v>1797</v>
      </c>
      <c r="G35" t="s" s="758">
        <f>VLOOKUP(E37,'BDD'!$A$2:$N$567,6,FALSE)</f>
        <v>708</v>
      </c>
      <c r="H35" s="759"/>
      <c r="I35" s="760"/>
      <c r="J35" s="760"/>
      <c r="K35" s="760"/>
      <c r="L35" s="761"/>
      <c r="M35" s="762"/>
      <c r="N35" s="763"/>
      <c r="O35" s="764">
        <v>0</v>
      </c>
      <c r="P35" s="764"/>
      <c r="Q35" s="764"/>
      <c r="R35" s="764"/>
      <c r="S35" s="765">
        <f>_xlfn.SUMIFS(S1:S100,$D1:$D100,D35,$N1:$N100,"Exigences"&amp;"*")</f>
      </c>
      <c r="T35" s="765"/>
      <c r="U35" s="765"/>
      <c r="V35" s="766"/>
      <c r="W35" s="789">
        <f>_xlfn.IFERROR(IF(N35='Suppl'!$E$65,0,IF(N35='Suppl'!$E$66,1/2/(_xlfn.COUNTIFS($N1:$N100,"Exigences"&amp;"*")+_xlfn.COUNTIFS($N1:$N100,"Non"&amp;"*")),IF(N35='Suppl'!$E$67,1/(_xlfn.COUNTIFS($N1:$N100,"Exigences"&amp;"*")+_xlfn.COUNTIFS($N1:$N100,"Non"&amp;"*")),0))),0)</f>
        <v>0</v>
      </c>
      <c r="X35" s="586"/>
      <c r="Y35" s="586"/>
      <c r="Z35" s="586"/>
      <c r="AA35" s="586"/>
      <c r="AB35" s="586"/>
      <c r="AC35" s="586"/>
      <c r="AD35" s="586"/>
      <c r="AE35" s="586"/>
      <c r="AF35" s="586"/>
      <c r="AG35" s="586"/>
      <c r="AH35" s="505"/>
      <c r="AI35" s="585"/>
    </row>
    <row r="36" ht="30" customHeight="1">
      <c r="A36" s="504"/>
      <c r="B36" s="753"/>
      <c r="C36" t="s" s="754">
        <f>IF(LEFT(RIGHT($B$1,2),1)=" ",RIGHT($B$1,1),RIGHT($B$1,2))</f>
        <v>2002</v>
      </c>
      <c r="D36" s="755">
        <f>IF(LEFT(F36,5)="Bonne",D34+1,D35)</f>
        <v>3</v>
      </c>
      <c r="E36" t="s" s="778">
        <f>C36&amp;D36&amp;RIGHT(F36,1)</f>
        <v>2023</v>
      </c>
      <c r="F36" t="s" s="769">
        <v>1835</v>
      </c>
      <c r="G36" t="s" s="770">
        <f>VLOOKUP(E38,'BDD'!$A$2:$N$567,7,FALSE)</f>
        <v>2043</v>
      </c>
      <c r="H36" s="771"/>
      <c r="I36" s="771"/>
      <c r="J36" s="771"/>
      <c r="K36" s="771"/>
      <c r="L36" s="772"/>
      <c r="M36" s="773"/>
      <c r="N36" s="774"/>
      <c r="O36" s="775"/>
      <c r="P36" s="775"/>
      <c r="Q36" s="775"/>
      <c r="R36" s="775"/>
      <c r="S36" s="776"/>
      <c r="T36" s="776"/>
      <c r="U36" s="776"/>
      <c r="V36" s="777"/>
      <c r="W36" s="789">
        <f>_xlfn.IFERROR(IF(N36='Suppl'!$E$65,0,IF(N36='Suppl'!$E$66,1/2/(_xlfn.COUNTIFS($N1:$N100,"Exigences"&amp;"*")+_xlfn.COUNTIFS($N1:$N100,"Non"&amp;"*")),IF(N36='Suppl'!$E$67,1/(_xlfn.COUNTIFS($N1:$N100,"Exigences"&amp;"*")+_xlfn.COUNTIFS($N1:$N100,"Non"&amp;"*")),0))),0)</f>
        <v>0</v>
      </c>
      <c r="X36" s="586"/>
      <c r="Y36" s="586"/>
      <c r="Z36" s="586"/>
      <c r="AA36" s="586"/>
      <c r="AB36" s="586"/>
      <c r="AC36" s="586"/>
      <c r="AD36" s="586"/>
      <c r="AE36" s="586"/>
      <c r="AF36" s="586"/>
      <c r="AG36" s="586"/>
      <c r="AH36" s="505"/>
      <c r="AI36" s="585"/>
    </row>
    <row r="37" ht="30" customHeight="1">
      <c r="A37" s="504"/>
      <c r="B37" s="753"/>
      <c r="C37" t="s" s="754">
        <f>IF(LEFT(RIGHT($B$1,2),1)=" ",RIGHT($B$1,1),RIGHT($B$1,2))</f>
        <v>2002</v>
      </c>
      <c r="D37" s="755">
        <f>IF(LEFT(F37,5)="Bonne",D35+1,D36)</f>
        <v>3</v>
      </c>
      <c r="E37" t="s" s="778">
        <f>C37&amp;D37&amp;RIGHT(F37,1)</f>
        <v>2023</v>
      </c>
      <c r="F37" t="s" s="779">
        <v>1769</v>
      </c>
      <c r="G37" t="s" s="780">
        <f>VLOOKUP(E37,'BDD'!$A$2:$N$567,MATCH(G$24,'BDD'!$A$1:$P$1,0),FALSE)</f>
        <v>710</v>
      </c>
      <c r="H37" s="781"/>
      <c r="I37" s="782"/>
      <c r="J37" s="782"/>
      <c r="K37" t="s" s="792">
        <v>291</v>
      </c>
      <c r="L37" s="793"/>
      <c r="M37" s="784">
        <f>IF(N37="Exigences partiellement respectées",1,IF(N37="Exigences respectées",2,0))</f>
        <v>0</v>
      </c>
      <c r="N37" t="s" s="780">
        <f>VLOOKUP(VLOOKUP(E37,'BDD'!$A$2:$P$428,15,FALSE),'Suppl'!$D$64:$E$68,2,FALSE)</f>
        <v>1751</v>
      </c>
      <c r="O37" s="785"/>
      <c r="P37" s="786"/>
      <c r="Q37" s="786"/>
      <c r="R37" s="786"/>
      <c r="S37" s="787">
        <f>IF(N37='Suppl'!$E$65,0,IF(N37='Suppl'!$E$66,1/2/(_xlfn.COUNTIFS($D1:$D100,D37,$N1:$N100,"Exigences"&amp;"*",G1:G100,"&lt;&gt;0")+_xlfn.COUNTIFS($D1:$D100,D37,$N1:$N100,"Non"&amp;"*",G1:G100,"&lt;&gt;0")),IF(N37='Suppl'!$E$67,1/(_xlfn.COUNTIFS($D1:$D100,D37,$N1:$N100,"Exigences"&amp;"*",G1:G100,"&lt;&gt;0")+_xlfn.COUNTIFS($D1:$D100,D37,$N1:$N100,"Non"&amp;"*",G1:G100,"&lt;&gt;0")),0)))</f>
        <v>0</v>
      </c>
      <c r="T37" s="787"/>
      <c r="U37" s="787"/>
      <c r="V37" s="788"/>
      <c r="W37" s="789">
        <f>_xlfn.IFERROR(IF(N37='Suppl'!$E$65,0,IF(N37='Suppl'!$E$66,1/2/(_xlfn.COUNTIFS($N1:$N100,"Exigences"&amp;"*")+_xlfn.COUNTIFS($N1:$N100,"Non"&amp;"*")),IF(N37='Suppl'!$E$67,1/(_xlfn.COUNTIFS($N1:$N100,"Exigences"&amp;"*")+_xlfn.COUNTIFS($N1:$N100,"Non"&amp;"*")),0))),0)</f>
        <v>0</v>
      </c>
      <c r="X37" s="586"/>
      <c r="Y37" s="586"/>
      <c r="Z37" s="586"/>
      <c r="AA37" s="586"/>
      <c r="AB37" s="586"/>
      <c r="AC37" s="586"/>
      <c r="AD37" s="586"/>
      <c r="AE37" s="586"/>
      <c r="AF37" s="586"/>
      <c r="AG37" s="586"/>
      <c r="AH37" s="505"/>
      <c r="AI37" s="585"/>
    </row>
    <row r="38" ht="30" customHeight="1">
      <c r="A38" s="504"/>
      <c r="B38" s="753"/>
      <c r="C38" t="s" s="754">
        <f>IF(LEFT(RIGHT($B$1,2),1)=" ",RIGHT($B$1,1),RIGHT($B$1,2))</f>
        <v>2002</v>
      </c>
      <c r="D38" s="755">
        <f>IF(LEFT(F38,5)="Bonne",D36+1,D37)</f>
        <v>3</v>
      </c>
      <c r="E38" t="s" s="778">
        <f>C38&amp;D38&amp;RIGHT(F38,1)</f>
        <v>2024</v>
      </c>
      <c r="F38" t="s" s="790">
        <v>1837</v>
      </c>
      <c r="G38" t="s" s="791">
        <f>VLOOKUP(E38,'BDD'!$A$2:$N$567,MATCH(G$24,'BDD'!$A$1:$P$1,0),FALSE)</f>
        <v>713</v>
      </c>
      <c r="H38" s="781"/>
      <c r="I38" s="782"/>
      <c r="J38" t="s" s="792">
        <v>271</v>
      </c>
      <c r="K38" s="782"/>
      <c r="L38" s="793"/>
      <c r="M38" s="794">
        <f>IF(N38="Exigences partiellement respectées",1,IF(N38="Exigences respectées",2,0))</f>
        <v>0</v>
      </c>
      <c r="N38" t="s" s="791">
        <f>VLOOKUP(VLOOKUP(E38,'BDD'!$A$2:$P$428,15,FALSE),'Suppl'!$D$64:$E$68,2,FALSE)</f>
        <v>1751</v>
      </c>
      <c r="O38" s="795"/>
      <c r="P38" s="796"/>
      <c r="Q38" s="796"/>
      <c r="R38" s="796"/>
      <c r="S38" s="797">
        <f>IF(N38='Suppl'!$E$65,0,IF(N38='Suppl'!$E$66,1/2/(_xlfn.COUNTIFS($D1:$D100,D38,$N1:$N100,"Exigences"&amp;"*",G1:G100,"&lt;&gt;0")+_xlfn.COUNTIFS($D1:$D100,D38,$N1:$N100,"Non"&amp;"*",G1:G100,"&lt;&gt;0")),IF(N38='Suppl'!$E$67,1/(_xlfn.COUNTIFS($D1:$D100,D38,$N1:$N100,"Exigences"&amp;"*",G1:G100,"&lt;&gt;0")+_xlfn.COUNTIFS($D1:$D100,D38,$N1:$N100,"Non"&amp;"*",G1:G100,"&lt;&gt;0")),0)))</f>
        <v>0</v>
      </c>
      <c r="T38" s="797"/>
      <c r="U38" s="797"/>
      <c r="V38" s="798"/>
      <c r="W38" s="789">
        <f>_xlfn.IFERROR(IF(N38='Suppl'!$E$65,0,IF(N38='Suppl'!$E$66,1/2/(_xlfn.COUNTIFS($N1:$N100,"Exigences"&amp;"*")+_xlfn.COUNTIFS($N1:$N100,"Non"&amp;"*")),IF(N38='Suppl'!$E$67,1/(_xlfn.COUNTIFS($N1:$N100,"Exigences"&amp;"*")+_xlfn.COUNTIFS($N1:$N100,"Non"&amp;"*")),0))),0)</f>
        <v>0</v>
      </c>
      <c r="X38" s="586"/>
      <c r="Y38" s="586"/>
      <c r="Z38" s="586"/>
      <c r="AA38" s="586"/>
      <c r="AB38" s="586"/>
      <c r="AC38" s="586"/>
      <c r="AD38" s="586"/>
      <c r="AE38" s="586"/>
      <c r="AF38" s="586"/>
      <c r="AG38" s="586"/>
      <c r="AH38" s="505"/>
      <c r="AI38" s="585"/>
    </row>
    <row r="39" ht="30" customHeight="1">
      <c r="A39" s="504"/>
      <c r="B39" s="753"/>
      <c r="C39" t="s" s="754">
        <f>IF(LEFT(RIGHT($B$1,2),1)=" ",RIGHT($B$1,1),RIGHT($B$1,2))</f>
        <v>2002</v>
      </c>
      <c r="D39" s="755">
        <f>IF(LEFT(F39,5)="Bonne",D37+1,D38)</f>
        <v>3</v>
      </c>
      <c r="E39" t="s" s="778">
        <f>C39&amp;D39&amp;RIGHT(F39,1)</f>
        <v>2021</v>
      </c>
      <c r="F39" t="s" s="779">
        <v>1774</v>
      </c>
      <c r="G39" t="s" s="780">
        <f>VLOOKUP(E39,'BDD'!$A$2:$N$567,MATCH(G$24,'BDD'!$A$1:$P$1,0),FALSE)</f>
        <v>715</v>
      </c>
      <c r="H39" s="781"/>
      <c r="I39" s="782"/>
      <c r="J39" t="s" s="792">
        <v>271</v>
      </c>
      <c r="K39" s="782"/>
      <c r="L39" s="793"/>
      <c r="M39" s="794">
        <f>IF(N39="Exigences partiellement respectées",1,IF(N39="Exigences respectées",2,0))</f>
        <v>0</v>
      </c>
      <c r="N39" t="s" s="780">
        <f>VLOOKUP(VLOOKUP(E39,'BDD'!$A$2:$P$428,15,FALSE),'Suppl'!$D$64:$E$68,2,FALSE)</f>
        <v>1751</v>
      </c>
      <c r="O39" s="795"/>
      <c r="P39" s="796"/>
      <c r="Q39" s="796"/>
      <c r="R39" s="796"/>
      <c r="S39" s="797">
        <f>IF(N39='Suppl'!$E$65,0,IF(N39='Suppl'!$E$66,1/2/(_xlfn.COUNTIFS($D1:$D100,D39,$N1:$N100,"Exigences"&amp;"*",G1:G100,"&lt;&gt;0")+_xlfn.COUNTIFS($D1:$D100,D39,$N1:$N100,"Non"&amp;"*",G1:G100,"&lt;&gt;0")),IF(N39='Suppl'!$E$67,1/(_xlfn.COUNTIFS($D1:$D100,D39,$N1:$N100,"Exigences"&amp;"*",G1:G100,"&lt;&gt;0")+_xlfn.COUNTIFS($D1:$D100,D39,$N1:$N100,"Non"&amp;"*",G1:G100,"&lt;&gt;0")),0)))</f>
        <v>0</v>
      </c>
      <c r="T39" s="797"/>
      <c r="U39" s="797"/>
      <c r="V39" s="798"/>
      <c r="W39" s="789">
        <f>_xlfn.IFERROR(IF(N39='Suppl'!$E$65,0,IF(N39='Suppl'!$E$66,1/2/(_xlfn.COUNTIFS($N1:$N100,"Exigences"&amp;"*")+_xlfn.COUNTIFS($N1:$N100,"Non"&amp;"*")),IF(N39='Suppl'!$E$67,1/(_xlfn.COUNTIFS($N1:$N100,"Exigences"&amp;"*")+_xlfn.COUNTIFS($N1:$N100,"Non"&amp;"*")),0))),0)</f>
        <v>0</v>
      </c>
      <c r="X39" s="586"/>
      <c r="Y39" s="586"/>
      <c r="Z39" s="586"/>
      <c r="AA39" s="586"/>
      <c r="AB39" s="586"/>
      <c r="AC39" s="586"/>
      <c r="AD39" s="586"/>
      <c r="AE39" s="586"/>
      <c r="AF39" s="586"/>
      <c r="AG39" s="586"/>
      <c r="AH39" s="505"/>
      <c r="AI39" s="585"/>
    </row>
    <row r="40" ht="30" customHeight="1">
      <c r="A40" s="504"/>
      <c r="B40" s="753"/>
      <c r="C40" t="s" s="754">
        <f>IF(LEFT(RIGHT($B$1,2),1)=" ",RIGHT($B$1,1),RIGHT($B$1,2))</f>
        <v>2002</v>
      </c>
      <c r="D40" s="755">
        <f>IF(LEFT(F40,5)="Bonne",D38+1,D39)</f>
        <v>3</v>
      </c>
      <c r="E40" t="s" s="778">
        <f>C40&amp;D40&amp;RIGHT(F40,1)</f>
        <v>2025</v>
      </c>
      <c r="F40" t="s" s="790">
        <v>1776</v>
      </c>
      <c r="G40" t="s" s="791">
        <f>VLOOKUP(E40,'BDD'!$A$2:$N$567,MATCH(G$24,'BDD'!$A$1:$P$1,0),FALSE)</f>
        <v>718</v>
      </c>
      <c r="H40" s="781"/>
      <c r="I40" s="782"/>
      <c r="J40" t="s" s="792">
        <v>271</v>
      </c>
      <c r="K40" s="782"/>
      <c r="L40" s="793"/>
      <c r="M40" s="794">
        <f>IF(N40="Exigences partiellement respectées",1,IF(N40="Exigences respectées",2,0))</f>
        <v>0</v>
      </c>
      <c r="N40" t="s" s="791">
        <f>VLOOKUP(VLOOKUP(E40,'BDD'!$A$2:$P$428,15,FALSE),'Suppl'!$D$64:$E$68,2,FALSE)</f>
        <v>1751</v>
      </c>
      <c r="O40" s="795"/>
      <c r="P40" s="796"/>
      <c r="Q40" s="796"/>
      <c r="R40" s="796"/>
      <c r="S40" s="797">
        <f>IF(N40='Suppl'!$E$65,0,IF(N40='Suppl'!$E$66,1/2/(_xlfn.COUNTIFS($D1:$D100,D40,$N1:$N100,"Exigences"&amp;"*",G1:G100,"&lt;&gt;0")+_xlfn.COUNTIFS($D1:$D100,D40,$N1:$N100,"Non"&amp;"*",G1:G100,"&lt;&gt;0")),IF(N40='Suppl'!$E$67,1/(_xlfn.COUNTIFS($D1:$D100,D40,$N1:$N100,"Exigences"&amp;"*",G1:G100,"&lt;&gt;0")+_xlfn.COUNTIFS($D1:$D100,D40,$N1:$N100,"Non"&amp;"*",G1:G100,"&lt;&gt;0")),0)))</f>
        <v>0</v>
      </c>
      <c r="T40" s="797"/>
      <c r="U40" s="797"/>
      <c r="V40" s="798"/>
      <c r="W40" s="789">
        <f>_xlfn.IFERROR(IF(N40='Suppl'!$E$65,0,IF(N40='Suppl'!$E$66,1/2/(_xlfn.COUNTIFS($N1:$N100,"Exigences"&amp;"*")+_xlfn.COUNTIFS($N1:$N100,"Non"&amp;"*")),IF(N40='Suppl'!$E$67,1/(_xlfn.COUNTIFS($N1:$N100,"Exigences"&amp;"*")+_xlfn.COUNTIFS($N1:$N100,"Non"&amp;"*")),0))),0)</f>
        <v>0</v>
      </c>
      <c r="X40" s="586"/>
      <c r="Y40" s="586"/>
      <c r="Z40" s="586"/>
      <c r="AA40" s="586"/>
      <c r="AB40" s="586"/>
      <c r="AC40" s="586"/>
      <c r="AD40" s="586"/>
      <c r="AE40" s="586"/>
      <c r="AF40" s="586"/>
      <c r="AG40" s="586"/>
      <c r="AH40" s="505"/>
      <c r="AI40" s="585"/>
    </row>
    <row r="41" ht="30" customHeight="1">
      <c r="A41" s="504"/>
      <c r="B41" s="753"/>
      <c r="C41" t="s" s="754">
        <f>IF(LEFT(RIGHT($B$1,2),1)=" ",RIGHT($B$1,1),RIGHT($B$1,2))</f>
        <v>2002</v>
      </c>
      <c r="D41" s="755">
        <f>IF(LEFT(F41,5)="Bonne",D39+1,D40)</f>
        <v>3</v>
      </c>
      <c r="E41" t="s" s="778">
        <f>C41&amp;D41&amp;RIGHT(F41,1)</f>
        <v>2026</v>
      </c>
      <c r="F41" t="s" s="779">
        <v>1778</v>
      </c>
      <c r="G41" t="s" s="780">
        <f>VLOOKUP(E41,'BDD'!$A$2:$N$567,MATCH(G$24,'BDD'!$A$1:$P$1,0),FALSE)</f>
        <v>720</v>
      </c>
      <c r="H41" s="781"/>
      <c r="I41" s="782"/>
      <c r="J41" t="s" s="792">
        <v>271</v>
      </c>
      <c r="K41" s="782"/>
      <c r="L41" s="793"/>
      <c r="M41" s="794">
        <f>IF(N41="Exigences partiellement respectées",1,IF(N41="Exigences respectées",2,0))</f>
        <v>0</v>
      </c>
      <c r="N41" t="s" s="780">
        <f>VLOOKUP(VLOOKUP(E41,'BDD'!$A$2:$P$428,15,FALSE),'Suppl'!$D$64:$E$68,2,FALSE)</f>
        <v>1751</v>
      </c>
      <c r="O41" s="795"/>
      <c r="P41" s="796"/>
      <c r="Q41" s="796"/>
      <c r="R41" s="796"/>
      <c r="S41" s="797">
        <f>IF(N41='Suppl'!$E$65,0,IF(N41='Suppl'!$E$66,1/2/(_xlfn.COUNTIFS($D1:$D100,D41,$N1:$N100,"Exigences"&amp;"*",G1:G100,"&lt;&gt;0")+_xlfn.COUNTIFS($D1:$D100,D41,$N1:$N100,"Non"&amp;"*",G1:G100,"&lt;&gt;0")),IF(N41='Suppl'!$E$67,1/(_xlfn.COUNTIFS($D1:$D100,D41,$N1:$N100,"Exigences"&amp;"*",G1:G100,"&lt;&gt;0")+_xlfn.COUNTIFS($D1:$D100,D41,$N1:$N100,"Non"&amp;"*",G1:G100,"&lt;&gt;0")),0)))</f>
        <v>0</v>
      </c>
      <c r="T41" s="797"/>
      <c r="U41" s="797"/>
      <c r="V41" s="798"/>
      <c r="W41" s="789">
        <f>_xlfn.IFERROR(IF(N41='Suppl'!$E$65,0,IF(N41='Suppl'!$E$66,1/2/(_xlfn.COUNTIFS($N1:$N100,"Exigences"&amp;"*")+_xlfn.COUNTIFS($N1:$N100,"Non"&amp;"*")),IF(N41='Suppl'!$E$67,1/(_xlfn.COUNTIFS($N1:$N100,"Exigences"&amp;"*")+_xlfn.COUNTIFS($N1:$N100,"Non"&amp;"*")),0))),0)</f>
        <v>0</v>
      </c>
      <c r="X41" s="586"/>
      <c r="Y41" s="586"/>
      <c r="Z41" s="586"/>
      <c r="AA41" s="586"/>
      <c r="AB41" s="586"/>
      <c r="AC41" s="586"/>
      <c r="AD41" s="586"/>
      <c r="AE41" s="586"/>
      <c r="AF41" s="586"/>
      <c r="AG41" s="586"/>
      <c r="AH41" s="505"/>
      <c r="AI41" s="585"/>
    </row>
    <row r="42" ht="43.8" customHeight="1">
      <c r="A42" s="504"/>
      <c r="B42" s="753"/>
      <c r="C42" t="s" s="754">
        <f>IF(LEFT(RIGHT($B$1,2),1)=" ",RIGHT($B$1,1),RIGHT($B$1,2))</f>
        <v>2002</v>
      </c>
      <c r="D42" s="755">
        <f>IF(LEFT(F42,5)="Bonne",D40+1,D41)</f>
        <v>3</v>
      </c>
      <c r="E42" t="s" s="778">
        <f>C42&amp;D42&amp;RIGHT(F42,1)</f>
        <v>2027</v>
      </c>
      <c r="F42" t="s" s="790">
        <v>1780</v>
      </c>
      <c r="G42" t="s" s="791">
        <f>VLOOKUP(E42,'BDD'!$A$2:$N$567,MATCH(G$24,'BDD'!$A$1:$P$1,0),FALSE)</f>
        <v>723</v>
      </c>
      <c r="H42" s="781"/>
      <c r="I42" t="s" s="792">
        <v>263</v>
      </c>
      <c r="J42" s="782"/>
      <c r="K42" s="782"/>
      <c r="L42" s="793"/>
      <c r="M42" s="794">
        <f>IF(N42="Exigences partiellement respectées",1,IF(N42="Exigences respectées",2,0))</f>
        <v>0</v>
      </c>
      <c r="N42" t="s" s="791">
        <f>VLOOKUP(VLOOKUP(E42,'BDD'!$A$2:$P$428,15,FALSE),'Suppl'!$D$64:$E$68,2,FALSE)</f>
        <v>1751</v>
      </c>
      <c r="O42" s="795"/>
      <c r="P42" s="796"/>
      <c r="Q42" s="796"/>
      <c r="R42" s="796"/>
      <c r="S42" s="797">
        <f>IF(N42='Suppl'!$E$65,0,IF(N42='Suppl'!$E$66,1/2/(_xlfn.COUNTIFS($D1:$D100,D42,$N1:$N100,"Exigences"&amp;"*",G1:G100,"&lt;&gt;0")+_xlfn.COUNTIFS($D1:$D100,D42,$N1:$N100,"Non"&amp;"*",G1:G100,"&lt;&gt;0")),IF(N42='Suppl'!$E$67,1/(_xlfn.COUNTIFS($D1:$D100,D42,$N1:$N100,"Exigences"&amp;"*",G1:G100,"&lt;&gt;0")+_xlfn.COUNTIFS($D1:$D100,D42,$N1:$N100,"Non"&amp;"*",G1:G100,"&lt;&gt;0")),0)))</f>
        <v>0</v>
      </c>
      <c r="T42" s="797"/>
      <c r="U42" s="797"/>
      <c r="V42" s="798"/>
      <c r="W42" s="789">
        <f>_xlfn.IFERROR(IF(N42='Suppl'!$E$65,0,IF(N42='Suppl'!$E$66,1/2/(_xlfn.COUNTIFS($N1:$N100,"Exigences"&amp;"*")+_xlfn.COUNTIFS($N1:$N100,"Non"&amp;"*")),IF(N42='Suppl'!$E$67,1/(_xlfn.COUNTIFS($N1:$N100,"Exigences"&amp;"*")+_xlfn.COUNTIFS($N1:$N100,"Non"&amp;"*")),0))),0)</f>
        <v>0</v>
      </c>
      <c r="X42" s="586"/>
      <c r="Y42" s="586"/>
      <c r="Z42" s="586"/>
      <c r="AA42" s="586"/>
      <c r="AB42" s="586"/>
      <c r="AC42" s="586"/>
      <c r="AD42" s="586"/>
      <c r="AE42" s="586"/>
      <c r="AF42" s="586"/>
      <c r="AG42" s="586"/>
      <c r="AH42" s="505"/>
      <c r="AI42" s="585"/>
    </row>
    <row r="43" ht="30" customHeight="1">
      <c r="A43" s="504"/>
      <c r="B43" s="753"/>
      <c r="C43" t="s" s="754">
        <f>IF(LEFT(RIGHT($B$1,2),1)=" ",RIGHT($B$1,1),RIGHT($B$1,2))</f>
        <v>2002</v>
      </c>
      <c r="D43" s="755">
        <f>IF(LEFT(F43,5)="Bonne",D41+1,D42)</f>
        <v>3</v>
      </c>
      <c r="E43" t="s" s="778">
        <f>C43&amp;D43&amp;RIGHT(F43,1)</f>
        <v>2028</v>
      </c>
      <c r="F43" t="s" s="779">
        <v>1782</v>
      </c>
      <c r="G43" t="s" s="780">
        <f>VLOOKUP(E43,'BDD'!$A$2:$N$567,MATCH(G$24,'BDD'!$A$1:$P$1,0),FALSE)</f>
        <v>725</v>
      </c>
      <c r="H43" s="781"/>
      <c r="I43" s="782"/>
      <c r="J43" s="782"/>
      <c r="K43" s="782"/>
      <c r="L43" t="s" s="783">
        <v>256</v>
      </c>
      <c r="M43" s="800">
        <f>IF(N43="Exigences partiellement respectées",1,IF(N43="Exigences respectées",2,0))</f>
        <v>0</v>
      </c>
      <c r="N43" t="s" s="780">
        <f>VLOOKUP(VLOOKUP(E43,'BDD'!$A$2:$P$428,15,FALSE),'Suppl'!$D$64:$E$68,2,FALSE)</f>
        <v>1751</v>
      </c>
      <c r="O43" s="801"/>
      <c r="P43" s="802"/>
      <c r="Q43" s="802"/>
      <c r="R43" s="802"/>
      <c r="S43" s="803">
        <f>IF(N43='Suppl'!$E$65,0,IF(N43='Suppl'!$E$66,1/2/(_xlfn.COUNTIFS($D1:$D100,D43,$N1:$N100,"Exigences"&amp;"*",G1:G100,"&lt;&gt;0")+_xlfn.COUNTIFS($D1:$D100,D43,$N1:$N100,"Non"&amp;"*",G1:G100,"&lt;&gt;0")),IF(N43='Suppl'!$E$67,1/(_xlfn.COUNTIFS($D1:$D100,D43,$N1:$N100,"Exigences"&amp;"*",G1:G100,"&lt;&gt;0")+_xlfn.COUNTIFS($D1:$D100,D43,$N1:$N100,"Non"&amp;"*",G1:G100,"&lt;&gt;0")),0)))</f>
        <v>0</v>
      </c>
      <c r="T43" s="803"/>
      <c r="U43" s="803"/>
      <c r="V43" s="804"/>
      <c r="W43" s="789">
        <f>_xlfn.IFERROR(IF(N43='Suppl'!$E$65,0,IF(N43='Suppl'!$E$66,1/2/(_xlfn.COUNTIFS($N1:$N100,"Exigences"&amp;"*")+_xlfn.COUNTIFS($N1:$N100,"Non"&amp;"*")),IF(N43='Suppl'!$E$67,1/(_xlfn.COUNTIFS($N1:$N100,"Exigences"&amp;"*")+_xlfn.COUNTIFS($N1:$N100,"Non"&amp;"*")),0))),0)</f>
        <v>0</v>
      </c>
      <c r="X43" s="586"/>
      <c r="Y43" s="586"/>
      <c r="Z43" s="586"/>
      <c r="AA43" s="586"/>
      <c r="AB43" s="586"/>
      <c r="AC43" s="586"/>
      <c r="AD43" s="586"/>
      <c r="AE43" s="586"/>
      <c r="AF43" s="586"/>
      <c r="AG43" s="586"/>
      <c r="AH43" s="505"/>
      <c r="AI43" s="585"/>
    </row>
    <row r="44" ht="30" customHeight="1">
      <c r="A44" s="504"/>
      <c r="B44" s="753"/>
      <c r="C44" t="s" s="754">
        <f>IF(LEFT(RIGHT($B$1,2),1)=" ",RIGHT($B$1,1),RIGHT($B$1,2))</f>
        <v>2002</v>
      </c>
      <c r="D44" s="755">
        <f>IF(LEFT(F44,5)="Bonne",D42+1,D43)</f>
        <v>4</v>
      </c>
      <c r="E44" t="s" s="778">
        <f>C44&amp;D44&amp;RIGHT(F44,1)</f>
        <v>2029</v>
      </c>
      <c r="F44" t="s" s="757">
        <v>1806</v>
      </c>
      <c r="G44" t="s" s="758">
        <f>VLOOKUP(E46,'BDD'!$A$2:$N$567,6,FALSE)</f>
        <v>726</v>
      </c>
      <c r="H44" s="759"/>
      <c r="I44" s="760"/>
      <c r="J44" s="760"/>
      <c r="K44" s="760"/>
      <c r="L44" s="761"/>
      <c r="M44" s="762"/>
      <c r="N44" s="763"/>
      <c r="O44" s="764">
        <v>0</v>
      </c>
      <c r="P44" s="764"/>
      <c r="Q44" s="764"/>
      <c r="R44" s="764"/>
      <c r="S44" s="765">
        <f>_xlfn.SUMIFS(S1:S100,$D1:$D100,D44,$N1:$N100,"Exigences"&amp;"*")</f>
      </c>
      <c r="T44" s="765"/>
      <c r="U44" s="765"/>
      <c r="V44" s="766"/>
      <c r="W44" s="789">
        <f>_xlfn.IFERROR(IF(N44='Suppl'!$E$65,0,IF(N44='Suppl'!$E$66,1/2/(_xlfn.COUNTIFS($N1:$N100,"Exigences"&amp;"*")+_xlfn.COUNTIFS($N1:$N100,"Non"&amp;"*")),IF(N44='Suppl'!$E$67,1/(_xlfn.COUNTIFS($N1:$N100,"Exigences"&amp;"*")+_xlfn.COUNTIFS($N1:$N100,"Non"&amp;"*")),0))),0)</f>
        <v>0</v>
      </c>
      <c r="X44" s="586"/>
      <c r="Y44" s="586"/>
      <c r="Z44" s="586"/>
      <c r="AA44" s="586"/>
      <c r="AB44" s="586"/>
      <c r="AC44" s="586"/>
      <c r="AD44" s="586"/>
      <c r="AE44" s="586"/>
      <c r="AF44" s="586"/>
      <c r="AG44" s="586"/>
      <c r="AH44" s="505"/>
      <c r="AI44" s="585"/>
    </row>
    <row r="45" ht="30" customHeight="1">
      <c r="A45" s="504"/>
      <c r="B45" s="753"/>
      <c r="C45" t="s" s="754">
        <f>IF(LEFT(RIGHT($B$1,2),1)=" ",RIGHT($B$1,1),RIGHT($B$1,2))</f>
        <v>2002</v>
      </c>
      <c r="D45" s="755">
        <f>IF(LEFT(F45,5)="Bonne",D43+1,D44)</f>
        <v>4</v>
      </c>
      <c r="E45" t="s" s="778">
        <f>C45&amp;D45&amp;RIGHT(F45,1)</f>
        <v>2031</v>
      </c>
      <c r="F45" t="s" s="769">
        <v>1835</v>
      </c>
      <c r="G45" t="s" s="770">
        <f>VLOOKUP(E47,'BDD'!$A$2:$N$567,7,FALSE)</f>
        <v>2044</v>
      </c>
      <c r="H45" s="771"/>
      <c r="I45" s="771"/>
      <c r="J45" s="771"/>
      <c r="K45" s="771"/>
      <c r="L45" s="772"/>
      <c r="M45" s="773"/>
      <c r="N45" s="774"/>
      <c r="O45" s="775"/>
      <c r="P45" s="775"/>
      <c r="Q45" s="775"/>
      <c r="R45" s="775"/>
      <c r="S45" s="776"/>
      <c r="T45" s="776"/>
      <c r="U45" s="776"/>
      <c r="V45" s="777"/>
      <c r="W45" s="789">
        <f>_xlfn.IFERROR(IF(N45='Suppl'!$E$65,0,IF(N45='Suppl'!$E$66,1/2/(_xlfn.COUNTIFS($N1:$N100,"Exigences"&amp;"*")+_xlfn.COUNTIFS($N1:$N100,"Non"&amp;"*")),IF(N45='Suppl'!$E$67,1/(_xlfn.COUNTIFS($N1:$N100,"Exigences"&amp;"*")+_xlfn.COUNTIFS($N1:$N100,"Non"&amp;"*")),0))),0)</f>
        <v>0</v>
      </c>
      <c r="X45" s="586"/>
      <c r="Y45" s="586"/>
      <c r="Z45" s="586"/>
      <c r="AA45" s="586"/>
      <c r="AB45" s="586"/>
      <c r="AC45" s="586"/>
      <c r="AD45" s="586"/>
      <c r="AE45" s="586"/>
      <c r="AF45" s="586"/>
      <c r="AG45" s="586"/>
      <c r="AH45" s="505"/>
      <c r="AI45" s="585"/>
    </row>
    <row r="46" ht="30" customHeight="1">
      <c r="A46" s="504"/>
      <c r="B46" s="753"/>
      <c r="C46" t="s" s="754">
        <f>IF(LEFT(RIGHT($B$1,2),1)=" ",RIGHT($B$1,1),RIGHT($B$1,2))</f>
        <v>2002</v>
      </c>
      <c r="D46" s="755">
        <f>IF(LEFT(F46,5)="Bonne",D44+1,D45)</f>
        <v>4</v>
      </c>
      <c r="E46" t="s" s="778">
        <f>C46&amp;D46&amp;RIGHT(F46,1)</f>
        <v>2031</v>
      </c>
      <c r="F46" t="s" s="779">
        <v>1769</v>
      </c>
      <c r="G46" t="s" s="780">
        <f>VLOOKUP(E46,'BDD'!$A$2:$N$567,MATCH(G$24,'BDD'!$A$1:$P$1,0),FALSE)</f>
        <v>728</v>
      </c>
      <c r="H46" t="s" s="799">
        <v>283</v>
      </c>
      <c r="I46" s="782"/>
      <c r="J46" s="782"/>
      <c r="K46" s="782"/>
      <c r="L46" s="793"/>
      <c r="M46" s="784">
        <f>IF(N46="Exigences partiellement respectées",1,IF(N46="Exigences respectées",2,0))</f>
        <v>0</v>
      </c>
      <c r="N46" t="s" s="780">
        <f>VLOOKUP(VLOOKUP(E46,'BDD'!$A$2:$P$428,15,FALSE),'Suppl'!$D$64:$E$68,2,FALSE)</f>
        <v>1751</v>
      </c>
      <c r="O46" s="785"/>
      <c r="P46" s="786"/>
      <c r="Q46" s="786"/>
      <c r="R46" s="786"/>
      <c r="S46" s="787">
        <f>IF(N46='Suppl'!$E$65,0,IF(N46='Suppl'!$E$66,1/2/(_xlfn.COUNTIFS($D1:$D100,D46,$N1:$N100,"Exigences"&amp;"*",G1:G100,"&lt;&gt;0")+_xlfn.COUNTIFS($D1:$D100,D46,$N1:$N100,"Non"&amp;"*",G1:G100,"&lt;&gt;0")),IF(N46='Suppl'!$E$67,1/(_xlfn.COUNTIFS($D1:$D100,D46,$N1:$N100,"Exigences"&amp;"*",G1:G100,"&lt;&gt;0")+_xlfn.COUNTIFS($D1:$D100,D46,$N1:$N100,"Non"&amp;"*",G1:G100,"&lt;&gt;0")),0)))</f>
        <v>0</v>
      </c>
      <c r="T46" s="787"/>
      <c r="U46" s="787"/>
      <c r="V46" s="788"/>
      <c r="W46" s="789">
        <f>_xlfn.IFERROR(IF(N46='Suppl'!$E$65,0,IF(N46='Suppl'!$E$66,1/2/(_xlfn.COUNTIFS($N1:$N100,"Exigences"&amp;"*")+_xlfn.COUNTIFS($N1:$N100,"Non"&amp;"*")),IF(N46='Suppl'!$E$67,1/(_xlfn.COUNTIFS($N1:$N100,"Exigences"&amp;"*")+_xlfn.COUNTIFS($N1:$N100,"Non"&amp;"*")),0))),0)</f>
        <v>0</v>
      </c>
      <c r="X46" s="586"/>
      <c r="Y46" s="586"/>
      <c r="Z46" s="586"/>
      <c r="AA46" s="586"/>
      <c r="AB46" s="586"/>
      <c r="AC46" s="586"/>
      <c r="AD46" s="586"/>
      <c r="AE46" s="586"/>
      <c r="AF46" s="586"/>
      <c r="AG46" s="586"/>
      <c r="AH46" s="505"/>
      <c r="AI46" s="585"/>
    </row>
    <row r="47" ht="30" customHeight="1">
      <c r="A47" s="504"/>
      <c r="B47" s="753"/>
      <c r="C47" t="s" s="754">
        <f>IF(LEFT(RIGHT($B$1,2),1)=" ",RIGHT($B$1,1),RIGHT($B$1,2))</f>
        <v>2002</v>
      </c>
      <c r="D47" s="755">
        <f>IF(LEFT(F47,5)="Bonne",D45+1,D46)</f>
        <v>4</v>
      </c>
      <c r="E47" t="s" s="778">
        <f>C47&amp;D47&amp;RIGHT(F47,1)</f>
        <v>2032</v>
      </c>
      <c r="F47" t="s" s="790">
        <v>1837</v>
      </c>
      <c r="G47" t="s" s="791">
        <f>VLOOKUP(E47,'BDD'!$A$2:$N$567,MATCH(G$24,'BDD'!$A$1:$P$1,0),FALSE)</f>
        <v>732</v>
      </c>
      <c r="H47" s="781"/>
      <c r="I47" s="782"/>
      <c r="J47" t="s" s="792">
        <v>271</v>
      </c>
      <c r="K47" s="782"/>
      <c r="L47" s="793"/>
      <c r="M47" s="800">
        <f>IF(N47="Exigences partiellement respectées",1,IF(N47="Exigences respectées",2,0))</f>
        <v>0</v>
      </c>
      <c r="N47" t="s" s="791">
        <f>VLOOKUP(VLOOKUP(E47,'BDD'!$A$2:$P$428,15,FALSE),'Suppl'!$D$64:$E$68,2,FALSE)</f>
        <v>1751</v>
      </c>
      <c r="O47" s="801"/>
      <c r="P47" s="802"/>
      <c r="Q47" s="802"/>
      <c r="R47" s="802"/>
      <c r="S47" s="803">
        <f>IF(N47='Suppl'!$E$65,0,IF(N47='Suppl'!$E$66,1/2/(_xlfn.COUNTIFS($D1:$D100,D47,$N1:$N100,"Exigences"&amp;"*",G1:G100,"&lt;&gt;0")+_xlfn.COUNTIFS($D1:$D100,D47,$N1:$N100,"Non"&amp;"*",G1:G100,"&lt;&gt;0")),IF(N47='Suppl'!$E$67,1/(_xlfn.COUNTIFS($D1:$D100,D47,$N1:$N100,"Exigences"&amp;"*",G1:G100,"&lt;&gt;0")+_xlfn.COUNTIFS($D1:$D100,D47,$N1:$N100,"Non"&amp;"*",G1:G100,"&lt;&gt;0")),0)))</f>
        <v>0</v>
      </c>
      <c r="T47" s="803"/>
      <c r="U47" s="803"/>
      <c r="V47" s="804"/>
      <c r="W47" s="789">
        <f>_xlfn.IFERROR(IF(N47='Suppl'!$E$65,0,IF(N47='Suppl'!$E$66,1/2/(_xlfn.COUNTIFS($N1:$N100,"Exigences"&amp;"*")+_xlfn.COUNTIFS($N1:$N100,"Non"&amp;"*")),IF(N47='Suppl'!$E$67,1/(_xlfn.COUNTIFS($N1:$N100,"Exigences"&amp;"*")+_xlfn.COUNTIFS($N1:$N100,"Non"&amp;"*")),0))),0)</f>
        <v>0</v>
      </c>
      <c r="X47" s="586"/>
      <c r="Y47" s="586"/>
      <c r="Z47" s="586"/>
      <c r="AA47" s="586"/>
      <c r="AB47" s="586"/>
      <c r="AC47" s="586"/>
      <c r="AD47" s="586"/>
      <c r="AE47" s="586"/>
      <c r="AF47" s="586"/>
      <c r="AG47" s="586"/>
      <c r="AH47" s="505"/>
      <c r="AI47" s="585"/>
    </row>
    <row r="48" ht="30" customHeight="1">
      <c r="A48" s="504"/>
      <c r="B48" s="753"/>
      <c r="C48" t="s" s="754">
        <f>IF(LEFT(RIGHT($B$1,2),1)=" ",RIGHT($B$1,1),RIGHT($B$1,2))</f>
        <v>2002</v>
      </c>
      <c r="D48" s="755">
        <f>IF(LEFT(F48,5)="Bonne",D46+1,D47)</f>
        <v>5</v>
      </c>
      <c r="E48" t="s" s="778">
        <f>C48&amp;D48&amp;RIGHT(F48,1)</f>
        <v>2045</v>
      </c>
      <c r="F48" t="s" s="757">
        <v>1814</v>
      </c>
      <c r="G48" t="s" s="758">
        <f>VLOOKUP(E50,'BDD'!$A$2:$N$567,6,FALSE)</f>
        <v>739</v>
      </c>
      <c r="H48" s="759"/>
      <c r="I48" s="760"/>
      <c r="J48" s="760"/>
      <c r="K48" s="760"/>
      <c r="L48" s="761"/>
      <c r="M48" s="762"/>
      <c r="N48" s="763"/>
      <c r="O48" s="764">
        <v>0</v>
      </c>
      <c r="P48" s="764"/>
      <c r="Q48" s="764"/>
      <c r="R48" s="764"/>
      <c r="S48" s="765">
        <f>_xlfn.SUMIFS(S1:S100,$D1:$D100,D48,$N1:$N100,"Exigences"&amp;"*")</f>
      </c>
      <c r="T48" s="765"/>
      <c r="U48" s="765"/>
      <c r="V48" s="766"/>
      <c r="W48" s="789">
        <f>_xlfn.IFERROR(IF(N48='Suppl'!$E$65,0,IF(N48='Suppl'!$E$66,1/2/(_xlfn.COUNTIFS($N1:$N100,"Exigences"&amp;"*")+_xlfn.COUNTIFS($N1:$N100,"Non"&amp;"*")),IF(N48='Suppl'!$E$67,1/(_xlfn.COUNTIFS($N1:$N100,"Exigences"&amp;"*")+_xlfn.COUNTIFS($N1:$N100,"Non"&amp;"*")),0))),0)</f>
        <v>0</v>
      </c>
      <c r="X48" s="586"/>
      <c r="Y48" s="586"/>
      <c r="Z48" s="586"/>
      <c r="AA48" s="586"/>
      <c r="AB48" s="586"/>
      <c r="AC48" s="586"/>
      <c r="AD48" s="586"/>
      <c r="AE48" s="586"/>
      <c r="AF48" s="586"/>
      <c r="AG48" s="586"/>
      <c r="AH48" s="505"/>
      <c r="AI48" s="585"/>
    </row>
    <row r="49" ht="30" customHeight="1">
      <c r="A49" s="504"/>
      <c r="B49" s="753"/>
      <c r="C49" t="s" s="754">
        <f>IF(LEFT(RIGHT($B$1,2),1)=" ",RIGHT($B$1,1),RIGHT($B$1,2))</f>
        <v>2002</v>
      </c>
      <c r="D49" s="755">
        <f>IF(LEFT(F49,5)="Bonne",D47+1,D48)</f>
        <v>5</v>
      </c>
      <c r="E49" t="s" s="778">
        <f>C49&amp;D49&amp;RIGHT(F49,1)</f>
        <v>2046</v>
      </c>
      <c r="F49" t="s" s="769">
        <v>1835</v>
      </c>
      <c r="G49" t="s" s="770">
        <f>VLOOKUP(E51,'BDD'!$A$2:$N$567,7,FALSE)</f>
        <v>2047</v>
      </c>
      <c r="H49" s="771"/>
      <c r="I49" s="771"/>
      <c r="J49" s="771"/>
      <c r="K49" s="771"/>
      <c r="L49" s="772"/>
      <c r="M49" s="773"/>
      <c r="N49" s="774"/>
      <c r="O49" s="775"/>
      <c r="P49" s="775"/>
      <c r="Q49" s="775"/>
      <c r="R49" s="775"/>
      <c r="S49" s="776"/>
      <c r="T49" s="776"/>
      <c r="U49" s="776"/>
      <c r="V49" s="777"/>
      <c r="W49" s="789">
        <f>_xlfn.IFERROR(IF(N49='Suppl'!$E$65,0,IF(N49='Suppl'!$E$66,1/2/(_xlfn.COUNTIFS($N1:$N100,"Exigences"&amp;"*")+_xlfn.COUNTIFS($N1:$N100,"Non"&amp;"*")),IF(N49='Suppl'!$E$67,1/(_xlfn.COUNTIFS($N1:$N100,"Exigences"&amp;"*")+_xlfn.COUNTIFS($N1:$N100,"Non"&amp;"*")),0))),0)</f>
        <v>0</v>
      </c>
      <c r="X49" s="586"/>
      <c r="Y49" s="586"/>
      <c r="Z49" s="586"/>
      <c r="AA49" s="586"/>
      <c r="AB49" s="586"/>
      <c r="AC49" s="586"/>
      <c r="AD49" s="586"/>
      <c r="AE49" s="586"/>
      <c r="AF49" s="586"/>
      <c r="AG49" s="586"/>
      <c r="AH49" s="505"/>
      <c r="AI49" s="585"/>
    </row>
    <row r="50" ht="30" customHeight="1">
      <c r="A50" s="504"/>
      <c r="B50" s="753"/>
      <c r="C50" t="s" s="754">
        <f>IF(LEFT(RIGHT($B$1,2),1)=" ",RIGHT($B$1,1),RIGHT($B$1,2))</f>
        <v>2002</v>
      </c>
      <c r="D50" s="755">
        <f>IF(LEFT(F50,5)="Bonne",D48+1,D49)</f>
        <v>5</v>
      </c>
      <c r="E50" t="s" s="778">
        <f>C50&amp;D50&amp;RIGHT(F50,1)</f>
        <v>2046</v>
      </c>
      <c r="F50" t="s" s="779">
        <v>1769</v>
      </c>
      <c r="G50" t="s" s="780">
        <f>VLOOKUP(E50,'BDD'!$A$2:$N$567,MATCH(G$24,'BDD'!$A$1:$P$1,0),FALSE)</f>
        <v>742</v>
      </c>
      <c r="H50" s="781"/>
      <c r="I50" s="782"/>
      <c r="J50" t="s" s="792">
        <v>271</v>
      </c>
      <c r="K50" s="782"/>
      <c r="L50" s="793"/>
      <c r="M50" s="784">
        <f>IF(N50="Exigences partiellement respectées",1,IF(N50="Exigences respectées",2,0))</f>
        <v>0</v>
      </c>
      <c r="N50" t="s" s="780">
        <f>VLOOKUP(VLOOKUP(E50,'BDD'!$A$2:$P$428,15,FALSE),'Suppl'!$D$64:$E$68,2,FALSE)</f>
        <v>1751</v>
      </c>
      <c r="O50" s="785"/>
      <c r="P50" s="786"/>
      <c r="Q50" s="786"/>
      <c r="R50" s="786"/>
      <c r="S50" s="787">
        <f>IF(N50='Suppl'!$E$65,0,IF(N50='Suppl'!$E$66,1/2/(_xlfn.COUNTIFS($D1:$D100,D50,$N1:$N100,"Exigences"&amp;"*",G1:G100,"&lt;&gt;0")+_xlfn.COUNTIFS($D1:$D100,D50,$N1:$N100,"Non"&amp;"*",G1:G100,"&lt;&gt;0")),IF(N50='Suppl'!$E$67,1/(_xlfn.COUNTIFS($D1:$D100,D50,$N1:$N100,"Exigences"&amp;"*",G1:G100,"&lt;&gt;0")+_xlfn.COUNTIFS($D1:$D100,D50,$N1:$N100,"Non"&amp;"*",G1:G100,"&lt;&gt;0")),0)))</f>
        <v>0</v>
      </c>
      <c r="T50" s="787"/>
      <c r="U50" s="787"/>
      <c r="V50" s="788"/>
      <c r="W50" s="789">
        <f>_xlfn.IFERROR(IF(N50='Suppl'!$E$65,0,IF(N50='Suppl'!$E$66,1/2/(_xlfn.COUNTIFS($N1:$N100,"Exigences"&amp;"*")+_xlfn.COUNTIFS($N1:$N100,"Non"&amp;"*")),IF(N50='Suppl'!$E$67,1/(_xlfn.COUNTIFS($N1:$N100,"Exigences"&amp;"*")+_xlfn.COUNTIFS($N1:$N100,"Non"&amp;"*")),0))),0)</f>
        <v>0</v>
      </c>
      <c r="X50" s="586"/>
      <c r="Y50" s="586"/>
      <c r="Z50" s="586"/>
      <c r="AA50" s="586"/>
      <c r="AB50" s="586"/>
      <c r="AC50" s="586"/>
      <c r="AD50" s="586"/>
      <c r="AE50" s="586"/>
      <c r="AF50" s="586"/>
      <c r="AG50" s="586"/>
      <c r="AH50" s="505"/>
      <c r="AI50" s="585"/>
    </row>
    <row r="51" ht="30" customHeight="1">
      <c r="A51" s="504"/>
      <c r="B51" s="753"/>
      <c r="C51" t="s" s="754">
        <f>IF(LEFT(RIGHT($B$1,2),1)=" ",RIGHT($B$1,1),RIGHT($B$1,2))</f>
        <v>2002</v>
      </c>
      <c r="D51" s="755">
        <f>IF(LEFT(F51,5)="Bonne",D49+1,D50)</f>
        <v>5</v>
      </c>
      <c r="E51" t="s" s="778">
        <f>C51&amp;D51&amp;RIGHT(F51,1)</f>
        <v>2048</v>
      </c>
      <c r="F51" t="s" s="790">
        <v>1837</v>
      </c>
      <c r="G51" t="s" s="791">
        <f>VLOOKUP(E51,'BDD'!$A$2:$N$567,MATCH(G$24,'BDD'!$A$1:$P$1,0),FALSE)</f>
        <v>745</v>
      </c>
      <c r="H51" s="781"/>
      <c r="I51" t="s" s="792">
        <v>263</v>
      </c>
      <c r="J51" s="782"/>
      <c r="K51" s="782"/>
      <c r="L51" s="793"/>
      <c r="M51" s="794">
        <f>IF(N51="Exigences partiellement respectées",1,IF(N51="Exigences respectées",2,0))</f>
        <v>0</v>
      </c>
      <c r="N51" t="s" s="791">
        <f>VLOOKUP(VLOOKUP(E51,'BDD'!$A$2:$P$428,15,FALSE),'Suppl'!$D$64:$E$68,2,FALSE)</f>
        <v>1751</v>
      </c>
      <c r="O51" s="795"/>
      <c r="P51" s="796"/>
      <c r="Q51" s="796"/>
      <c r="R51" s="796"/>
      <c r="S51" s="797">
        <f>IF(N51='Suppl'!$E$65,0,IF(N51='Suppl'!$E$66,1/2/(_xlfn.COUNTIFS($D1:$D100,D51,$N1:$N100,"Exigences"&amp;"*",G1:G100,"&lt;&gt;0")+_xlfn.COUNTIFS($D1:$D100,D51,$N1:$N100,"Non"&amp;"*",G1:G100,"&lt;&gt;0")),IF(N51='Suppl'!$E$67,1/(_xlfn.COUNTIFS($D1:$D100,D51,$N1:$N100,"Exigences"&amp;"*",G1:G100,"&lt;&gt;0")+_xlfn.COUNTIFS($D1:$D100,D51,$N1:$N100,"Non"&amp;"*",G1:G100,"&lt;&gt;0")),0)))</f>
        <v>0</v>
      </c>
      <c r="T51" s="797"/>
      <c r="U51" s="797"/>
      <c r="V51" s="798"/>
      <c r="W51" s="789">
        <f>_xlfn.IFERROR(IF(N51='Suppl'!$E$65,0,IF(N51='Suppl'!$E$66,1/2/(_xlfn.COUNTIFS($N1:$N100,"Exigences"&amp;"*")+_xlfn.COUNTIFS($N1:$N100,"Non"&amp;"*")),IF(N51='Suppl'!$E$67,1/(_xlfn.COUNTIFS($N1:$N100,"Exigences"&amp;"*")+_xlfn.COUNTIFS($N1:$N100,"Non"&amp;"*")),0))),0)</f>
        <v>0</v>
      </c>
      <c r="X51" s="586"/>
      <c r="Y51" s="586"/>
      <c r="Z51" s="586"/>
      <c r="AA51" s="586"/>
      <c r="AB51" s="586"/>
      <c r="AC51" s="586"/>
      <c r="AD51" s="586"/>
      <c r="AE51" s="586"/>
      <c r="AF51" s="586"/>
      <c r="AG51" s="586"/>
      <c r="AH51" s="505"/>
      <c r="AI51" s="585"/>
    </row>
    <row r="52" ht="30" customHeight="1">
      <c r="A52" s="504"/>
      <c r="B52" s="753"/>
      <c r="C52" t="s" s="754">
        <f>IF(LEFT(RIGHT($B$1,2),1)=" ",RIGHT($B$1,1),RIGHT($B$1,2))</f>
        <v>2002</v>
      </c>
      <c r="D52" s="755">
        <f>IF(LEFT(F52,5)="Bonne",D50+1,D51)</f>
        <v>5</v>
      </c>
      <c r="E52" t="s" s="778">
        <f>C52&amp;D52&amp;RIGHT(F52,1)</f>
        <v>2049</v>
      </c>
      <c r="F52" t="s" s="779">
        <v>1774</v>
      </c>
      <c r="G52" t="s" s="780">
        <f>VLOOKUP(E52,'BDD'!$A$2:$N$567,MATCH(G$24,'BDD'!$A$1:$P$1,0),FALSE)</f>
        <v>748</v>
      </c>
      <c r="H52" s="781"/>
      <c r="I52" s="782"/>
      <c r="J52" s="782"/>
      <c r="K52" t="s" s="792">
        <v>291</v>
      </c>
      <c r="L52" s="793"/>
      <c r="M52" s="794">
        <f>IF(N52="Exigences partiellement respectées",1,IF(N52="Exigences respectées",2,0))</f>
        <v>0</v>
      </c>
      <c r="N52" t="s" s="780">
        <f>VLOOKUP(VLOOKUP(E52,'BDD'!$A$2:$P$428,15,FALSE),'Suppl'!$D$64:$E$68,2,FALSE)</f>
        <v>1751</v>
      </c>
      <c r="O52" s="863"/>
      <c r="P52" s="864"/>
      <c r="Q52" s="864"/>
      <c r="R52" s="864"/>
      <c r="S52" s="815">
        <f>IF(N52='Suppl'!$E$65,0,IF(N52='Suppl'!$E$66,1/2/(_xlfn.COUNTIFS($D1:$D100,D52,$N1:$N100,"Exigences"&amp;"*",G1:G100,"&lt;&gt;0")+_xlfn.COUNTIFS($D1:$D100,D52,$N1:$N100,"Non"&amp;"*",G1:G100,"&lt;&gt;0")),IF(N52='Suppl'!$E$67,1/(_xlfn.COUNTIFS($D1:$D100,D52,$N1:$N100,"Exigences"&amp;"*",G1:G100,"&lt;&gt;0")+_xlfn.COUNTIFS($D1:$D100,D52,$N1:$N100,"Non"&amp;"*",G1:G100,"&lt;&gt;0")),0)))</f>
        <v>0</v>
      </c>
      <c r="T52" s="815"/>
      <c r="U52" s="815"/>
      <c r="V52" s="816"/>
      <c r="W52" s="789">
        <f>_xlfn.IFERROR(IF(N52='Suppl'!$E$65,0,IF(N52='Suppl'!$E$66,1/2/(_xlfn.COUNTIFS($N1:$N100,"Exigences"&amp;"*")+_xlfn.COUNTIFS($N1:$N100,"Non"&amp;"*")),IF(N52='Suppl'!$E$67,1/(_xlfn.COUNTIFS($N1:$N100,"Exigences"&amp;"*")+_xlfn.COUNTIFS($N1:$N100,"Non"&amp;"*")),0))),0)</f>
        <v>0</v>
      </c>
      <c r="X52" s="586"/>
      <c r="Y52" s="586"/>
      <c r="Z52" s="586"/>
      <c r="AA52" s="586"/>
      <c r="AB52" s="586"/>
      <c r="AC52" s="586"/>
      <c r="AD52" s="586"/>
      <c r="AE52" s="586"/>
      <c r="AF52" s="586"/>
      <c r="AG52" s="586"/>
      <c r="AH52" s="505"/>
      <c r="AI52" s="585"/>
    </row>
    <row r="53" ht="30" customHeight="1">
      <c r="A53" s="504"/>
      <c r="B53" s="586"/>
      <c r="C53" s="586"/>
      <c r="D53" s="587"/>
      <c r="E53" s="587"/>
      <c r="F53" s="817"/>
      <c r="G53" s="818"/>
      <c r="H53" s="818"/>
      <c r="I53" s="818"/>
      <c r="J53" s="818"/>
      <c r="K53" s="818"/>
      <c r="L53" s="818"/>
      <c r="M53" s="102"/>
      <c r="N53" s="817"/>
      <c r="O53" s="819"/>
      <c r="P53" s="819"/>
      <c r="Q53" s="819"/>
      <c r="R53" s="819"/>
      <c r="S53" s="819"/>
      <c r="T53" s="819"/>
      <c r="U53" s="819"/>
      <c r="V53" s="819"/>
      <c r="W53" s="588"/>
      <c r="X53" s="586"/>
      <c r="Y53" s="586"/>
      <c r="Z53" s="586"/>
      <c r="AA53" s="586"/>
      <c r="AB53" s="586"/>
      <c r="AC53" s="586"/>
      <c r="AD53" s="586"/>
      <c r="AE53" s="586"/>
      <c r="AF53" s="586"/>
      <c r="AG53" s="586"/>
      <c r="AH53" s="505"/>
      <c r="AI53" s="585"/>
    </row>
    <row r="54" ht="30" customHeight="1">
      <c r="A54" t="s" s="820">
        <v>171</v>
      </c>
      <c r="B54" s="505"/>
      <c r="C54" s="505"/>
      <c r="D54" s="505"/>
      <c r="E54" s="505"/>
      <c r="F54" s="505"/>
      <c r="G54" s="616"/>
      <c r="H54" s="616"/>
      <c r="I54" s="616"/>
      <c r="J54" s="616"/>
      <c r="K54" s="616"/>
      <c r="L54" s="616"/>
      <c r="M54" s="616"/>
      <c r="N54" s="505"/>
      <c r="O54" s="505"/>
      <c r="P54" s="505"/>
      <c r="Q54" s="505"/>
      <c r="R54" s="505"/>
      <c r="S54" s="505"/>
      <c r="T54" s="505"/>
      <c r="U54" s="505"/>
      <c r="V54" s="505"/>
      <c r="W54" s="821"/>
      <c r="X54" s="505"/>
      <c r="Y54" s="505"/>
      <c r="Z54" s="505"/>
      <c r="AA54" s="505"/>
      <c r="AB54" s="505"/>
      <c r="AC54" s="505"/>
      <c r="AD54" s="505"/>
      <c r="AE54" s="505"/>
      <c r="AF54" s="505"/>
      <c r="AG54" s="505"/>
      <c r="AH54" t="s" s="735">
        <v>171</v>
      </c>
      <c r="AI54" s="585"/>
    </row>
    <row r="55" ht="14.4" customHeight="1">
      <c r="A55" s="822"/>
      <c r="B55" s="25"/>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823"/>
    </row>
    <row r="56" ht="14.4" customHeight="1">
      <c r="A56" s="822"/>
      <c r="B56" s="25"/>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823"/>
    </row>
    <row r="57" ht="14.4" customHeight="1">
      <c r="A57" s="822"/>
      <c r="B57" s="25"/>
      <c r="C57" s="25"/>
      <c r="D57" s="25"/>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823"/>
    </row>
    <row r="58" ht="14.4" customHeight="1">
      <c r="A58" s="822"/>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823"/>
    </row>
    <row r="59" ht="14.4" customHeight="1">
      <c r="A59" s="822"/>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823"/>
    </row>
    <row r="60" ht="14.4" customHeight="1">
      <c r="A60" s="822"/>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823"/>
    </row>
    <row r="61" ht="14.4" customHeight="1">
      <c r="A61" s="822"/>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823"/>
    </row>
    <row r="62" ht="14.4" customHeight="1">
      <c r="A62" s="822"/>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823"/>
    </row>
    <row r="63" ht="14.4" customHeight="1">
      <c r="A63" s="822"/>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823"/>
    </row>
    <row r="64" ht="14.4" customHeight="1">
      <c r="A64" s="822"/>
      <c r="B64" s="25"/>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823"/>
    </row>
    <row r="65" ht="14.4" customHeight="1">
      <c r="A65" s="822"/>
      <c r="B65" s="25"/>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823"/>
    </row>
    <row r="66" ht="14.4" customHeight="1">
      <c r="A66" s="822"/>
      <c r="B66" s="25"/>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823"/>
    </row>
    <row r="67" ht="14.4" customHeight="1">
      <c r="A67" s="822"/>
      <c r="B67" s="25"/>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823"/>
    </row>
    <row r="68" ht="14.4" customHeight="1">
      <c r="A68" s="822"/>
      <c r="B68" s="25"/>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823"/>
    </row>
    <row r="69" ht="14.4" customHeight="1">
      <c r="A69" s="822"/>
      <c r="B69" s="25"/>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823"/>
    </row>
    <row r="70" ht="14.4" customHeight="1">
      <c r="A70" s="822"/>
      <c r="B70" s="25"/>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823"/>
    </row>
    <row r="71" ht="14.4" customHeight="1">
      <c r="A71" s="822"/>
      <c r="B71" s="25"/>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823"/>
    </row>
    <row r="72" ht="14.4" customHeight="1">
      <c r="A72" s="822"/>
      <c r="B72" s="25"/>
      <c r="C72" s="25"/>
      <c r="D72" s="25"/>
      <c r="E72" s="25"/>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823"/>
    </row>
    <row r="73" ht="14.4" customHeight="1">
      <c r="A73" s="822"/>
      <c r="B73" s="25"/>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823"/>
    </row>
    <row r="74" ht="14.4" customHeight="1">
      <c r="A74" s="822"/>
      <c r="B74" s="25"/>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823"/>
    </row>
    <row r="75" ht="14.4" customHeight="1">
      <c r="A75" s="822"/>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823"/>
    </row>
    <row r="76" ht="14.4" customHeight="1">
      <c r="A76" s="822"/>
      <c r="B76" s="25"/>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823"/>
    </row>
    <row r="77" ht="14.4" customHeight="1">
      <c r="A77" s="822"/>
      <c r="B77" s="25"/>
      <c r="C77" s="25"/>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823"/>
    </row>
    <row r="78" ht="14.4" customHeight="1">
      <c r="A78" s="822"/>
      <c r="B78" s="25"/>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823"/>
    </row>
    <row r="79" ht="14.4" customHeight="1">
      <c r="A79" s="822"/>
      <c r="B79" s="25"/>
      <c r="C79" s="25"/>
      <c r="D79" s="25"/>
      <c r="E79" s="25"/>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823"/>
    </row>
    <row r="80" ht="14.4" customHeight="1">
      <c r="A80" s="822"/>
      <c r="B80" s="25"/>
      <c r="C80" s="25"/>
      <c r="D80" s="25"/>
      <c r="E80" s="25"/>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823"/>
    </row>
    <row r="81" ht="14.4" customHeight="1">
      <c r="A81" s="822"/>
      <c r="B81" s="25"/>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823"/>
    </row>
    <row r="82" ht="14.4" customHeight="1">
      <c r="A82" s="822"/>
      <c r="B82" s="25"/>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823"/>
    </row>
    <row r="83" ht="14.4" customHeight="1">
      <c r="A83" s="822"/>
      <c r="B83" s="25"/>
      <c r="C83" s="25"/>
      <c r="D83" s="25"/>
      <c r="E83" s="25"/>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c r="AH83" s="25"/>
      <c r="AI83" s="823"/>
    </row>
    <row r="84" ht="14.4" customHeight="1">
      <c r="A84" s="822"/>
      <c r="B84" s="25"/>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823"/>
    </row>
    <row r="85" ht="14.4" customHeight="1">
      <c r="A85" s="822"/>
      <c r="B85" s="25"/>
      <c r="C85" s="25"/>
      <c r="D85" s="25"/>
      <c r="E85" s="25"/>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823"/>
    </row>
    <row r="86" ht="14.4" customHeight="1">
      <c r="A86" s="822"/>
      <c r="B86" s="25"/>
      <c r="C86" s="25"/>
      <c r="D86" s="25"/>
      <c r="E86" s="25"/>
      <c r="F86" s="2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823"/>
    </row>
    <row r="87" ht="14.4" customHeight="1">
      <c r="A87" s="822"/>
      <c r="B87" s="25"/>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823"/>
    </row>
    <row r="88" ht="14.4" customHeight="1">
      <c r="A88" s="822"/>
      <c r="B88" s="25"/>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823"/>
    </row>
    <row r="89" ht="14.4" customHeight="1">
      <c r="A89" s="822"/>
      <c r="B89" s="25"/>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823"/>
    </row>
    <row r="90" ht="14.4" customHeight="1">
      <c r="A90" s="822"/>
      <c r="B90" s="25"/>
      <c r="C90" s="25"/>
      <c r="D90" s="25"/>
      <c r="E90" s="25"/>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823"/>
    </row>
    <row r="91" ht="14.4" customHeight="1">
      <c r="A91" s="822"/>
      <c r="B91" s="25"/>
      <c r="C91" s="25"/>
      <c r="D91" s="25"/>
      <c r="E91" s="25"/>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823"/>
    </row>
    <row r="92" ht="14.4" customHeight="1">
      <c r="A92" s="822"/>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823"/>
    </row>
    <row r="93" ht="14.4" customHeight="1">
      <c r="A93" s="822"/>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823"/>
    </row>
    <row r="94" ht="14.4" customHeight="1">
      <c r="A94" s="822"/>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823"/>
    </row>
    <row r="95" ht="14.4" customHeight="1">
      <c r="A95" s="822"/>
      <c r="B95" s="25"/>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823"/>
    </row>
    <row r="96" ht="14.4" customHeight="1">
      <c r="A96" s="822"/>
      <c r="B96" s="25"/>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823"/>
    </row>
    <row r="97" ht="14.4" customHeight="1">
      <c r="A97" s="822"/>
      <c r="B97" s="25"/>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823"/>
    </row>
    <row r="98" ht="14.4" customHeight="1">
      <c r="A98" s="822"/>
      <c r="B98" s="25"/>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823"/>
    </row>
    <row r="99" ht="14.4" customHeight="1">
      <c r="A99" s="822"/>
      <c r="B99" s="25"/>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823"/>
    </row>
    <row r="100" ht="14.4" customHeight="1">
      <c r="A100" s="824"/>
      <c r="B100" s="825"/>
      <c r="C100" s="825"/>
      <c r="D100" s="825"/>
      <c r="E100" s="825"/>
      <c r="F100" s="825"/>
      <c r="G100" s="825"/>
      <c r="H100" s="825"/>
      <c r="I100" s="825"/>
      <c r="J100" s="825"/>
      <c r="K100" s="825"/>
      <c r="L100" s="825"/>
      <c r="M100" s="825"/>
      <c r="N100" s="825"/>
      <c r="O100" s="825"/>
      <c r="P100" s="825"/>
      <c r="Q100" s="825"/>
      <c r="R100" s="825"/>
      <c r="S100" s="825"/>
      <c r="T100" s="825"/>
      <c r="U100" s="825"/>
      <c r="V100" s="825"/>
      <c r="W100" s="825"/>
      <c r="X100" s="825"/>
      <c r="Y100" s="825"/>
      <c r="Z100" s="825"/>
      <c r="AA100" s="825"/>
      <c r="AB100" s="825"/>
      <c r="AC100" s="825"/>
      <c r="AD100" s="825"/>
      <c r="AE100" s="825"/>
      <c r="AF100" s="825"/>
      <c r="AG100" s="825"/>
      <c r="AH100" s="825"/>
      <c r="AI100" s="826"/>
    </row>
  </sheetData>
  <mergeCells count="53">
    <mergeCell ref="G31:N31"/>
    <mergeCell ref="O52:R52"/>
    <mergeCell ref="S52:V52"/>
    <mergeCell ref="O48:R49"/>
    <mergeCell ref="S48:V49"/>
    <mergeCell ref="O50:R50"/>
    <mergeCell ref="S50:V50"/>
    <mergeCell ref="O51:R51"/>
    <mergeCell ref="S51:V51"/>
    <mergeCell ref="O44:R45"/>
    <mergeCell ref="S44:V45"/>
    <mergeCell ref="O46:R46"/>
    <mergeCell ref="S46:V46"/>
    <mergeCell ref="O47:R47"/>
    <mergeCell ref="S47:V47"/>
    <mergeCell ref="O41:R41"/>
    <mergeCell ref="S41:V41"/>
    <mergeCell ref="O42:R42"/>
    <mergeCell ref="S42:V42"/>
    <mergeCell ref="O43:R43"/>
    <mergeCell ref="S43:V43"/>
    <mergeCell ref="O38:R38"/>
    <mergeCell ref="S38:V38"/>
    <mergeCell ref="O39:R39"/>
    <mergeCell ref="S39:V39"/>
    <mergeCell ref="O40:R40"/>
    <mergeCell ref="S40:V40"/>
    <mergeCell ref="O34:R34"/>
    <mergeCell ref="S34:V34"/>
    <mergeCell ref="O35:R36"/>
    <mergeCell ref="S35:V36"/>
    <mergeCell ref="O37:R37"/>
    <mergeCell ref="S37:V37"/>
    <mergeCell ref="O30:R31"/>
    <mergeCell ref="S30:V31"/>
    <mergeCell ref="O32:R32"/>
    <mergeCell ref="S32:V32"/>
    <mergeCell ref="O33:R33"/>
    <mergeCell ref="S33:V33"/>
    <mergeCell ref="O27:R27"/>
    <mergeCell ref="S27:V27"/>
    <mergeCell ref="O28:R28"/>
    <mergeCell ref="S28:V28"/>
    <mergeCell ref="O29:R29"/>
    <mergeCell ref="S29:V29"/>
    <mergeCell ref="O25:R26"/>
    <mergeCell ref="S25:V26"/>
    <mergeCell ref="AD7:AD10"/>
    <mergeCell ref="O21:R21"/>
    <mergeCell ref="O22:R22"/>
    <mergeCell ref="O24:R24"/>
    <mergeCell ref="S24:V24"/>
    <mergeCell ref="O20:R20"/>
  </mergeCells>
  <conditionalFormatting sqref="O8:U12">
    <cfRule type="cellIs" dxfId="12" priority="1" operator="equal" stopIfTrue="1">
      <formula>3</formula>
    </cfRule>
    <cfRule type="cellIs" dxfId="13" priority="2" operator="equal" stopIfTrue="1">
      <formula>2</formula>
    </cfRule>
    <cfRule type="cellIs" dxfId="14" priority="3" operator="equal" stopIfTrue="1">
      <formula>1</formula>
    </cfRule>
  </conditionalFormatting>
  <dataValidations count="1">
    <dataValidation type="list" allowBlank="1" showInputMessage="1" showErrorMessage="1" sqref="W8:W12 W15">
      <formula1>"Exigences non respectées,Exigences partiellement respectées,Exigences respectées,Non évalué,N/A"</formula1>
    </dataValidation>
  </dataValidations>
  <pageMargins left="0.7" right="0.7" top="0.75" bottom="0.75" header="0.3" footer="0.3"/>
  <pageSetup firstPageNumber="1" fitToHeight="1" fitToWidth="1" scale="100" useFirstPageNumber="0" orientation="portrait" pageOrder="downThenOver"/>
  <headerFooter>
    <oddFooter>&amp;C&amp;"Helvetica Neue,Regular"&amp;12&amp;K000000&amp;P</oddFooter>
  </headerFooter>
  <drawing r:id="rId1"/>
</worksheet>
</file>

<file path=xl/worksheets/sheet16.xml><?xml version="1.0" encoding="utf-8"?>
<worksheet xmlns:r="http://schemas.openxmlformats.org/officeDocument/2006/relationships" xmlns="http://schemas.openxmlformats.org/spreadsheetml/2006/main">
  <dimension ref="A1:P118"/>
  <sheetViews>
    <sheetView workbookViewId="0" showGridLines="0" defaultGridColor="1"/>
  </sheetViews>
  <sheetFormatPr defaultColWidth="10.8333" defaultRowHeight="14.4" customHeight="1" outlineLevelRow="0" outlineLevelCol="0"/>
  <cols>
    <col min="1" max="1" width="2.85156" style="879" customWidth="1"/>
    <col min="2" max="2" width="4" style="879" customWidth="1"/>
    <col min="3" max="5" hidden="1" width="10.8333" style="879" customWidth="1"/>
    <col min="6" max="6" width="10.8516" style="879" customWidth="1"/>
    <col min="7" max="7" width="36.1719" style="879" customWidth="1"/>
    <col min="8" max="8" width="28.5" style="879" customWidth="1"/>
    <col min="9" max="9" width="17.6719" style="879" customWidth="1"/>
    <col min="10" max="10" width="66.8516" style="879" customWidth="1"/>
    <col min="11" max="11" width="80.8516" style="879" customWidth="1"/>
    <col min="12" max="12" width="10.8516" style="879" customWidth="1"/>
    <col min="13" max="13" width="28" style="879" customWidth="1"/>
    <col min="14" max="14" width="16.5" style="879" customWidth="1"/>
    <col min="15" max="16" width="4" style="879" customWidth="1"/>
    <col min="17" max="16384" width="10.8516" style="879" customWidth="1"/>
  </cols>
  <sheetData>
    <row r="1" ht="45" customHeight="1">
      <c r="A1" s="880"/>
      <c r="B1" t="s" s="881">
        <v>2050</v>
      </c>
      <c r="C1" s="882"/>
      <c r="D1" s="882"/>
      <c r="E1" s="882"/>
      <c r="F1" s="882"/>
      <c r="G1" s="883"/>
      <c r="H1" s="884"/>
      <c r="I1" s="884"/>
      <c r="J1" t="s" s="885">
        <f>VLOOKUP($E$12,'BDD'!$A$2:$N$567,3,FALSE)</f>
        <v>228</v>
      </c>
      <c r="K1" s="884"/>
      <c r="L1" s="883"/>
      <c r="M1" s="883"/>
      <c r="N1" s="883"/>
      <c r="O1" s="883"/>
      <c r="P1" s="886"/>
    </row>
    <row r="2" ht="45" customHeight="1">
      <c r="A2" s="887"/>
      <c r="B2" s="888"/>
      <c r="C2" s="888"/>
      <c r="D2" s="888"/>
      <c r="E2" s="888"/>
      <c r="F2" s="888"/>
      <c r="G2" s="888"/>
      <c r="H2" s="888"/>
      <c r="I2" s="888"/>
      <c r="J2" t="s" s="889">
        <f>VLOOKUP($E$12,'BDD'!$A$2:$N$567,4,FALSE)</f>
        <v>754</v>
      </c>
      <c r="K2" s="888"/>
      <c r="L2" s="888"/>
      <c r="M2" s="888"/>
      <c r="N2" s="888"/>
      <c r="O2" s="888"/>
      <c r="P2" s="890"/>
    </row>
    <row r="3" ht="18" customHeight="1">
      <c r="A3" s="887"/>
      <c r="B3" s="61"/>
      <c r="C3" s="61"/>
      <c r="D3" s="61"/>
      <c r="E3" s="61"/>
      <c r="F3" s="61"/>
      <c r="G3" t="s" s="508">
        <f>IF('Suppl'!B64=2,"Le vecteur n'est pas utilisé","")</f>
      </c>
      <c r="H3" s="509"/>
      <c r="I3" s="509"/>
      <c r="J3" s="509"/>
      <c r="K3" s="509"/>
      <c r="L3" s="510"/>
      <c r="M3" s="61"/>
      <c r="N3" s="61"/>
      <c r="O3" s="61"/>
      <c r="P3" s="890"/>
    </row>
    <row r="4" ht="14.4" customHeight="1">
      <c r="A4" s="887"/>
      <c r="B4" s="61"/>
      <c r="C4" s="61"/>
      <c r="D4" s="61"/>
      <c r="E4" s="61"/>
      <c r="F4" s="61"/>
      <c r="G4" s="61"/>
      <c r="H4" s="61"/>
      <c r="I4" s="61"/>
      <c r="J4" s="61"/>
      <c r="K4" s="61"/>
      <c r="L4" s="61"/>
      <c r="M4" s="61"/>
      <c r="N4" s="61"/>
      <c r="O4" s="61"/>
      <c r="P4" s="890"/>
    </row>
    <row r="5" ht="25.8" customHeight="1">
      <c r="A5" s="891"/>
      <c r="B5" s="512"/>
      <c r="C5" t="s" s="513">
        <f>IF(LEFT(RIGHT($B$1,2),1)=" ",RIGHT($B$1,1),RIGHT($B$1,2))</f>
        <v>2051</v>
      </c>
      <c r="D5" s="514">
        <f>IF(LEFT(F5,14)="Bonne pratique",D4+1,D4)</f>
        <v>1</v>
      </c>
      <c r="E5" s="515"/>
      <c r="F5" t="s" s="516">
        <v>1762</v>
      </c>
      <c r="G5" s="517"/>
      <c r="H5" s="518"/>
      <c r="I5" s="519"/>
      <c r="J5" t="s" s="520">
        <f>VLOOKUP(E12,'BDD'!$A$2:$N$567,6,FALSE)</f>
        <v>755</v>
      </c>
      <c r="K5" s="521"/>
      <c r="L5" s="517"/>
      <c r="M5" s="517"/>
      <c r="N5" s="517"/>
      <c r="O5" s="512"/>
      <c r="P5" s="892"/>
    </row>
    <row r="6" ht="14.4" customHeight="1">
      <c r="A6" s="887"/>
      <c r="B6" s="61"/>
      <c r="C6" t="s" s="513">
        <f>IF(LEFT(RIGHT($B$1,2),1)=" ",RIGHT($B$1,1),RIGHT($B$1,2))</f>
        <v>2051</v>
      </c>
      <c r="D6" s="514">
        <f>IF(LEFT(F6,14)="Bonne pratique",D5+1,D5)</f>
        <v>1</v>
      </c>
      <c r="E6" s="61"/>
      <c r="F6" s="61"/>
      <c r="G6" s="61"/>
      <c r="H6" s="61"/>
      <c r="I6" s="61"/>
      <c r="J6" s="61"/>
      <c r="K6" s="61"/>
      <c r="L6" s="61"/>
      <c r="M6" s="61"/>
      <c r="N6" s="61"/>
      <c r="O6" s="61"/>
      <c r="P6" s="890"/>
    </row>
    <row r="7" ht="23.4" customHeight="1">
      <c r="A7" s="893"/>
      <c r="B7" s="524"/>
      <c r="C7" t="s" s="513">
        <f>IF(LEFT(RIGHT($B$1,2),1)=" ",RIGHT($B$1,1),RIGHT($B$1,2))</f>
        <v>2051</v>
      </c>
      <c r="D7" s="514">
        <f>IF(LEFT(F7,14)="Bonne pratique",D6+1,D6)</f>
        <v>1</v>
      </c>
      <c r="E7" s="524"/>
      <c r="F7" s="524"/>
      <c r="G7" s="524"/>
      <c r="H7" s="524"/>
      <c r="I7" s="525"/>
      <c r="J7" t="s" s="526">
        <v>2052</v>
      </c>
      <c r="K7" s="525"/>
      <c r="L7" s="524"/>
      <c r="M7" s="524"/>
      <c r="N7" s="524"/>
      <c r="O7" s="524"/>
      <c r="P7" s="894"/>
    </row>
    <row r="8" ht="18" customHeight="1">
      <c r="A8" s="887"/>
      <c r="B8" s="61"/>
      <c r="C8" t="s" s="513">
        <f>IF(LEFT(RIGHT($B$1,2),1)=" ",RIGHT($B$1,1),RIGHT($B$1,2))</f>
        <v>2051</v>
      </c>
      <c r="D8" s="514">
        <f>IF(LEFT(F8,14)="Bonne pratique",D7+1,D7)</f>
        <v>1</v>
      </c>
      <c r="E8" s="61"/>
      <c r="F8" s="61"/>
      <c r="G8" s="61"/>
      <c r="H8" s="61"/>
      <c r="I8" s="61"/>
      <c r="J8" t="s" s="526">
        <v>2053</v>
      </c>
      <c r="K8" s="61"/>
      <c r="L8" s="61"/>
      <c r="M8" s="529"/>
      <c r="N8" s="529"/>
      <c r="O8" s="61"/>
      <c r="P8" s="890"/>
    </row>
    <row r="9" ht="14.4" customHeight="1">
      <c r="A9" s="887"/>
      <c r="B9" s="61"/>
      <c r="C9" t="s" s="513">
        <f>IF(LEFT(RIGHT($B$1,2),1)=" ",RIGHT($B$1,1),RIGHT($B$1,2))</f>
        <v>2051</v>
      </c>
      <c r="D9" s="514">
        <f>IF(LEFT(F9,14)="Bonne pratique",D8+1,D8)</f>
        <v>1</v>
      </c>
      <c r="E9" s="61"/>
      <c r="F9" s="61"/>
      <c r="G9" s="530"/>
      <c r="H9" s="530"/>
      <c r="I9" s="530"/>
      <c r="J9" s="530"/>
      <c r="K9" s="530"/>
      <c r="L9" s="531"/>
      <c r="M9" t="s" s="532">
        <v>1763</v>
      </c>
      <c r="N9" s="533"/>
      <c r="O9" s="534"/>
      <c r="P9" s="890"/>
    </row>
    <row r="10" ht="33" customHeight="1">
      <c r="A10" s="887"/>
      <c r="B10" s="61"/>
      <c r="C10" t="s" s="513">
        <f>IF(LEFT(RIGHT($B$1,2),1)=" ",RIGHT($B$1,1),RIGHT($B$1,2))</f>
        <v>2051</v>
      </c>
      <c r="D10" s="514">
        <f>IF(LEFT(F10,14)="Bonne pratique",D9+1,D9)</f>
        <v>1</v>
      </c>
      <c r="E10" s="61"/>
      <c r="F10" s="535"/>
      <c r="G10" t="s" s="536">
        <v>244</v>
      </c>
      <c r="H10" t="s" s="536">
        <v>1764</v>
      </c>
      <c r="I10" t="s" s="537">
        <v>245</v>
      </c>
      <c r="J10" t="s" s="536">
        <v>1765</v>
      </c>
      <c r="K10" t="s" s="536">
        <v>246</v>
      </c>
      <c r="L10" s="538"/>
      <c r="M10" t="s" s="539">
        <v>1766</v>
      </c>
      <c r="N10" t="s" s="540">
        <v>1767</v>
      </c>
      <c r="O10" s="534"/>
      <c r="P10" s="890"/>
    </row>
    <row r="11" ht="14.4" customHeight="1">
      <c r="A11" s="887"/>
      <c r="B11" s="61"/>
      <c r="C11" t="s" s="513">
        <f>IF(LEFT(RIGHT($B$1,2),1)=" ",RIGHT($B$1,1),RIGHT($B$1,2))</f>
        <v>2051</v>
      </c>
      <c r="D11" s="514">
        <f>IF(LEFT(F11,14)="Bonne pratique",D10+1,D10)</f>
        <v>1</v>
      </c>
      <c r="E11" s="61"/>
      <c r="F11" s="529"/>
      <c r="G11" s="541"/>
      <c r="H11" s="541"/>
      <c r="I11" s="541"/>
      <c r="J11" s="541"/>
      <c r="K11" s="541"/>
      <c r="L11" s="61"/>
      <c r="M11" s="541"/>
      <c r="N11" s="541"/>
      <c r="O11" s="61"/>
      <c r="P11" s="890"/>
    </row>
    <row r="12" ht="130.05" customHeight="1">
      <c r="A12" s="887"/>
      <c r="B12" s="542"/>
      <c r="C12" t="s" s="543">
        <f>IF(LEFT(RIGHT($B$1,2),1)=" ",RIGHT($B$1,1),RIGHT($B$1,2))</f>
        <v>2051</v>
      </c>
      <c r="D12" s="544">
        <f>IF(LEFT(F12,14)="Bonne pratique",D11+1,D11)</f>
        <v>1</v>
      </c>
      <c r="E12" t="s" s="545">
        <f>C12&amp;D12&amp;RIGHT(F12,1)</f>
        <v>2054</v>
      </c>
      <c r="F12" t="s" s="546">
        <v>1769</v>
      </c>
      <c r="G12" t="s" s="547">
        <f>_xlfn.IFERROR(IF(VLOOKUP($E12,'BDD'!$A$1:$S$567,MATCH(G$10,'BDD'!$A$1:$P$1,0),FALSE)=0,"",VLOOKUP($E12,'BDD'!$A$1:$S$567,MATCH(G$10,'BDD'!$A$1:$P$1,0),FALSE)),"")</f>
        <v>758</v>
      </c>
      <c r="H12" t="s" s="548">
        <f>IF(VLOOKUP(E12,'BDD'!$A$1:$S$567,15,FALSE)=0,"Critère non évalué","")</f>
        <v>1770</v>
      </c>
      <c r="I12" t="s" s="546">
        <f>_xlfn.IFERROR(IF(VLOOKUP($E12,'BDD'!$A$1:$S$567,MATCH(I$10,'BDD'!$A$1:$P$1,0),FALSE)=0,"",VLOOKUP($E12,'BDD'!$A$1:$S$567,MATCH(I$10,'BDD'!$A$1:$P$1,0),FALSE)),"")</f>
        <v>283</v>
      </c>
      <c r="J12" s="549"/>
      <c r="K12" t="s" s="547">
        <f>_xlfn.IFERROR(IF(VLOOKUP($E12,'BDD'!$A$1:$S$567,MATCH(K$10,'BDD'!$A$1:$P$1,0),FALSE)=0,"",VLOOKUP($E12,'BDD'!$A$1:$S$567,MATCH(K$10,'BDD'!$A$1:$P$1,0),FALSE)),"")</f>
      </c>
      <c r="L12" s="550"/>
      <c r="M12" s="551"/>
      <c r="N12" s="551"/>
      <c r="O12" s="534"/>
      <c r="P12" s="890"/>
    </row>
    <row r="13" ht="130.05" customHeight="1">
      <c r="A13" s="887"/>
      <c r="B13" s="542"/>
      <c r="C13" t="s" s="543">
        <f>IF(LEFT(RIGHT($B$1,2),1)=" ",RIGHT($B$1,1),RIGHT($B$1,2))</f>
        <v>2051</v>
      </c>
      <c r="D13" s="544">
        <f>IF(LEFT(F13,14)="Bonne pratique",D12+1,D12)</f>
        <v>1</v>
      </c>
      <c r="E13" t="s" s="545">
        <f>C13&amp;D13&amp;RIGHT(F13,1)</f>
        <v>2055</v>
      </c>
      <c r="F13" t="s" s="552">
        <v>1772</v>
      </c>
      <c r="G13" t="s" s="540">
        <f>_xlfn.IFERROR(IF(VLOOKUP($E13,'BDD'!$A$1:$S$567,MATCH(G$10,'BDD'!$A$1:$P$1,0),FALSE)=0,"",VLOOKUP($E13,'BDD'!$A$1:$S$567,MATCH(G$10,'BDD'!$A$1:$P$1,0),FALSE)),"")</f>
        <v>762</v>
      </c>
      <c r="H13" t="s" s="553">
        <f>IF(VLOOKUP(E13,'BDD'!$A$1:$S$567,15,FALSE)=0,"Critère non évalué","")</f>
        <v>1770</v>
      </c>
      <c r="I13" t="s" s="552">
        <f>_xlfn.IFERROR(IF(VLOOKUP($E13,'BDD'!$A$1:$S$567,MATCH(I$10,'BDD'!$A$1:$P$1,0),FALSE)=0,"",VLOOKUP($E13,'BDD'!$A$1:$S$567,MATCH(I$10,'BDD'!$A$1:$P$1,0),FALSE)),"")</f>
        <v>263</v>
      </c>
      <c r="J13" s="554"/>
      <c r="K13" t="s" s="540">
        <f>_xlfn.IFERROR(IF(VLOOKUP($E13,'BDD'!$A$1:$S$567,MATCH(K$10,'BDD'!$A$1:$P$1,0),FALSE)=0,"",VLOOKUP($E13,'BDD'!$A$1:$S$567,MATCH(K$10,'BDD'!$A$1:$P$1,0),FALSE)),"")</f>
        <v>763</v>
      </c>
      <c r="L13" s="550"/>
      <c r="M13" s="555"/>
      <c r="N13" s="555"/>
      <c r="O13" s="534"/>
      <c r="P13" s="890"/>
    </row>
    <row r="14" ht="130.05" customHeight="1">
      <c r="A14" s="887"/>
      <c r="B14" s="542"/>
      <c r="C14" t="s" s="543">
        <f>IF(LEFT(RIGHT($B$1,2),1)=" ",RIGHT($B$1,1),RIGHT($B$1,2))</f>
        <v>2051</v>
      </c>
      <c r="D14" s="544">
        <f>IF(LEFT(F14,14)="Bonne pratique",D13+1,D13)</f>
        <v>1</v>
      </c>
      <c r="E14" t="s" s="545">
        <f>C14&amp;D14&amp;RIGHT(F14,1)</f>
        <v>2056</v>
      </c>
      <c r="F14" t="s" s="546">
        <v>1774</v>
      </c>
      <c r="G14" t="s" s="547">
        <f>_xlfn.IFERROR(IF(VLOOKUP($E14,'BDD'!$A$1:$S$567,MATCH(G$10,'BDD'!$A$1:$P$1,0),FALSE)=0,"",VLOOKUP($E14,'BDD'!$A$1:$S$567,MATCH(G$10,'BDD'!$A$1:$P$1,0),FALSE)),"")</f>
        <v>768</v>
      </c>
      <c r="H14" t="s" s="548">
        <f>IF(VLOOKUP(E14,'BDD'!$A$1:$S$567,15,FALSE)=0,"Critère non évalué","")</f>
        <v>1770</v>
      </c>
      <c r="I14" t="s" s="546">
        <f>_xlfn.IFERROR(IF(VLOOKUP($E14,'BDD'!$A$1:$S$567,MATCH(I$10,'BDD'!$A$1:$P$1,0),FALSE)=0,"",VLOOKUP($E14,'BDD'!$A$1:$S$567,MATCH(I$10,'BDD'!$A$1:$P$1,0),FALSE)),"")</f>
        <v>291</v>
      </c>
      <c r="J14" s="549"/>
      <c r="K14" t="s" s="547">
        <f>_xlfn.IFERROR(IF(VLOOKUP($E14,'BDD'!$A$1:$S$567,MATCH(K$10,'BDD'!$A$1:$P$1,0),FALSE)=0,"",VLOOKUP($E14,'BDD'!$A$1:$S$567,MATCH(K$10,'BDD'!$A$1:$P$1,0),FALSE)),"")</f>
        <v>769</v>
      </c>
      <c r="L14" s="550"/>
      <c r="M14" s="551"/>
      <c r="N14" s="551"/>
      <c r="O14" s="534"/>
      <c r="P14" s="890"/>
    </row>
    <row r="15" ht="130.05" customHeight="1">
      <c r="A15" s="887"/>
      <c r="B15" s="542"/>
      <c r="C15" t="s" s="543">
        <f>IF(LEFT(RIGHT($B$1,2),1)=" ",RIGHT($B$1,1),RIGHT($B$1,2))</f>
        <v>2051</v>
      </c>
      <c r="D15" s="544">
        <f>IF(LEFT(F15,14)="Bonne pratique",D14+1,D14)</f>
        <v>1</v>
      </c>
      <c r="E15" t="s" s="545">
        <f>C15&amp;D15&amp;RIGHT(F15,1)</f>
        <v>2057</v>
      </c>
      <c r="F15" t="s" s="552">
        <v>1776</v>
      </c>
      <c r="G15" t="s" s="540">
        <f>_xlfn.IFERROR(IF(VLOOKUP($E15,'BDD'!$A$1:$S$567,MATCH(G$10,'BDD'!$A$1:$P$1,0),FALSE)=0,"",VLOOKUP($E15,'BDD'!$A$1:$S$567,MATCH(G$10,'BDD'!$A$1:$P$1,0),FALSE)),"")</f>
        <v>773</v>
      </c>
      <c r="H15" t="s" s="553">
        <f>IF(VLOOKUP(E15,'BDD'!$A$1:$S$567,15,FALSE)=0,"Critère non évalué","")</f>
        <v>1770</v>
      </c>
      <c r="I15" t="s" s="552">
        <f>_xlfn.IFERROR(IF(VLOOKUP($E15,'BDD'!$A$1:$S$567,MATCH(I$10,'BDD'!$A$1:$P$1,0),FALSE)=0,"",VLOOKUP($E15,'BDD'!$A$1:$S$567,MATCH(I$10,'BDD'!$A$1:$P$1,0),FALSE)),"")</f>
        <v>291</v>
      </c>
      <c r="J15" s="556"/>
      <c r="K15" t="s" s="540">
        <f>_xlfn.IFERROR(IF(VLOOKUP($E15,'BDD'!$A$1:$S$567,MATCH(K$10,'BDD'!$A$1:$P$1,0),FALSE)=0,"",VLOOKUP($E15,'BDD'!$A$1:$S$567,MATCH(K$10,'BDD'!$A$1:$P$1,0),FALSE)),"")</f>
      </c>
      <c r="L15" s="550"/>
      <c r="M15" s="555"/>
      <c r="N15" s="555"/>
      <c r="O15" s="534"/>
      <c r="P15" s="890"/>
    </row>
    <row r="16" ht="130.05" customHeight="1">
      <c r="A16" s="887"/>
      <c r="B16" s="542"/>
      <c r="C16" t="s" s="543">
        <f>IF(LEFT(RIGHT($B$1,2),1)=" ",RIGHT($B$1,1),RIGHT($B$1,2))</f>
        <v>2051</v>
      </c>
      <c r="D16" s="544">
        <f>IF(LEFT(F16,14)="Bonne pratique",D15+1,D15)</f>
        <v>1</v>
      </c>
      <c r="E16" t="s" s="545">
        <f>C16&amp;D16&amp;RIGHT(F16,1)</f>
        <v>2058</v>
      </c>
      <c r="F16" t="s" s="546">
        <v>1778</v>
      </c>
      <c r="G16" t="s" s="547">
        <f>_xlfn.IFERROR(IF(VLOOKUP($E16,'BDD'!$A$1:$S$567,MATCH(G$10,'BDD'!$A$1:$P$1,0),FALSE)=0,"",VLOOKUP($E16,'BDD'!$A$1:$S$567,MATCH(G$10,'BDD'!$A$1:$P$1,0),FALSE)),"")</f>
        <v>777</v>
      </c>
      <c r="H16" t="s" s="548">
        <f>IF(VLOOKUP(E16,'BDD'!$A$1:$S$567,15,FALSE)=0,"Critère non évalué","")</f>
        <v>1770</v>
      </c>
      <c r="I16" t="s" s="546">
        <f>_xlfn.IFERROR(IF(VLOOKUP($E16,'BDD'!$A$1:$S$567,MATCH(I$10,'BDD'!$A$1:$P$1,0),FALSE)=0,"",VLOOKUP($E16,'BDD'!$A$1:$S$567,MATCH(I$10,'BDD'!$A$1:$P$1,0),FALSE)),"")</f>
        <v>256</v>
      </c>
      <c r="J16" s="549"/>
      <c r="K16" t="s" s="547">
        <f>_xlfn.IFERROR(IF(VLOOKUP($E16,'BDD'!$A$1:$S$567,MATCH(K$10,'BDD'!$A$1:$P$1,0),FALSE)=0,"",VLOOKUP($E16,'BDD'!$A$1:$S$567,MATCH(K$10,'BDD'!$A$1:$P$1,0),FALSE)),"")</f>
        <v>778</v>
      </c>
      <c r="L16" s="550"/>
      <c r="M16" s="557"/>
      <c r="N16" s="557"/>
      <c r="O16" s="534"/>
      <c r="P16" s="890"/>
    </row>
    <row r="17" ht="130.05" customHeight="1" hidden="1">
      <c r="A17" s="887"/>
      <c r="B17" s="542"/>
      <c r="C17" t="s" s="543">
        <f>IF(LEFT(RIGHT($B$1,2),1)=" ",RIGHT($B$1,1),RIGHT($B$1,2))</f>
        <v>2051</v>
      </c>
      <c r="D17" s="544">
        <f>IF(LEFT(F17,14)="Bonne pratique",D16+1,D16)</f>
        <v>1</v>
      </c>
      <c r="E17" t="s" s="545">
        <f>C17&amp;D17&amp;RIGHT(F17,1)</f>
        <v>2059</v>
      </c>
      <c r="F17" t="s" s="552">
        <v>1780</v>
      </c>
      <c r="G17" t="s" s="540">
        <f>_xlfn.IFERROR(IF(VLOOKUP($E17,'BDD'!$A$1:$S$567,MATCH(G$10,'BDD'!$A$1:$P$1,0),FALSE)=0,"",VLOOKUP($E17,'BDD'!$A$1:$S$567,MATCH(G$10,'BDD'!$A$1:$P$1,0),FALSE)),"")</f>
      </c>
      <c r="H17" t="s" s="553">
        <f>IF(VLOOKUP(E17,'BDD'!$A$1:$S$567,15,FALSE)=0,"Critère non évalué","")</f>
        <v>1770</v>
      </c>
      <c r="I17" t="s" s="552">
        <f>_xlfn.IFERROR(IF(VLOOKUP($E17,'BDD'!$A$1:$S$567,MATCH(I$10,'BDD'!$A$1:$P$1,0),FALSE)=0,"",VLOOKUP($E17,'BDD'!$A$1:$S$567,MATCH(I$10,'BDD'!$A$1:$P$1,0),FALSE)),"")</f>
        <v>171</v>
      </c>
      <c r="J17" s="554"/>
      <c r="K17" t="s" s="540">
        <f>_xlfn.IFERROR(IF(VLOOKUP($E17,'BDD'!$A$1:$S$567,MATCH(K$10,'BDD'!$A$1:$P$1,0),FALSE)=0,"",VLOOKUP($E17,'BDD'!$A$1:$S$567,MATCH(K$10,'BDD'!$A$1:$P$1,0),FALSE)),"")</f>
      </c>
      <c r="L17" s="550"/>
      <c r="M17" s="555"/>
      <c r="N17" s="555"/>
      <c r="O17" s="534"/>
      <c r="P17" s="890"/>
    </row>
    <row r="18" ht="130.05" customHeight="1" hidden="1">
      <c r="A18" s="887"/>
      <c r="B18" s="542"/>
      <c r="C18" t="s" s="543">
        <f>IF(LEFT(RIGHT($B$1,2),1)=" ",RIGHT($B$1,1),RIGHT($B$1,2))</f>
        <v>2051</v>
      </c>
      <c r="D18" s="544">
        <f>IF(LEFT(F18,14)="Bonne pratique",D17+1,D17)</f>
        <v>1</v>
      </c>
      <c r="E18" t="s" s="545">
        <f>C18&amp;D18&amp;RIGHT(F18,1)</f>
        <v>2060</v>
      </c>
      <c r="F18" t="s" s="546">
        <v>1782</v>
      </c>
      <c r="G18" t="s" s="547">
        <f>_xlfn.IFERROR(IF(VLOOKUP($E18,'BDD'!$A$1:$S$567,MATCH(G$10,'BDD'!$A$1:$P$1,0),FALSE)=0,"",VLOOKUP($E18,'BDD'!$A$1:$S$567,MATCH(G$10,'BDD'!$A$1:$P$1,0),FALSE)),"")</f>
      </c>
      <c r="H18" t="s" s="548">
        <f>IF(VLOOKUP(E18,'BDD'!$A$1:$S$567,15,FALSE)=0,"Critère non évalué","")</f>
        <v>1770</v>
      </c>
      <c r="I18" t="s" s="546">
        <f>_xlfn.IFERROR(IF(VLOOKUP($E18,'BDD'!$A$1:$S$567,MATCH(I$10,'BDD'!$A$1:$P$1,0),FALSE)=0,"",VLOOKUP($E18,'BDD'!$A$1:$S$567,MATCH(I$10,'BDD'!$A$1:$P$1,0),FALSE)),"")</f>
        <v>171</v>
      </c>
      <c r="J18" s="549"/>
      <c r="K18" t="s" s="547">
        <f>_xlfn.IFERROR(IF(VLOOKUP($E18,'BDD'!$A$1:$S$567,MATCH(K$10,'BDD'!$A$1:$P$1,0),FALSE)=0,"",VLOOKUP($E18,'BDD'!$A$1:$S$567,MATCH(K$10,'BDD'!$A$1:$P$1,0),FALSE)),"")</f>
      </c>
      <c r="L18" s="550"/>
      <c r="M18" s="557"/>
      <c r="N18" s="557"/>
      <c r="O18" s="534"/>
      <c r="P18" s="890"/>
    </row>
    <row r="19" ht="18" customHeight="1">
      <c r="A19" s="887"/>
      <c r="B19" s="61"/>
      <c r="C19" t="s" s="513">
        <f>IF(LEFT(RIGHT($B$1,2),1)=" ",RIGHT($B$1,1),RIGHT($B$1,2))</f>
        <v>2051</v>
      </c>
      <c r="D19" s="514">
        <f>IF(LEFT(F19,14)="Bonne pratique",D18+1,D18)</f>
        <v>1</v>
      </c>
      <c r="E19" t="s" s="558">
        <f>C19&amp;D19&amp;RIGHT(F19,1)</f>
        <v>2061</v>
      </c>
      <c r="F19" s="559"/>
      <c r="G19" t="s" s="560">
        <f>IF('Suppl'!B80=2,"Le vecteur n'est pas utilisé","")</f>
      </c>
      <c r="H19" s="561"/>
      <c r="I19" s="561"/>
      <c r="J19" s="561"/>
      <c r="K19" s="561"/>
      <c r="L19" s="510"/>
      <c r="M19" s="559"/>
      <c r="N19" s="559"/>
      <c r="O19" s="61"/>
      <c r="P19" s="890"/>
    </row>
    <row r="20" ht="15" customHeight="1">
      <c r="A20" s="887"/>
      <c r="B20" s="61"/>
      <c r="C20" t="s" s="513">
        <f>IF(LEFT(RIGHT($B$1,2),1)=" ",RIGHT($B$1,1),RIGHT($B$1,2))</f>
        <v>2051</v>
      </c>
      <c r="D20" s="514">
        <f>IF(LEFT(F20,14)="Bonne pratique",D19+1,D19)</f>
        <v>1</v>
      </c>
      <c r="E20" t="s" s="558">
        <f>C20&amp;D20&amp;RIGHT(F20,1)</f>
        <v>2061</v>
      </c>
      <c r="F20" s="61"/>
      <c r="G20" s="61"/>
      <c r="H20" s="61"/>
      <c r="I20" s="61"/>
      <c r="J20" s="61"/>
      <c r="K20" s="61"/>
      <c r="L20" s="61"/>
      <c r="M20" s="61"/>
      <c r="N20" s="61"/>
      <c r="O20" s="61"/>
      <c r="P20" s="890"/>
    </row>
    <row r="21" ht="25.8" customHeight="1">
      <c r="A21" s="891"/>
      <c r="B21" s="512"/>
      <c r="C21" t="s" s="513">
        <f>IF(LEFT(RIGHT($B$1,2),1)=" ",RIGHT($B$1,1),RIGHT($B$1,2))</f>
        <v>2051</v>
      </c>
      <c r="D21" s="514">
        <f>IF(LEFT(F21,14)="Bonne pratique",D20+1,D20)</f>
        <v>2</v>
      </c>
      <c r="E21" t="s" s="558">
        <f>C21&amp;D21&amp;RIGHT(F21,1)</f>
        <v>2062</v>
      </c>
      <c r="F21" t="s" s="516">
        <v>1785</v>
      </c>
      <c r="G21" s="517"/>
      <c r="H21" s="518"/>
      <c r="I21" s="519"/>
      <c r="J21" t="s" s="520">
        <f>VLOOKUP(E28,'BDD'!$A$2:$N$567,6,FALSE)</f>
        <v>783</v>
      </c>
      <c r="K21" s="521"/>
      <c r="L21" s="517"/>
      <c r="M21" s="517"/>
      <c r="N21" s="517"/>
      <c r="O21" s="512"/>
      <c r="P21" s="892"/>
    </row>
    <row r="22" ht="15" customHeight="1">
      <c r="A22" s="887"/>
      <c r="B22" s="61"/>
      <c r="C22" t="s" s="513">
        <f>IF(LEFT(RIGHT($B$1,2),1)=" ",RIGHT($B$1,1),RIGHT($B$1,2))</f>
        <v>2051</v>
      </c>
      <c r="D22" s="514">
        <f>IF(LEFT(F22,14)="Bonne pratique",D21+1,D21)</f>
        <v>2</v>
      </c>
      <c r="E22" t="s" s="558">
        <f>C22&amp;D22&amp;RIGHT(F22,1)</f>
        <v>2063</v>
      </c>
      <c r="F22" s="61"/>
      <c r="G22" s="61"/>
      <c r="H22" s="61"/>
      <c r="I22" s="61"/>
      <c r="J22" s="61"/>
      <c r="K22" s="61"/>
      <c r="L22" s="61"/>
      <c r="M22" s="61"/>
      <c r="N22" s="61"/>
      <c r="O22" s="61"/>
      <c r="P22" s="890"/>
    </row>
    <row r="23" ht="18" customHeight="1">
      <c r="A23" s="893"/>
      <c r="B23" s="524"/>
      <c r="C23" t="s" s="513">
        <f>IF(LEFT(RIGHT($B$1,2),1)=" ",RIGHT($B$1,1),RIGHT($B$1,2))</f>
        <v>2051</v>
      </c>
      <c r="D23" s="514">
        <f>IF(LEFT(F23,14)="Bonne pratique",D22+1,D22)</f>
        <v>2</v>
      </c>
      <c r="E23" t="s" s="558">
        <f>C23&amp;D23&amp;RIGHT(F23,1)</f>
        <v>2063</v>
      </c>
      <c r="F23" s="524"/>
      <c r="G23" s="524"/>
      <c r="H23" s="524"/>
      <c r="I23" s="525"/>
      <c r="J23" t="s" s="526">
        <v>784</v>
      </c>
      <c r="K23" s="525"/>
      <c r="L23" s="524"/>
      <c r="M23" s="524"/>
      <c r="N23" s="524"/>
      <c r="O23" s="524"/>
      <c r="P23" s="894"/>
    </row>
    <row r="24" ht="18" customHeight="1">
      <c r="A24" s="887"/>
      <c r="B24" s="61"/>
      <c r="C24" t="s" s="513">
        <f>IF(LEFT(RIGHT($B$1,2),1)=" ",RIGHT($B$1,1),RIGHT($B$1,2))</f>
        <v>2051</v>
      </c>
      <c r="D24" s="514">
        <f>IF(LEFT(F24,14)="Bonne pratique",D23+1,D23)</f>
        <v>2</v>
      </c>
      <c r="E24" t="s" s="558">
        <f>C24&amp;D24&amp;RIGHT(F24,1)</f>
        <v>2063</v>
      </c>
      <c r="F24" s="61"/>
      <c r="G24" s="61"/>
      <c r="H24" s="61"/>
      <c r="I24" s="61"/>
      <c r="J24" s="528"/>
      <c r="K24" s="61"/>
      <c r="L24" s="61"/>
      <c r="M24" s="529"/>
      <c r="N24" s="529"/>
      <c r="O24" s="61"/>
      <c r="P24" s="890"/>
    </row>
    <row r="25" ht="15" customHeight="1">
      <c r="A25" s="887"/>
      <c r="B25" s="61"/>
      <c r="C25" t="s" s="513">
        <f>IF(LEFT(RIGHT($B$1,2),1)=" ",RIGHT($B$1,1),RIGHT($B$1,2))</f>
        <v>2051</v>
      </c>
      <c r="D25" s="514">
        <f>IF(LEFT(F25,14)="Bonne pratique",D24+1,D24)</f>
        <v>2</v>
      </c>
      <c r="E25" t="s" s="558">
        <f>C25&amp;D25&amp;RIGHT(F25,1)</f>
        <v>2063</v>
      </c>
      <c r="F25" s="61"/>
      <c r="G25" s="529"/>
      <c r="H25" s="529"/>
      <c r="I25" s="529"/>
      <c r="J25" s="530"/>
      <c r="K25" s="529"/>
      <c r="L25" s="542"/>
      <c r="M25" t="s" s="562">
        <v>1763</v>
      </c>
      <c r="N25" s="563"/>
      <c r="O25" s="534"/>
      <c r="P25" s="890"/>
    </row>
    <row r="26" ht="33" customHeight="1">
      <c r="A26" s="887"/>
      <c r="B26" s="61"/>
      <c r="C26" t="s" s="513">
        <f>IF(LEFT(RIGHT($B$1,2),1)=" ",RIGHT($B$1,1),RIGHT($B$1,2))</f>
        <v>2051</v>
      </c>
      <c r="D26" s="514">
        <f>IF(LEFT(F26,14)="Bonne pratique",D25+1,D25)</f>
        <v>2</v>
      </c>
      <c r="E26" t="s" s="558">
        <f>C26&amp;D26&amp;RIGHT(F26,1)</f>
        <v>2063</v>
      </c>
      <c r="F26" s="564"/>
      <c r="G26" t="s" s="536">
        <v>244</v>
      </c>
      <c r="H26" t="s" s="536">
        <v>1764</v>
      </c>
      <c r="I26" t="s" s="536">
        <v>1787</v>
      </c>
      <c r="J26" t="s" s="536">
        <v>1765</v>
      </c>
      <c r="K26" t="s" s="536">
        <v>1788</v>
      </c>
      <c r="L26" s="538"/>
      <c r="M26" t="s" s="539">
        <v>1766</v>
      </c>
      <c r="N26" t="s" s="540">
        <v>1767</v>
      </c>
      <c r="O26" s="534"/>
      <c r="P26" s="890"/>
    </row>
    <row r="27" ht="15" customHeight="1">
      <c r="A27" s="887"/>
      <c r="B27" s="61"/>
      <c r="C27" t="s" s="513">
        <f>IF(LEFT(RIGHT($B$1,2),1)=" ",RIGHT($B$1,1),RIGHT($B$1,2))</f>
        <v>2051</v>
      </c>
      <c r="D27" s="514">
        <f>IF(LEFT(F27,14)="Bonne pratique",D26+1,D26)</f>
        <v>2</v>
      </c>
      <c r="E27" t="s" s="558">
        <f>C27&amp;D27&amp;RIGHT(F27,1)</f>
        <v>2063</v>
      </c>
      <c r="F27" s="529"/>
      <c r="G27" s="541"/>
      <c r="H27" s="541"/>
      <c r="I27" s="541"/>
      <c r="J27" s="541"/>
      <c r="K27" s="541"/>
      <c r="L27" s="61"/>
      <c r="M27" s="541"/>
      <c r="N27" s="541"/>
      <c r="O27" s="61"/>
      <c r="P27" s="890"/>
    </row>
    <row r="28" ht="130.05" customHeight="1">
      <c r="A28" s="887"/>
      <c r="B28" s="542"/>
      <c r="C28" t="s" s="543">
        <f>IF(LEFT(RIGHT($B$1,2),1)=" ",RIGHT($B$1,1),RIGHT($B$1,2))</f>
        <v>2051</v>
      </c>
      <c r="D28" s="544">
        <f>IF(LEFT(F28,14)="Bonne pratique",D27+1,D27)</f>
        <v>2</v>
      </c>
      <c r="E28" t="s" s="545">
        <f>C28&amp;D28&amp;RIGHT(F28,1)</f>
        <v>2064</v>
      </c>
      <c r="F28" t="s" s="546">
        <v>1769</v>
      </c>
      <c r="G28" t="s" s="547">
        <f>_xlfn.IFERROR(IF(VLOOKUP($E28,'BDD'!$A$1:$S$567,MATCH(G$10,'BDD'!$A$1:$P$1,0),FALSE)=0,"",VLOOKUP($E28,'BDD'!$A$1:$S$567,MATCH(G$10,'BDD'!$A$1:$P$1,0),FALSE)),"")</f>
        <v>785</v>
      </c>
      <c r="H28" t="s" s="548">
        <f>IF(VLOOKUP(E28,'BDD'!$A$1:$S$567,15,FALSE)=0,"Critère non évalué","")</f>
        <v>1770</v>
      </c>
      <c r="I28" t="s" s="546">
        <f>_xlfn.IFERROR(IF(VLOOKUP($E28,'BDD'!$A$1:$S$567,MATCH(I$10,'BDD'!$A$1:$P$1,0),FALSE)=0,"",VLOOKUP($E28,'BDD'!$A$1:$S$567,MATCH(I$10,'BDD'!$A$1:$P$1,0),FALSE)),"")</f>
        <v>283</v>
      </c>
      <c r="J28" s="549"/>
      <c r="K28" t="s" s="547">
        <f>_xlfn.IFERROR(IF(VLOOKUP($E28,'BDD'!$A$1:$S$567,MATCH(K$10,'BDD'!$A$1:$P$1,0),FALSE)=0,"",VLOOKUP($E28,'BDD'!$A$1:$S$567,MATCH(K$10,'BDD'!$A$1:$P$1,0),FALSE)),"")</f>
        <v>786</v>
      </c>
      <c r="L28" s="550"/>
      <c r="M28" s="551"/>
      <c r="N28" s="551"/>
      <c r="O28" s="534"/>
      <c r="P28" s="890"/>
    </row>
    <row r="29" ht="185.4" customHeight="1">
      <c r="A29" s="887"/>
      <c r="B29" s="542"/>
      <c r="C29" t="s" s="543">
        <f>IF(LEFT(RIGHT($B$1,2),1)=" ",RIGHT($B$1,1),RIGHT($B$1,2))</f>
        <v>2051</v>
      </c>
      <c r="D29" s="544">
        <f>IF(LEFT(F29,14)="Bonne pratique",D28+1,D28)</f>
        <v>2</v>
      </c>
      <c r="E29" t="s" s="545">
        <f>C29&amp;D29&amp;RIGHT(F29,1)</f>
        <v>2062</v>
      </c>
      <c r="F29" t="s" s="552">
        <v>1772</v>
      </c>
      <c r="G29" t="s" s="540">
        <f>_xlfn.IFERROR(IF(VLOOKUP($E29,'BDD'!$A$1:$S$567,MATCH(G$10,'BDD'!$A$1:$P$1,0),FALSE)=0,"",VLOOKUP($E29,'BDD'!$A$1:$S$567,MATCH(G$10,'BDD'!$A$1:$P$1,0),FALSE)),"")</f>
        <v>788</v>
      </c>
      <c r="H29" t="s" s="553">
        <f>IF(VLOOKUP(E29,'BDD'!$A$1:$S$567,15,FALSE)=0,"Critère non évalué","")</f>
        <v>1770</v>
      </c>
      <c r="I29" t="s" s="552">
        <f>_xlfn.IFERROR(IF(VLOOKUP($E29,'BDD'!$A$1:$S$567,MATCH(I$10,'BDD'!$A$1:$P$1,0),FALSE)=0,"",VLOOKUP($E29,'BDD'!$A$1:$S$567,MATCH(I$10,'BDD'!$A$1:$P$1,0),FALSE)),"")</f>
        <v>263</v>
      </c>
      <c r="J29" s="554"/>
      <c r="K29" t="s" s="540">
        <f>_xlfn.IFERROR(IF(VLOOKUP($E29,'BDD'!$A$1:$S$567,MATCH(K$10,'BDD'!$A$1:$P$1,0),FALSE)=0,"",VLOOKUP($E29,'BDD'!$A$1:$S$567,MATCH(K$10,'BDD'!$A$1:$P$1,0),FALSE)),"")</f>
        <v>789</v>
      </c>
      <c r="L29" s="550"/>
      <c r="M29" s="555"/>
      <c r="N29" s="555"/>
      <c r="O29" s="534"/>
      <c r="P29" s="890"/>
    </row>
    <row r="30" ht="130.05" customHeight="1">
      <c r="A30" s="887"/>
      <c r="B30" s="542"/>
      <c r="C30" t="s" s="543">
        <f>IF(LEFT(RIGHT($B$1,2),1)=" ",RIGHT($B$1,1),RIGHT($B$1,2))</f>
        <v>2051</v>
      </c>
      <c r="D30" s="544">
        <f>IF(LEFT(F30,14)="Bonne pratique",D29+1,D29)</f>
        <v>2</v>
      </c>
      <c r="E30" t="s" s="545">
        <f>C30&amp;D30&amp;RIGHT(F30,1)</f>
        <v>2065</v>
      </c>
      <c r="F30" t="s" s="546">
        <v>1774</v>
      </c>
      <c r="G30" t="s" s="547">
        <f>_xlfn.IFERROR(IF(VLOOKUP($E30,'BDD'!$A$1:$S$567,MATCH(G$10,'BDD'!$A$1:$P$1,0),FALSE)=0,"",VLOOKUP($E30,'BDD'!$A$1:$S$567,MATCH(G$10,'BDD'!$A$1:$P$1,0),FALSE)),"")</f>
        <v>791</v>
      </c>
      <c r="H30" t="s" s="548">
        <f>IF(VLOOKUP(E30,'BDD'!$A$1:$S$567,15,FALSE)=0,"Critère non évalué","")</f>
        <v>1770</v>
      </c>
      <c r="I30" t="s" s="546">
        <f>_xlfn.IFERROR(IF(VLOOKUP($E30,'BDD'!$A$1:$S$567,MATCH(I$10,'BDD'!$A$1:$P$1,0),FALSE)=0,"",VLOOKUP($E30,'BDD'!$A$1:$S$567,MATCH(I$10,'BDD'!$A$1:$P$1,0),FALSE)),"")</f>
        <v>271</v>
      </c>
      <c r="J30" s="549"/>
      <c r="K30" t="s" s="547">
        <f>_xlfn.IFERROR(IF(VLOOKUP($E30,'BDD'!$A$1:$S$567,MATCH(K$10,'BDD'!$A$1:$P$1,0),FALSE)=0,"",VLOOKUP($E30,'BDD'!$A$1:$S$567,MATCH(K$10,'BDD'!$A$1:$P$1,0),FALSE)),"")</f>
        <v>792</v>
      </c>
      <c r="L30" s="550"/>
      <c r="M30" s="551"/>
      <c r="N30" s="551"/>
      <c r="O30" s="534"/>
      <c r="P30" s="890"/>
    </row>
    <row r="31" ht="130.05" customHeight="1">
      <c r="A31" s="887"/>
      <c r="B31" s="542"/>
      <c r="C31" t="s" s="543">
        <f>IF(LEFT(RIGHT($B$1,2),1)=" ",RIGHT($B$1,1),RIGHT($B$1,2))</f>
        <v>2051</v>
      </c>
      <c r="D31" s="544">
        <f>IF(LEFT(F31,14)="Bonne pratique",D30+1,D30)</f>
        <v>2</v>
      </c>
      <c r="E31" t="s" s="545">
        <f>C31&amp;D31&amp;RIGHT(F31,1)</f>
        <v>2066</v>
      </c>
      <c r="F31" t="s" s="552">
        <v>1776</v>
      </c>
      <c r="G31" t="s" s="540">
        <f>_xlfn.IFERROR(IF(VLOOKUP($E31,'BDD'!$A$1:$S$567,MATCH(G$10,'BDD'!$A$1:$P$1,0),FALSE)=0,"",VLOOKUP($E31,'BDD'!$A$1:$S$567,MATCH(G$10,'BDD'!$A$1:$P$1,0),FALSE)),"")</f>
        <v>794</v>
      </c>
      <c r="H31" t="s" s="553">
        <f>IF(VLOOKUP(E31,'BDD'!$A$1:$S$567,15,FALSE)=0,"Critère non évalué","")</f>
        <v>1770</v>
      </c>
      <c r="I31" t="s" s="552">
        <f>_xlfn.IFERROR(IF(VLOOKUP($E31,'BDD'!$A$1:$S$567,MATCH(I$10,'BDD'!$A$1:$P$1,0),FALSE)=0,"",VLOOKUP($E31,'BDD'!$A$1:$S$567,MATCH(I$10,'BDD'!$A$1:$P$1,0),FALSE)),"")</f>
        <v>271</v>
      </c>
      <c r="J31" s="556"/>
      <c r="K31" t="s" s="540">
        <f>_xlfn.IFERROR(IF(VLOOKUP($E31,'BDD'!$A$1:$S$567,MATCH(K$10,'BDD'!$A$1:$P$1,0),FALSE)=0,"",VLOOKUP($E31,'BDD'!$A$1:$S$567,MATCH(K$10,'BDD'!$A$1:$P$1,0),FALSE)),"")</f>
        <v>795</v>
      </c>
      <c r="L31" s="550"/>
      <c r="M31" s="555"/>
      <c r="N31" s="555"/>
      <c r="O31" s="534"/>
      <c r="P31" s="890"/>
    </row>
    <row r="32" ht="130.05" customHeight="1">
      <c r="A32" s="887"/>
      <c r="B32" s="542"/>
      <c r="C32" t="s" s="543">
        <f>IF(LEFT(RIGHT($B$1,2),1)=" ",RIGHT($B$1,1),RIGHT($B$1,2))</f>
        <v>2051</v>
      </c>
      <c r="D32" s="544">
        <f>IF(LEFT(F32,14)="Bonne pratique",D31+1,D31)</f>
        <v>2</v>
      </c>
      <c r="E32" t="s" s="545">
        <f>C32&amp;D32&amp;RIGHT(F32,1)</f>
        <v>2067</v>
      </c>
      <c r="F32" t="s" s="546">
        <v>1778</v>
      </c>
      <c r="G32" t="s" s="547">
        <f>_xlfn.IFERROR(IF(VLOOKUP($E32,'BDD'!$A$1:$S$567,MATCH(G$10,'BDD'!$A$1:$P$1,0),FALSE)=0,"",VLOOKUP($E32,'BDD'!$A$1:$S$567,MATCH(G$10,'BDD'!$A$1:$P$1,0),FALSE)),"")</f>
        <v>797</v>
      </c>
      <c r="H32" t="s" s="548">
        <f>IF(VLOOKUP(E32,'BDD'!$A$1:$S$567,15,FALSE)=0,"Critère non évalué","")</f>
        <v>1770</v>
      </c>
      <c r="I32" t="s" s="546">
        <f>_xlfn.IFERROR(IF(VLOOKUP($E32,'BDD'!$A$1:$S$567,MATCH(I$10,'BDD'!$A$1:$P$1,0),FALSE)=0,"",VLOOKUP($E32,'BDD'!$A$1:$S$567,MATCH(I$10,'BDD'!$A$1:$P$1,0),FALSE)),"")</f>
        <v>263</v>
      </c>
      <c r="J32" s="549"/>
      <c r="K32" t="s" s="547">
        <f>_xlfn.IFERROR(IF(VLOOKUP($E32,'BDD'!$A$1:$S$567,MATCH(K$10,'BDD'!$A$1:$P$1,0),FALSE)=0,"",VLOOKUP($E32,'BDD'!$A$1:$S$567,MATCH(K$10,'BDD'!$A$1:$P$1,0),FALSE)),"")</f>
        <v>798</v>
      </c>
      <c r="L32" s="550"/>
      <c r="M32" s="557"/>
      <c r="N32" s="557"/>
      <c r="O32" s="534"/>
      <c r="P32" s="890"/>
    </row>
    <row r="33" ht="129.6" customHeight="1">
      <c r="A33" s="887"/>
      <c r="B33" s="542"/>
      <c r="C33" t="s" s="543">
        <f>IF(LEFT(RIGHT($B$1,2),1)=" ",RIGHT($B$1,1),RIGHT($B$1,2))</f>
        <v>2051</v>
      </c>
      <c r="D33" s="544">
        <f>IF(LEFT(F33,14)="Bonne pratique",D32+1,D32)</f>
        <v>2</v>
      </c>
      <c r="E33" t="s" s="545">
        <f>C33&amp;D33&amp;RIGHT(F33,1)</f>
        <v>2068</v>
      </c>
      <c r="F33" t="s" s="552">
        <v>1780</v>
      </c>
      <c r="G33" t="s" s="540">
        <f>_xlfn.IFERROR(IF(VLOOKUP($E33,'BDD'!$A$1:$S$567,MATCH(G$10,'BDD'!$A$1:$P$1,0),FALSE)=0,"",VLOOKUP($E33,'BDD'!$A$1:$S$567,MATCH(G$10,'BDD'!$A$1:$P$1,0),FALSE)),"")</f>
        <v>800</v>
      </c>
      <c r="H33" t="s" s="553">
        <f>IF(VLOOKUP(E33,'BDD'!$A$1:$S$567,15,FALSE)=0,"Critère non évalué","")</f>
        <v>1770</v>
      </c>
      <c r="I33" t="s" s="552">
        <f>_xlfn.IFERROR(IF(VLOOKUP($E33,'BDD'!$A$1:$S$567,MATCH(I$10,'BDD'!$A$1:$P$1,0),FALSE)=0,"",VLOOKUP($E33,'BDD'!$A$1:$S$567,MATCH(I$10,'BDD'!$A$1:$P$1,0),FALSE)),"")</f>
        <v>291</v>
      </c>
      <c r="J33" s="554"/>
      <c r="K33" t="s" s="540">
        <f>_xlfn.IFERROR(IF(VLOOKUP($E33,'BDD'!$A$1:$S$567,MATCH(K$10,'BDD'!$A$1:$P$1,0),FALSE)=0,"",VLOOKUP($E33,'BDD'!$A$1:$S$567,MATCH(K$10,'BDD'!$A$1:$P$1,0),FALSE)),"")</f>
        <v>801</v>
      </c>
      <c r="L33" s="550"/>
      <c r="M33" s="555"/>
      <c r="N33" s="555"/>
      <c r="O33" s="534"/>
      <c r="P33" s="890"/>
    </row>
    <row r="34" ht="130.05" customHeight="1">
      <c r="A34" s="887"/>
      <c r="B34" s="542"/>
      <c r="C34" t="s" s="543">
        <f>IF(LEFT(RIGHT($B$1,2),1)=" ",RIGHT($B$1,1),RIGHT($B$1,2))</f>
        <v>2051</v>
      </c>
      <c r="D34" s="544">
        <f>IF(LEFT(F34,14)="Bonne pratique",D33+1,D33)</f>
        <v>2</v>
      </c>
      <c r="E34" t="s" s="545">
        <f>C34&amp;D34&amp;RIGHT(F34,1)</f>
        <v>2069</v>
      </c>
      <c r="F34" t="s" s="546">
        <v>1782</v>
      </c>
      <c r="G34" t="s" s="547">
        <f>_xlfn.IFERROR(IF(VLOOKUP($E34,'BDD'!$A$1:$S$567,MATCH(G$10,'BDD'!$A$1:$P$1,0),FALSE)=0,"",VLOOKUP($E34,'BDD'!$A$1:$S$567,MATCH(G$10,'BDD'!$A$1:$P$1,0),FALSE)),"")</f>
        <v>803</v>
      </c>
      <c r="H34" t="s" s="548">
        <f>IF(VLOOKUP(E34,'BDD'!$A$1:$S$567,15,FALSE)=0,"Critère non évalué","")</f>
        <v>1770</v>
      </c>
      <c r="I34" t="s" s="546">
        <f>_xlfn.IFERROR(IF(VLOOKUP($E34,'BDD'!$A$1:$S$567,MATCH(I$10,'BDD'!$A$1:$P$1,0),FALSE)=0,"",VLOOKUP($E34,'BDD'!$A$1:$S$567,MATCH(I$10,'BDD'!$A$1:$P$1,0),FALSE)),"")</f>
        <v>256</v>
      </c>
      <c r="J34" s="549"/>
      <c r="K34" t="s" s="547">
        <f>_xlfn.IFERROR(IF(VLOOKUP($E34,'BDD'!$A$1:$S$567,MATCH(K$10,'BDD'!$A$1:$P$1,0),FALSE)=0,"",VLOOKUP($E34,'BDD'!$A$1:$S$567,MATCH(K$10,'BDD'!$A$1:$P$1,0),FALSE)),"")</f>
      </c>
      <c r="L34" s="550"/>
      <c r="M34" s="557"/>
      <c r="N34" s="557"/>
      <c r="O34" s="534"/>
      <c r="P34" s="890"/>
    </row>
    <row r="35" ht="18" customHeight="1">
      <c r="A35" s="887"/>
      <c r="B35" s="61"/>
      <c r="C35" t="s" s="513">
        <f>IF(LEFT(RIGHT($B$1,2),1)=" ",RIGHT($B$1,1),RIGHT($B$1,2))</f>
        <v>2051</v>
      </c>
      <c r="D35" s="514">
        <f>IF(LEFT(F35,14)="Bonne pratique",D34+1,D34)</f>
        <v>2</v>
      </c>
      <c r="E35" t="s" s="558">
        <f>C35&amp;D35&amp;RIGHT(F35,1)</f>
        <v>2063</v>
      </c>
      <c r="F35" s="559"/>
      <c r="G35" t="s" s="560">
        <f>IF('Suppl'!B96=2,"Le vecteur n'est pas utilisé","")</f>
      </c>
      <c r="H35" s="561"/>
      <c r="I35" s="559"/>
      <c r="J35" s="561"/>
      <c r="K35" s="561"/>
      <c r="L35" s="510"/>
      <c r="M35" s="559"/>
      <c r="N35" s="559"/>
      <c r="O35" s="61"/>
      <c r="P35" s="890"/>
    </row>
    <row r="36" ht="15" customHeight="1">
      <c r="A36" s="887"/>
      <c r="B36" s="61"/>
      <c r="C36" t="s" s="513">
        <f>IF(LEFT(RIGHT($B$1,2),1)=" ",RIGHT($B$1,1),RIGHT($B$1,2))</f>
        <v>2051</v>
      </c>
      <c r="D36" s="514">
        <f>IF(LEFT(F36,14)="Bonne pratique",D35+1,D35)</f>
        <v>2</v>
      </c>
      <c r="E36" t="s" s="558">
        <f>C36&amp;D36&amp;RIGHT(F36,1)</f>
        <v>2063</v>
      </c>
      <c r="F36" s="61"/>
      <c r="G36" s="61"/>
      <c r="H36" s="61"/>
      <c r="I36" s="61"/>
      <c r="J36" s="61"/>
      <c r="K36" s="61"/>
      <c r="L36" s="61"/>
      <c r="M36" s="61"/>
      <c r="N36" s="61"/>
      <c r="O36" s="61"/>
      <c r="P36" s="890"/>
    </row>
    <row r="37" ht="25.8" customHeight="1">
      <c r="A37" s="891"/>
      <c r="B37" s="512"/>
      <c r="C37" t="s" s="513">
        <f>IF(LEFT(RIGHT($B$1,2),1)=" ",RIGHT($B$1,1),RIGHT($B$1,2))</f>
        <v>2051</v>
      </c>
      <c r="D37" s="514">
        <f>IF(LEFT(F37,14)="Bonne pratique",D36+1,D36)</f>
        <v>3</v>
      </c>
      <c r="E37" t="s" s="558">
        <f>C37&amp;D37&amp;RIGHT(F37,1)</f>
        <v>2070</v>
      </c>
      <c r="F37" t="s" s="516">
        <v>1797</v>
      </c>
      <c r="G37" s="517"/>
      <c r="H37" s="518"/>
      <c r="I37" s="519"/>
      <c r="J37" t="s" s="520">
        <f>VLOOKUP(E44,'BDD'!$A$2:$N$567,6,FALSE)</f>
        <v>804</v>
      </c>
      <c r="K37" s="521"/>
      <c r="L37" s="517"/>
      <c r="M37" s="517"/>
      <c r="N37" s="517"/>
      <c r="O37" s="512"/>
      <c r="P37" s="892"/>
    </row>
    <row r="38" ht="15" customHeight="1">
      <c r="A38" s="887"/>
      <c r="B38" s="61"/>
      <c r="C38" t="s" s="513">
        <f>IF(LEFT(RIGHT($B$1,2),1)=" ",RIGHT($B$1,1),RIGHT($B$1,2))</f>
        <v>2051</v>
      </c>
      <c r="D38" s="514">
        <f>IF(LEFT(F38,14)="Bonne pratique",D37+1,D37)</f>
        <v>3</v>
      </c>
      <c r="E38" t="s" s="558">
        <f>C38&amp;D38&amp;RIGHT(F38,1)</f>
        <v>2071</v>
      </c>
      <c r="F38" s="61"/>
      <c r="G38" s="61"/>
      <c r="H38" s="61"/>
      <c r="I38" s="61"/>
      <c r="J38" s="61"/>
      <c r="K38" s="61"/>
      <c r="L38" s="61"/>
      <c r="M38" s="61"/>
      <c r="N38" s="61"/>
      <c r="O38" s="61"/>
      <c r="P38" s="890"/>
    </row>
    <row r="39" ht="18" customHeight="1">
      <c r="A39" s="893"/>
      <c r="B39" s="524"/>
      <c r="C39" t="s" s="513">
        <f>IF(LEFT(RIGHT($B$1,2),1)=" ",RIGHT($B$1,1),RIGHT($B$1,2))</f>
        <v>2051</v>
      </c>
      <c r="D39" s="514">
        <f>IF(LEFT(F39,14)="Bonne pratique",D38+1,D38)</f>
        <v>3</v>
      </c>
      <c r="E39" t="s" s="558">
        <f>C39&amp;D39&amp;RIGHT(F39,1)</f>
        <v>2071</v>
      </c>
      <c r="F39" s="524"/>
      <c r="G39" s="524"/>
      <c r="H39" s="524"/>
      <c r="I39" s="525"/>
      <c r="J39" t="s" s="526">
        <v>805</v>
      </c>
      <c r="K39" s="525"/>
      <c r="L39" s="524"/>
      <c r="M39" s="524"/>
      <c r="N39" s="524"/>
      <c r="O39" s="524"/>
      <c r="P39" s="894"/>
    </row>
    <row r="40" ht="18" customHeight="1">
      <c r="A40" s="887"/>
      <c r="B40" s="61"/>
      <c r="C40" t="s" s="513">
        <f>IF(LEFT(RIGHT($B$1,2),1)=" ",RIGHT($B$1,1),RIGHT($B$1,2))</f>
        <v>2051</v>
      </c>
      <c r="D40" s="514">
        <f>IF(LEFT(F40,14)="Bonne pratique",D39+1,D39)</f>
        <v>3</v>
      </c>
      <c r="E40" t="s" s="558">
        <f>C40&amp;D40&amp;RIGHT(F40,1)</f>
        <v>2071</v>
      </c>
      <c r="F40" s="61"/>
      <c r="G40" s="61"/>
      <c r="H40" s="61"/>
      <c r="I40" s="61"/>
      <c r="J40" s="528"/>
      <c r="K40" s="61"/>
      <c r="L40" s="61"/>
      <c r="M40" s="529"/>
      <c r="N40" s="529"/>
      <c r="O40" s="61"/>
      <c r="P40" s="890"/>
    </row>
    <row r="41" ht="15" customHeight="1">
      <c r="A41" s="887"/>
      <c r="B41" s="61"/>
      <c r="C41" t="s" s="513">
        <f>IF(LEFT(RIGHT($B$1,2),1)=" ",RIGHT($B$1,1),RIGHT($B$1,2))</f>
        <v>2051</v>
      </c>
      <c r="D41" s="514">
        <f>IF(LEFT(F41,14)="Bonne pratique",D40+1,D40)</f>
        <v>3</v>
      </c>
      <c r="E41" t="s" s="558">
        <f>C41&amp;D41&amp;RIGHT(F41,1)</f>
        <v>2071</v>
      </c>
      <c r="F41" s="61"/>
      <c r="G41" s="529"/>
      <c r="H41" s="529"/>
      <c r="I41" s="529"/>
      <c r="J41" s="530"/>
      <c r="K41" s="529"/>
      <c r="L41" s="542"/>
      <c r="M41" t="s" s="562">
        <v>1763</v>
      </c>
      <c r="N41" s="563"/>
      <c r="O41" s="534"/>
      <c r="P41" s="890"/>
    </row>
    <row r="42" ht="33" customHeight="1">
      <c r="A42" s="887"/>
      <c r="B42" s="61"/>
      <c r="C42" t="s" s="513">
        <f>IF(LEFT(RIGHT($B$1,2),1)=" ",RIGHT($B$1,1),RIGHT($B$1,2))</f>
        <v>2051</v>
      </c>
      <c r="D42" s="514">
        <f>IF(LEFT(F42,14)="Bonne pratique",D41+1,D41)</f>
        <v>3</v>
      </c>
      <c r="E42" t="s" s="558">
        <f>C42&amp;D42&amp;RIGHT(F42,1)</f>
        <v>2071</v>
      </c>
      <c r="F42" s="535"/>
      <c r="G42" t="s" s="536">
        <v>244</v>
      </c>
      <c r="H42" t="s" s="536">
        <v>1764</v>
      </c>
      <c r="I42" t="s" s="536">
        <v>1787</v>
      </c>
      <c r="J42" t="s" s="536">
        <v>1765</v>
      </c>
      <c r="K42" t="s" s="536">
        <v>1788</v>
      </c>
      <c r="L42" s="538"/>
      <c r="M42" t="s" s="539">
        <v>1766</v>
      </c>
      <c r="N42" t="s" s="540">
        <v>1767</v>
      </c>
      <c r="O42" s="534"/>
      <c r="P42" s="890"/>
    </row>
    <row r="43" ht="15" customHeight="1">
      <c r="A43" s="887"/>
      <c r="B43" s="61"/>
      <c r="C43" t="s" s="513">
        <f>IF(LEFT(RIGHT($B$1,2),1)=" ",RIGHT($B$1,1),RIGHT($B$1,2))</f>
        <v>2051</v>
      </c>
      <c r="D43" s="514">
        <f>IF(LEFT(F43,14)="Bonne pratique",D42+1,D42)</f>
        <v>3</v>
      </c>
      <c r="E43" t="s" s="558">
        <f>C43&amp;D43&amp;RIGHT(F43,1)</f>
        <v>2071</v>
      </c>
      <c r="F43" s="529"/>
      <c r="G43" s="541"/>
      <c r="H43" s="541"/>
      <c r="I43" s="541"/>
      <c r="J43" s="541"/>
      <c r="K43" s="541"/>
      <c r="L43" s="61"/>
      <c r="M43" s="541"/>
      <c r="N43" s="541"/>
      <c r="O43" s="61"/>
      <c r="P43" s="890"/>
    </row>
    <row r="44" ht="130.05" customHeight="1">
      <c r="A44" s="887"/>
      <c r="B44" s="542"/>
      <c r="C44" t="s" s="543">
        <f>IF(LEFT(RIGHT($B$1,2),1)=" ",RIGHT($B$1,1),RIGHT($B$1,2))</f>
        <v>2051</v>
      </c>
      <c r="D44" s="544">
        <f>IF(LEFT(F44,14)="Bonne pratique",D43+1,D43)</f>
        <v>3</v>
      </c>
      <c r="E44" t="s" s="545">
        <f>C44&amp;D44&amp;RIGHT(F44,1)</f>
        <v>2072</v>
      </c>
      <c r="F44" t="s" s="546">
        <v>1769</v>
      </c>
      <c r="G44" t="s" s="547">
        <f>_xlfn.IFERROR(IF(VLOOKUP($E44,'BDD'!$A$1:$S$567,MATCH(G$10,'BDD'!$A$1:$P$1,0),FALSE)=0,"",VLOOKUP($E44,'BDD'!$A$1:$S$567,MATCH(G$10,'BDD'!$A$1:$P$1,0),FALSE)),"")</f>
        <v>806</v>
      </c>
      <c r="H44" t="s" s="548">
        <f>IF(VLOOKUP(E44,'BDD'!$A$1:$S$567,15,FALSE)=0,"Critère non évalué","")</f>
        <v>1770</v>
      </c>
      <c r="I44" t="s" s="546">
        <f>_xlfn.IFERROR(IF(VLOOKUP($E44,'BDD'!$A$1:$S$567,MATCH(I$10,'BDD'!$A$1:$P$1,0),FALSE)=0,"",VLOOKUP($E44,'BDD'!$A$1:$S$567,MATCH(I$10,'BDD'!$A$1:$P$1,0),FALSE)),"")</f>
        <v>263</v>
      </c>
      <c r="J44" s="549"/>
      <c r="K44" t="s" s="547">
        <f>_xlfn.IFERROR(IF(VLOOKUP($E44,'BDD'!$A$1:$S$567,MATCH(K$10,'BDD'!$A$1:$P$1,0),FALSE)=0,"",VLOOKUP($E44,'BDD'!$A$1:$S$567,MATCH(K$10,'BDD'!$A$1:$P$1,0),FALSE)),"")</f>
        <v>807</v>
      </c>
      <c r="L44" s="550"/>
      <c r="M44" s="551"/>
      <c r="N44" s="551"/>
      <c r="O44" s="534"/>
      <c r="P44" s="890"/>
    </row>
    <row r="45" ht="150" customHeight="1">
      <c r="A45" s="887"/>
      <c r="B45" s="542"/>
      <c r="C45" t="s" s="543">
        <f>IF(LEFT(RIGHT($B$1,2),1)=" ",RIGHT($B$1,1),RIGHT($B$1,2))</f>
        <v>2051</v>
      </c>
      <c r="D45" s="544">
        <f>IF(LEFT(F45,14)="Bonne pratique",D44+1,D44)</f>
        <v>3</v>
      </c>
      <c r="E45" t="s" s="545">
        <f>C45&amp;D45&amp;RIGHT(F45,1)</f>
        <v>2073</v>
      </c>
      <c r="F45" t="s" s="552">
        <v>1772</v>
      </c>
      <c r="G45" t="s" s="540">
        <f>_xlfn.IFERROR(IF(VLOOKUP($E45,'BDD'!$A$1:$S$567,MATCH(G$10,'BDD'!$A$1:$P$1,0),FALSE)=0,"",VLOOKUP($E45,'BDD'!$A$1:$S$567,MATCH(G$10,'BDD'!$A$1:$P$1,0),FALSE)),"")</f>
        <v>809</v>
      </c>
      <c r="H45" t="s" s="553">
        <f>IF(VLOOKUP(E45,'BDD'!$A$1:$S$567,15,FALSE)=0,"Critère non évalué","")</f>
        <v>1770</v>
      </c>
      <c r="I45" t="s" s="552">
        <f>_xlfn.IFERROR(IF(VLOOKUP($E45,'BDD'!$A$1:$S$567,MATCH(I$10,'BDD'!$A$1:$P$1,0),FALSE)=0,"",VLOOKUP($E45,'BDD'!$A$1:$S$567,MATCH(I$10,'BDD'!$A$1:$P$1,0),FALSE)),"")</f>
        <v>271</v>
      </c>
      <c r="J45" s="554"/>
      <c r="K45" t="s" s="540">
        <f>_xlfn.IFERROR(IF(VLOOKUP($E45,'BDD'!$A$1:$S$567,MATCH(K$10,'BDD'!$A$1:$P$1,0),FALSE)=0,"",VLOOKUP($E45,'BDD'!$A$1:$S$567,MATCH(K$10,'BDD'!$A$1:$P$1,0),FALSE)),"")</f>
        <v>810</v>
      </c>
      <c r="L45" s="550"/>
      <c r="M45" s="555"/>
      <c r="N45" s="555"/>
      <c r="O45" s="534"/>
      <c r="P45" s="890"/>
    </row>
    <row r="46" ht="130.05" customHeight="1">
      <c r="A46" s="887"/>
      <c r="B46" s="542"/>
      <c r="C46" t="s" s="543">
        <f>IF(LEFT(RIGHT($B$1,2),1)=" ",RIGHT($B$1,1),RIGHT($B$1,2))</f>
        <v>2051</v>
      </c>
      <c r="D46" s="544">
        <f>IF(LEFT(F46,14)="Bonne pratique",D45+1,D45)</f>
        <v>3</v>
      </c>
      <c r="E46" t="s" s="545">
        <f>C46&amp;D46&amp;RIGHT(F46,1)</f>
        <v>2070</v>
      </c>
      <c r="F46" t="s" s="546">
        <v>1774</v>
      </c>
      <c r="G46" t="s" s="547">
        <f>_xlfn.IFERROR(IF(VLOOKUP($E46,'BDD'!$A$1:$S$567,MATCH(G$10,'BDD'!$A$1:$P$1,0),FALSE)=0,"",VLOOKUP($E46,'BDD'!$A$1:$S$567,MATCH(G$10,'BDD'!$A$1:$P$1,0),FALSE)),"")</f>
        <v>812</v>
      </c>
      <c r="H46" t="s" s="548">
        <f>IF(VLOOKUP(E46,'BDD'!$A$1:$S$567,15,FALSE)=0,"Critère non évalué","")</f>
        <v>1770</v>
      </c>
      <c r="I46" t="s" s="546">
        <v>283</v>
      </c>
      <c r="J46" s="549"/>
      <c r="K46" t="s" s="547">
        <f>_xlfn.IFERROR(IF(VLOOKUP($E46,'BDD'!$A$1:$S$567,MATCH(K$10,'BDD'!$A$1:$P$1,0),FALSE)=0,"",VLOOKUP($E46,'BDD'!$A$1:$S$567,MATCH(K$10,'BDD'!$A$1:$P$1,0),FALSE)),"")</f>
        <v>813</v>
      </c>
      <c r="L46" s="550"/>
      <c r="M46" s="551"/>
      <c r="N46" s="551"/>
      <c r="O46" s="534"/>
      <c r="P46" s="890"/>
    </row>
    <row r="47" ht="120" customHeight="1">
      <c r="A47" s="887"/>
      <c r="B47" s="542"/>
      <c r="C47" t="s" s="543">
        <f>IF(LEFT(RIGHT($B$1,2),1)=" ",RIGHT($B$1,1),RIGHT($B$1,2))</f>
        <v>2051</v>
      </c>
      <c r="D47" s="544">
        <f>IF(LEFT(F47,14)="Bonne pratique",D46+1,D46)</f>
        <v>3</v>
      </c>
      <c r="E47" t="s" s="545">
        <f>C47&amp;D47&amp;RIGHT(F47,1)</f>
        <v>2074</v>
      </c>
      <c r="F47" t="s" s="552">
        <v>1776</v>
      </c>
      <c r="G47" t="s" s="540">
        <f>_xlfn.IFERROR(IF(VLOOKUP($E47,'BDD'!$A$1:$S$567,MATCH(G$10,'BDD'!$A$1:$P$1,0),FALSE)=0,"",VLOOKUP($E47,'BDD'!$A$1:$S$567,MATCH(G$10,'BDD'!$A$1:$P$1,0),FALSE)),"")</f>
        <v>815</v>
      </c>
      <c r="H47" t="s" s="553">
        <f>IF(VLOOKUP(E47,'BDD'!$A$1:$S$567,15,FALSE)=0,"Critère non évalué","")</f>
        <v>1770</v>
      </c>
      <c r="I47" t="s" s="552">
        <v>256</v>
      </c>
      <c r="J47" s="556"/>
      <c r="K47" t="s" s="540">
        <f>_xlfn.IFERROR(IF(VLOOKUP($E47,'BDD'!$A$1:$S$567,MATCH(K$10,'BDD'!$A$1:$P$1,0),FALSE)=0,"",VLOOKUP($E47,'BDD'!$A$1:$S$567,MATCH(K$10,'BDD'!$A$1:$P$1,0),FALSE)),"")</f>
        <v>816</v>
      </c>
      <c r="L47" s="550"/>
      <c r="M47" s="555"/>
      <c r="N47" s="555"/>
      <c r="O47" s="534"/>
      <c r="P47" s="890"/>
    </row>
    <row r="48" ht="130.05" customHeight="1">
      <c r="A48" s="887"/>
      <c r="B48" s="542"/>
      <c r="C48" t="s" s="543">
        <f>IF(LEFT(RIGHT($B$1,2),1)=" ",RIGHT($B$1,1),RIGHT($B$1,2))</f>
        <v>2051</v>
      </c>
      <c r="D48" s="544">
        <f>IF(LEFT(F48,14)="Bonne pratique",D47+1,D47)</f>
        <v>3</v>
      </c>
      <c r="E48" t="s" s="545">
        <f>C48&amp;D48&amp;RIGHT(F48,1)</f>
        <v>2075</v>
      </c>
      <c r="F48" t="s" s="546">
        <v>1778</v>
      </c>
      <c r="G48" t="s" s="547">
        <f>_xlfn.IFERROR(IF(VLOOKUP($E48,'BDD'!$A$1:$S$567,MATCH(G$10,'BDD'!$A$1:$P$1,0),FALSE)=0,"",VLOOKUP($E48,'BDD'!$A$1:$S$567,MATCH(G$10,'BDD'!$A$1:$P$1,0),FALSE)),"")</f>
        <v>818</v>
      </c>
      <c r="H48" t="s" s="548">
        <f>IF(VLOOKUP(E48,'BDD'!$A$1:$S$567,15,FALSE)=0,"Critère non évalué","")</f>
        <v>1770</v>
      </c>
      <c r="I48" t="s" s="546">
        <v>283</v>
      </c>
      <c r="J48" s="549"/>
      <c r="K48" t="s" s="547">
        <f>_xlfn.IFERROR(IF(VLOOKUP($E48,'BDD'!$A$1:$S$567,MATCH(K$10,'BDD'!$A$1:$P$1,0),FALSE)=0,"",VLOOKUP($E48,'BDD'!$A$1:$S$567,MATCH(K$10,'BDD'!$A$1:$P$1,0),FALSE)),"")</f>
        <v>819</v>
      </c>
      <c r="L48" s="550"/>
      <c r="M48" s="551"/>
      <c r="N48" s="551"/>
      <c r="O48" s="534"/>
      <c r="P48" s="890"/>
    </row>
    <row r="49" ht="120" customHeight="1" hidden="1">
      <c r="A49" s="887"/>
      <c r="B49" s="542"/>
      <c r="C49" t="s" s="543">
        <f>IF(LEFT(RIGHT($B$1,2),1)=" ",RIGHT($B$1,1),RIGHT($B$1,2))</f>
        <v>2051</v>
      </c>
      <c r="D49" s="544">
        <f>IF(LEFT(F49,14)="Bonne pratique",D48+1,D48)</f>
        <v>3</v>
      </c>
      <c r="E49" t="s" s="545">
        <f>C49&amp;D49&amp;RIGHT(F49,1)</f>
        <v>2076</v>
      </c>
      <c r="F49" t="s" s="552">
        <v>1780</v>
      </c>
      <c r="G49" t="s" s="540">
        <f>_xlfn.IFERROR(IF(VLOOKUP($E49,'BDD'!$A$1:$S$567,MATCH(G$10,'BDD'!$A$1:$P$1,0),FALSE)=0,"",VLOOKUP($E49,'BDD'!$A$1:$S$567,MATCH(G$10,'BDD'!$A$1:$P$1,0),FALSE)),"")</f>
      </c>
      <c r="H49" t="s" s="553">
        <f>IF(VLOOKUP(E49,'BDD'!$A$1:$S$567,15,FALSE)=0,"Critère non évalué","")</f>
        <v>1770</v>
      </c>
      <c r="I49" t="s" s="552">
        <v>256</v>
      </c>
      <c r="J49" s="556"/>
      <c r="K49" t="s" s="540">
        <f>_xlfn.IFERROR(IF(VLOOKUP($E49,'BDD'!$A$1:$S$567,MATCH(K$10,'BDD'!$A$1:$P$1,0),FALSE)=0,"",VLOOKUP($E49,'BDD'!$A$1:$S$567,MATCH(K$10,'BDD'!$A$1:$P$1,0),FALSE)),"")</f>
      </c>
      <c r="L49" s="550"/>
      <c r="M49" s="555"/>
      <c r="N49" s="555"/>
      <c r="O49" s="534"/>
      <c r="P49" s="890"/>
    </row>
    <row r="50" ht="130.05" customHeight="1" hidden="1">
      <c r="A50" s="887"/>
      <c r="B50" s="542"/>
      <c r="C50" t="s" s="543">
        <f>IF(LEFT(RIGHT($B$1,2),1)=" ",RIGHT($B$1,1),RIGHT($B$1,2))</f>
        <v>2051</v>
      </c>
      <c r="D50" s="544">
        <f>IF(LEFT(F50,14)="Bonne pratique",D49+1,D49)</f>
        <v>3</v>
      </c>
      <c r="E50" t="s" s="545">
        <f>C50&amp;D50&amp;RIGHT(F50,1)</f>
        <v>2077</v>
      </c>
      <c r="F50" t="s" s="546">
        <v>1782</v>
      </c>
      <c r="G50" t="s" s="547">
        <f>_xlfn.IFERROR(IF(VLOOKUP($E50,'BDD'!$A$1:$S$567,MATCH(G$10,'BDD'!$A$1:$P$1,0),FALSE)=0,"",VLOOKUP($E50,'BDD'!$A$1:$S$567,MATCH(G$10,'BDD'!$A$1:$P$1,0),FALSE)),"")</f>
      </c>
      <c r="H50" t="s" s="548">
        <f>IF(VLOOKUP(E50,'BDD'!$A$1:$S$567,15,FALSE)=0,"Critère non évalué","")</f>
        <v>1770</v>
      </c>
      <c r="I50" t="s" s="546">
        <v>283</v>
      </c>
      <c r="J50" s="549"/>
      <c r="K50" t="s" s="547">
        <f>_xlfn.IFERROR(IF(VLOOKUP($E50,'BDD'!$A$1:$S$567,MATCH(K$10,'BDD'!$A$1:$P$1,0),FALSE)=0,"",VLOOKUP($E50,'BDD'!$A$1:$S$567,MATCH(K$10,'BDD'!$A$1:$P$1,0),FALSE)),"")</f>
      </c>
      <c r="L50" s="550"/>
      <c r="M50" s="551"/>
      <c r="N50" s="551"/>
      <c r="O50" s="534"/>
      <c r="P50" s="890"/>
    </row>
    <row r="51" ht="18" customHeight="1">
      <c r="A51" s="887"/>
      <c r="B51" s="61"/>
      <c r="C51" t="s" s="513">
        <f>IF(LEFT(RIGHT($B$1,2),1)=" ",RIGHT($B$1,1),RIGHT($B$1,2))</f>
        <v>2051</v>
      </c>
      <c r="D51" s="61"/>
      <c r="E51" s="565"/>
      <c r="F51" s="559"/>
      <c r="G51" s="561"/>
      <c r="H51" s="561"/>
      <c r="I51" s="561"/>
      <c r="J51" s="561"/>
      <c r="K51" s="561"/>
      <c r="L51" s="510"/>
      <c r="M51" s="559"/>
      <c r="N51" s="559"/>
      <c r="O51" s="61"/>
      <c r="P51" s="890"/>
    </row>
    <row r="52" ht="15" customHeight="1">
      <c r="A52" s="887"/>
      <c r="B52" s="61"/>
      <c r="C52" t="s" s="513">
        <f>IF(LEFT(RIGHT($B$1,2),1)=" ",RIGHT($B$1,1),RIGHT($B$1,2))</f>
        <v>2051</v>
      </c>
      <c r="D52" s="514">
        <f>IF(LEFT(F52,14)="Bonne pratique",D48+1,D48)</f>
        <v>3</v>
      </c>
      <c r="E52" t="s" s="558">
        <f>C52&amp;D52&amp;RIGHT(F52,1)</f>
        <v>2071</v>
      </c>
      <c r="F52" s="61"/>
      <c r="G52" s="61"/>
      <c r="H52" s="61"/>
      <c r="I52" s="61"/>
      <c r="J52" s="61"/>
      <c r="K52" s="61"/>
      <c r="L52" s="61"/>
      <c r="M52" s="61"/>
      <c r="N52" s="61"/>
      <c r="O52" s="61"/>
      <c r="P52" s="890"/>
    </row>
    <row r="53" ht="25.8" customHeight="1">
      <c r="A53" s="891"/>
      <c r="B53" s="512"/>
      <c r="C53" t="s" s="513">
        <f>IF(LEFT(RIGHT($B$1,2),1)=" ",RIGHT($B$1,1),RIGHT($B$1,2))</f>
        <v>2051</v>
      </c>
      <c r="D53" s="514">
        <f>IF(LEFT(F53,14)="Bonne pratique",D52+1,D52)</f>
        <v>4</v>
      </c>
      <c r="E53" t="s" s="558">
        <f>C53&amp;D53&amp;RIGHT(F53,1)</f>
        <v>2078</v>
      </c>
      <c r="F53" t="s" s="516">
        <v>1806</v>
      </c>
      <c r="G53" s="517"/>
      <c r="H53" s="518"/>
      <c r="I53" s="519"/>
      <c r="J53" s="519">
        <f>VLOOKUP(E60,'BDD'!$A$2:$N$567,6,FALSE)</f>
      </c>
      <c r="K53" s="521"/>
      <c r="L53" s="517"/>
      <c r="M53" s="517"/>
      <c r="N53" s="517"/>
      <c r="O53" s="512"/>
      <c r="P53" s="892"/>
    </row>
    <row r="54" ht="15" customHeight="1">
      <c r="A54" s="887"/>
      <c r="B54" s="61"/>
      <c r="C54" t="s" s="513">
        <f>IF(LEFT(RIGHT($B$1,2),1)=" ",RIGHT($B$1,1),RIGHT($B$1,2))</f>
        <v>2051</v>
      </c>
      <c r="D54" s="514">
        <f>IF(LEFT(F54,14)="Bonne pratique",D53+1,D53)</f>
        <v>4</v>
      </c>
      <c r="E54" t="s" s="558">
        <f>C54&amp;D54&amp;RIGHT(F54,1)</f>
        <v>2079</v>
      </c>
      <c r="F54" s="61"/>
      <c r="G54" s="61"/>
      <c r="H54" s="61"/>
      <c r="I54" s="61"/>
      <c r="J54" s="61"/>
      <c r="K54" s="61"/>
      <c r="L54" s="61"/>
      <c r="M54" s="61"/>
      <c r="N54" s="61"/>
      <c r="O54" s="61"/>
      <c r="P54" s="890"/>
    </row>
    <row r="55" ht="18" customHeight="1">
      <c r="A55" s="893"/>
      <c r="B55" s="524"/>
      <c r="C55" t="s" s="513">
        <f>IF(LEFT(RIGHT($B$1,2),1)=" ",RIGHT($B$1,1),RIGHT($B$1,2))</f>
        <v>2051</v>
      </c>
      <c r="D55" s="514">
        <f>IF(LEFT(F55,14)="Bonne pratique",D54+1,D54)</f>
        <v>4</v>
      </c>
      <c r="E55" t="s" s="558">
        <f>C55&amp;D55&amp;RIGHT(F55,1)</f>
        <v>2079</v>
      </c>
      <c r="F55" s="524"/>
      <c r="G55" s="524"/>
      <c r="H55" s="524"/>
      <c r="I55" s="525"/>
      <c r="J55" t="s" s="526">
        <v>823</v>
      </c>
      <c r="K55" s="525"/>
      <c r="L55" s="524"/>
      <c r="M55" s="524"/>
      <c r="N55" s="524"/>
      <c r="O55" s="524"/>
      <c r="P55" s="894"/>
    </row>
    <row r="56" ht="18" customHeight="1">
      <c r="A56" s="887"/>
      <c r="B56" s="61"/>
      <c r="C56" t="s" s="513">
        <f>IF(LEFT(RIGHT($B$1,2),1)=" ",RIGHT($B$1,1),RIGHT($B$1,2))</f>
        <v>2051</v>
      </c>
      <c r="D56" s="514">
        <f>IF(LEFT(F56,14)="Bonne pratique",D55+1,D55)</f>
        <v>4</v>
      </c>
      <c r="E56" t="s" s="558">
        <f>C56&amp;D56&amp;RIGHT(F56,1)</f>
        <v>2079</v>
      </c>
      <c r="F56" s="61"/>
      <c r="G56" s="61"/>
      <c r="H56" s="61"/>
      <c r="I56" s="61"/>
      <c r="J56" s="528"/>
      <c r="K56" s="61"/>
      <c r="L56" s="61"/>
      <c r="M56" s="529"/>
      <c r="N56" s="529"/>
      <c r="O56" s="61"/>
      <c r="P56" s="890"/>
    </row>
    <row r="57" ht="15" customHeight="1">
      <c r="A57" s="887"/>
      <c r="B57" s="61"/>
      <c r="C57" t="s" s="513">
        <f>IF(LEFT(RIGHT($B$1,2),1)=" ",RIGHT($B$1,1),RIGHT($B$1,2))</f>
        <v>2051</v>
      </c>
      <c r="D57" s="514">
        <f>IF(LEFT(F57,14)="Bonne pratique",D56+1,D56)</f>
        <v>4</v>
      </c>
      <c r="E57" t="s" s="558">
        <f>C57&amp;D57&amp;RIGHT(F57,1)</f>
        <v>2079</v>
      </c>
      <c r="F57" s="61"/>
      <c r="G57" s="529"/>
      <c r="H57" s="529"/>
      <c r="I57" s="529"/>
      <c r="J57" s="530"/>
      <c r="K57" s="529"/>
      <c r="L57" s="542"/>
      <c r="M57" t="s" s="562">
        <v>1763</v>
      </c>
      <c r="N57" s="563"/>
      <c r="O57" s="534"/>
      <c r="P57" s="890"/>
    </row>
    <row r="58" ht="33" customHeight="1">
      <c r="A58" s="887"/>
      <c r="B58" s="61"/>
      <c r="C58" t="s" s="513">
        <f>IF(LEFT(RIGHT($B$1,2),1)=" ",RIGHT($B$1,1),RIGHT($B$1,2))</f>
        <v>2051</v>
      </c>
      <c r="D58" s="514">
        <f>IF(LEFT(F58,14)="Bonne pratique",D57+1,D57)</f>
        <v>4</v>
      </c>
      <c r="E58" t="s" s="558">
        <f>C58&amp;D58&amp;RIGHT(F58,1)</f>
        <v>2079</v>
      </c>
      <c r="F58" s="535"/>
      <c r="G58" t="s" s="536">
        <v>244</v>
      </c>
      <c r="H58" t="s" s="536">
        <v>1764</v>
      </c>
      <c r="I58" t="s" s="536">
        <v>1787</v>
      </c>
      <c r="J58" t="s" s="536">
        <v>1765</v>
      </c>
      <c r="K58" t="s" s="536">
        <v>1788</v>
      </c>
      <c r="L58" s="538"/>
      <c r="M58" t="s" s="539">
        <v>1766</v>
      </c>
      <c r="N58" t="s" s="540">
        <v>1767</v>
      </c>
      <c r="O58" s="534"/>
      <c r="P58" s="890"/>
    </row>
    <row r="59" ht="15" customHeight="1">
      <c r="A59" s="887"/>
      <c r="B59" s="61"/>
      <c r="C59" t="s" s="513">
        <f>IF(LEFT(RIGHT($B$1,2),1)=" ",RIGHT($B$1,1),RIGHT($B$1,2))</f>
        <v>2051</v>
      </c>
      <c r="D59" s="514">
        <f>IF(LEFT(F59,14)="Bonne pratique",D58+1,D58)</f>
        <v>4</v>
      </c>
      <c r="E59" t="s" s="558">
        <f>C59&amp;D59&amp;RIGHT(F59,1)</f>
        <v>2079</v>
      </c>
      <c r="F59" s="529"/>
      <c r="G59" s="541"/>
      <c r="H59" s="541"/>
      <c r="I59" s="541"/>
      <c r="J59" s="541"/>
      <c r="K59" s="541"/>
      <c r="L59" s="61"/>
      <c r="M59" s="541"/>
      <c r="N59" s="541"/>
      <c r="O59" s="61"/>
      <c r="P59" s="890"/>
    </row>
    <row r="60" ht="130.05" customHeight="1">
      <c r="A60" s="887"/>
      <c r="B60" s="542"/>
      <c r="C60" t="s" s="543">
        <f>IF(LEFT(RIGHT($B$1,2),1)=" ",RIGHT($B$1,1),RIGHT($B$1,2))</f>
        <v>2051</v>
      </c>
      <c r="D60" s="544">
        <f>IF(LEFT(F60,14)="Bonne pratique",D59+1,D59)</f>
        <v>4</v>
      </c>
      <c r="E60" t="s" s="545">
        <f>C60&amp;D60&amp;RIGHT(F60,1)</f>
        <v>2080</v>
      </c>
      <c r="F60" t="s" s="546">
        <v>1769</v>
      </c>
      <c r="G60" s="567">
        <f>_xlfn.IFERROR(IF(VLOOKUP($E60,'BDD'!$A$1:$S$567,MATCH(G$10,'BDD'!$A$1:$P$1,0),FALSE)=0,"",VLOOKUP($E60,'BDD'!$A$1:$S$567,MATCH(G$10,'BDD'!$A$1:$P$1,0),FALSE)),"")</f>
      </c>
      <c r="H60" s="568">
        <f>IF(VLOOKUP(E60,'BDD'!$A$1:$S$567,15,FALSE)=0,"Critère non évalué","")</f>
      </c>
      <c r="I60" s="569">
        <f>_xlfn.IFERROR(IF(VLOOKUP($E60,'BDD'!$A$1:$S$567,MATCH(I$10,'BDD'!$A$1:$P$1,0),FALSE)=0,"",VLOOKUP($E60,'BDD'!$A$1:$S$567,MATCH(I$10,'BDD'!$A$1:$P$1,0),FALSE)),"")</f>
      </c>
      <c r="J60" s="549"/>
      <c r="K60" s="567">
        <f>_xlfn.IFERROR(IF(VLOOKUP($E60,'BDD'!$A$1:$S$567,MATCH(K$10,'BDD'!$A$1:$P$1,0),FALSE)=0,"",VLOOKUP($E60,'BDD'!$A$1:$S$567,MATCH(K$10,'BDD'!$A$1:$P$1,0),FALSE)),"")</f>
      </c>
      <c r="L60" s="550"/>
      <c r="M60" s="551"/>
      <c r="N60" s="551"/>
      <c r="O60" s="534"/>
      <c r="P60" s="890"/>
    </row>
    <row r="61" ht="130.05" customHeight="1">
      <c r="A61" s="887"/>
      <c r="B61" s="542"/>
      <c r="C61" t="s" s="543">
        <f>IF(LEFT(RIGHT($B$1,2),1)=" ",RIGHT($B$1,1),RIGHT($B$1,2))</f>
        <v>2051</v>
      </c>
      <c r="D61" s="544">
        <f>IF(LEFT(F61,14)="Bonne pratique",D60+1,D60)</f>
        <v>4</v>
      </c>
      <c r="E61" s="566">
        <f>C61&amp;D61&amp;RIGHT(F61,1)</f>
      </c>
      <c r="F61" t="s" s="552">
        <v>1772</v>
      </c>
      <c r="G61" s="557">
        <f>_xlfn.IFERROR(IF(VLOOKUP($E61,'BDD'!$A$1:$S$567,MATCH(G$10,'BDD'!$A$1:$P$1,0),FALSE)=0,"",VLOOKUP($E61,'BDD'!$A$1:$S$567,MATCH(G$10,'BDD'!$A$1:$P$1,0),FALSE)),"")</f>
      </c>
      <c r="H61" s="570">
        <f>IF(VLOOKUP(E61,'BDD'!$A$1:$S$567,15,FALSE)=0,"Critère non évalué","")</f>
      </c>
      <c r="I61" s="571">
        <f>_xlfn.IFERROR(IF(VLOOKUP($E61,'BDD'!$A$1:$S$567,MATCH(I$10,'BDD'!$A$1:$P$1,0),FALSE)=0,"",VLOOKUP($E61,'BDD'!$A$1:$S$567,MATCH(I$10,'BDD'!$A$1:$P$1,0),FALSE)),"")</f>
      </c>
      <c r="J61" s="554"/>
      <c r="K61" s="557">
        <f>_xlfn.IFERROR(IF(VLOOKUP($E61,'BDD'!$A$1:$S$567,MATCH(K$10,'BDD'!$A$1:$P$1,0),FALSE)=0,"",VLOOKUP($E61,'BDD'!$A$1:$S$567,MATCH(K$10,'BDD'!$A$1:$P$1,0),FALSE)),"")</f>
      </c>
      <c r="L61" s="550"/>
      <c r="M61" s="555"/>
      <c r="N61" s="555"/>
      <c r="O61" s="534"/>
      <c r="P61" s="890"/>
    </row>
    <row r="62" ht="130.05" customHeight="1">
      <c r="A62" s="887"/>
      <c r="B62" s="542"/>
      <c r="C62" t="s" s="543">
        <f>IF(LEFT(RIGHT($B$1,2),1)=" ",RIGHT($B$1,1),RIGHT($B$1,2))</f>
        <v>2051</v>
      </c>
      <c r="D62" s="550">
        <f>IF(LEFT(F62,14)="Bonne pratique",D61+1,D61)</f>
      </c>
      <c r="E62" s="566">
        <f>C62&amp;D62&amp;RIGHT(F62,1)</f>
      </c>
      <c r="F62" t="s" s="546">
        <v>1774</v>
      </c>
      <c r="G62" s="567">
        <f>_xlfn.IFERROR(IF(VLOOKUP($E62,'BDD'!$A$1:$S$567,MATCH(G$10,'BDD'!$A$1:$P$1,0),FALSE)=0,"",VLOOKUP($E62,'BDD'!$A$1:$S$567,MATCH(G$10,'BDD'!$A$1:$P$1,0),FALSE)),"")</f>
      </c>
      <c r="H62" s="568">
        <f>IF(VLOOKUP(E62,'BDD'!$A$1:$S$567,15,FALSE)=0,"Critère non évalué","")</f>
      </c>
      <c r="I62" s="569">
        <f>_xlfn.IFERROR(IF(VLOOKUP($E62,'BDD'!$A$1:$S$567,MATCH(I$10,'BDD'!$A$1:$P$1,0),FALSE)=0,"",VLOOKUP($E62,'BDD'!$A$1:$S$567,MATCH(I$10,'BDD'!$A$1:$P$1,0),FALSE)),"")</f>
      </c>
      <c r="J62" s="549"/>
      <c r="K62" s="567">
        <f>_xlfn.IFERROR(IF(VLOOKUP($E62,'BDD'!$A$1:$S$567,MATCH(K$10,'BDD'!$A$1:$P$1,0),FALSE)=0,"",VLOOKUP($E62,'BDD'!$A$1:$S$567,MATCH(K$10,'BDD'!$A$1:$P$1,0),FALSE)),"")</f>
      </c>
      <c r="L62" s="550"/>
      <c r="M62" s="551"/>
      <c r="N62" s="551"/>
      <c r="O62" s="534"/>
      <c r="P62" s="890"/>
    </row>
    <row r="63" ht="130.05" customHeight="1">
      <c r="A63" s="887"/>
      <c r="B63" s="542"/>
      <c r="C63" t="s" s="543">
        <f>IF(LEFT(RIGHT($B$1,2),1)=" ",RIGHT($B$1,1),RIGHT($B$1,2))</f>
        <v>2051</v>
      </c>
      <c r="D63" s="550">
        <f>IF(LEFT(F63,14)="Bonne pratique",D62+1,D62)</f>
      </c>
      <c r="E63" s="566">
        <f>C63&amp;D63&amp;RIGHT(F63,1)</f>
      </c>
      <c r="F63" t="s" s="552">
        <v>1776</v>
      </c>
      <c r="G63" s="557">
        <f>_xlfn.IFERROR(IF(VLOOKUP($E63,'BDD'!$A$1:$S$567,MATCH(G$10,'BDD'!$A$1:$P$1,0),FALSE)=0,"",VLOOKUP($E63,'BDD'!$A$1:$S$567,MATCH(G$10,'BDD'!$A$1:$P$1,0),FALSE)),"")</f>
      </c>
      <c r="H63" s="570">
        <f>IF(VLOOKUP(E63,'BDD'!$A$1:$S$567,15,FALSE)=0,"Critère non évalué","")</f>
      </c>
      <c r="I63" s="571">
        <f>_xlfn.IFERROR(IF(VLOOKUP($E63,'BDD'!$A$1:$S$567,MATCH(I$10,'BDD'!$A$1:$P$1,0),FALSE)=0,"",VLOOKUP($E63,'BDD'!$A$1:$S$567,MATCH(I$10,'BDD'!$A$1:$P$1,0),FALSE)),"")</f>
      </c>
      <c r="J63" s="556"/>
      <c r="K63" s="557">
        <f>_xlfn.IFERROR(IF(VLOOKUP($E63,'BDD'!$A$1:$S$567,MATCH(K$10,'BDD'!$A$1:$P$1,0),FALSE)=0,"",VLOOKUP($E63,'BDD'!$A$1:$S$567,MATCH(K$10,'BDD'!$A$1:$P$1,0),FALSE)),"")</f>
      </c>
      <c r="L63" s="550"/>
      <c r="M63" s="555"/>
      <c r="N63" s="555"/>
      <c r="O63" s="534"/>
      <c r="P63" s="890"/>
    </row>
    <row r="64" ht="130.05" customHeight="1">
      <c r="A64" s="887"/>
      <c r="B64" s="542"/>
      <c r="C64" t="s" s="543">
        <f>IF(LEFT(RIGHT($B$1,2),1)=" ",RIGHT($B$1,1),RIGHT($B$1,2))</f>
        <v>2051</v>
      </c>
      <c r="D64" s="550">
        <f>IF(LEFT(F64,14)="Bonne pratique",D63+1,D63)</f>
      </c>
      <c r="E64" s="566">
        <f>C64&amp;D64&amp;RIGHT(F64,1)</f>
      </c>
      <c r="F64" t="s" s="546">
        <v>1778</v>
      </c>
      <c r="G64" s="567">
        <f>_xlfn.IFERROR(IF(VLOOKUP($E64,'BDD'!$A$1:$S$567,MATCH(G$10,'BDD'!$A$1:$P$1,0),FALSE)=0,"",VLOOKUP($E64,'BDD'!$A$1:$S$567,MATCH(G$10,'BDD'!$A$1:$P$1,0),FALSE)),"")</f>
      </c>
      <c r="H64" s="568">
        <f>IF(VLOOKUP(E64,'BDD'!$A$1:$S$567,15,FALSE)=0,"Critère non évalué","")</f>
      </c>
      <c r="I64" s="569">
        <f>_xlfn.IFERROR(IF(VLOOKUP($E64,'BDD'!$A$1:$S$567,MATCH(I$10,'BDD'!$A$1:$P$1,0),FALSE)=0,"",VLOOKUP($E64,'BDD'!$A$1:$S$567,MATCH(I$10,'BDD'!$A$1:$P$1,0),FALSE)),"")</f>
      </c>
      <c r="J64" s="549"/>
      <c r="K64" s="567">
        <f>_xlfn.IFERROR(IF(VLOOKUP($E64,'BDD'!$A$1:$S$567,MATCH(K$10,'BDD'!$A$1:$P$1,0),FALSE)=0,"",VLOOKUP($E64,'BDD'!$A$1:$S$567,MATCH(K$10,'BDD'!$A$1:$P$1,0),FALSE)),"")</f>
      </c>
      <c r="L64" s="550"/>
      <c r="M64" s="557"/>
      <c r="N64" s="557"/>
      <c r="O64" s="534"/>
      <c r="P64" s="890"/>
    </row>
    <row r="65" ht="130.05" customHeight="1" hidden="1">
      <c r="A65" s="887"/>
      <c r="B65" s="542"/>
      <c r="C65" t="s" s="543">
        <f>IF(LEFT(RIGHT($B$1,2),1)=" ",RIGHT($B$1,1),RIGHT($B$1,2))</f>
        <v>2051</v>
      </c>
      <c r="D65" s="550">
        <f>IF(LEFT(F65,14)="Bonne pratique",D64+1,D64)</f>
      </c>
      <c r="E65" s="566">
        <f>C65&amp;D65&amp;RIGHT(F65,1)</f>
      </c>
      <c r="F65" t="s" s="552">
        <v>1780</v>
      </c>
      <c r="G65" s="557">
        <f>_xlfn.IFERROR(IF(VLOOKUP($E65,'BDD'!$A$1:$S$567,MATCH(G$10,'BDD'!$A$1:$P$1,0),FALSE)=0,"",VLOOKUP($E65,'BDD'!$A$1:$S$567,MATCH(G$10,'BDD'!$A$1:$P$1,0),FALSE)),"")</f>
      </c>
      <c r="H65" s="570">
        <f>IF(VLOOKUP(E65,'BDD'!$A$1:$S$567,15,FALSE)=0,"Critère non évalué","")</f>
      </c>
      <c r="I65" s="571">
        <f>_xlfn.IFERROR(IF(VLOOKUP($E65,'BDD'!$A$1:$S$567,MATCH(I$10,'BDD'!$A$1:$P$1,0),FALSE)=0,"",VLOOKUP($E65,'BDD'!$A$1:$S$567,MATCH(I$10,'BDD'!$A$1:$P$1,0),FALSE)),"")</f>
      </c>
      <c r="J65" s="554"/>
      <c r="K65" s="557">
        <f>_xlfn.IFERROR(IF(VLOOKUP($E65,'BDD'!$A$1:$S$567,MATCH(K$10,'BDD'!$A$1:$P$1,0),FALSE)=0,"",VLOOKUP($E65,'BDD'!$A$1:$S$567,MATCH(K$10,'BDD'!$A$1:$P$1,0),FALSE)),"")</f>
      </c>
      <c r="L65" s="550"/>
      <c r="M65" s="555"/>
      <c r="N65" s="555"/>
      <c r="O65" s="534"/>
      <c r="P65" s="890"/>
    </row>
    <row r="66" ht="130.05" customHeight="1" hidden="1">
      <c r="A66" s="887"/>
      <c r="B66" s="542"/>
      <c r="C66" t="s" s="543">
        <f>IF(LEFT(RIGHT($B$1,2),1)=" ",RIGHT($B$1,1),RIGHT($B$1,2))</f>
        <v>2051</v>
      </c>
      <c r="D66" s="550">
        <f>IF(LEFT(F66,14)="Bonne pratique",D65+1,D65)</f>
      </c>
      <c r="E66" s="566">
        <f>C66&amp;D66&amp;RIGHT(F66,1)</f>
      </c>
      <c r="F66" t="s" s="546">
        <v>1782</v>
      </c>
      <c r="G66" s="567">
        <f>_xlfn.IFERROR(IF(VLOOKUP($E66,'BDD'!$A$1:$S$567,MATCH(G$10,'BDD'!$A$1:$P$1,0),FALSE)=0,"",VLOOKUP($E66,'BDD'!$A$1:$S$567,MATCH(G$10,'BDD'!$A$1:$P$1,0),FALSE)),"")</f>
      </c>
      <c r="H66" s="568">
        <f>IF(VLOOKUP(E66,'BDD'!$A$1:$S$567,15,FALSE)=0,"Critère non évalué","")</f>
      </c>
      <c r="I66" s="569">
        <f>_xlfn.IFERROR(IF(VLOOKUP($E66,'BDD'!$A$1:$S$567,MATCH(I$10,'BDD'!$A$1:$P$1,0),FALSE)=0,"",VLOOKUP($E66,'BDD'!$A$1:$S$567,MATCH(I$10,'BDD'!$A$1:$P$1,0),FALSE)),"")</f>
      </c>
      <c r="J66" s="549"/>
      <c r="K66" s="567">
        <f>_xlfn.IFERROR(IF(VLOOKUP($E66,'BDD'!$A$1:$S$567,MATCH(K$10,'BDD'!$A$1:$P$1,0),FALSE)=0,"",VLOOKUP($E66,'BDD'!$A$1:$S$567,MATCH(K$10,'BDD'!$A$1:$P$1,0),FALSE)),"")</f>
      </c>
      <c r="L66" s="550"/>
      <c r="M66" s="557"/>
      <c r="N66" s="557"/>
      <c r="O66" s="534"/>
      <c r="P66" s="890"/>
    </row>
    <row r="67" ht="15" customHeight="1">
      <c r="A67" s="887"/>
      <c r="B67" s="61"/>
      <c r="C67" t="s" s="513">
        <f>IF(LEFT(RIGHT($B$1,2),1)=" ",RIGHT($B$1,1),RIGHT($B$1,2))</f>
        <v>2051</v>
      </c>
      <c r="D67" s="61">
        <f>IF(LEFT(F67,14)="Bonne pratique",D66+1,D66)</f>
      </c>
      <c r="E67" s="565">
        <f>C67&amp;D67&amp;RIGHT(F67,1)</f>
      </c>
      <c r="F67" s="559"/>
      <c r="G67" s="559"/>
      <c r="H67" s="559"/>
      <c r="I67" s="559"/>
      <c r="J67" s="559"/>
      <c r="K67" s="559"/>
      <c r="L67" s="61"/>
      <c r="M67" s="559"/>
      <c r="N67" s="559"/>
      <c r="O67" s="61"/>
      <c r="P67" s="890"/>
    </row>
    <row r="68" ht="14.4" customHeight="1">
      <c r="A68" s="887"/>
      <c r="B68" s="61"/>
      <c r="C68" t="s" s="513">
        <f>IF(LEFT(RIGHT($B$1,2),1)=" ",RIGHT($B$1,1),RIGHT($B$1,2))</f>
        <v>2051</v>
      </c>
      <c r="D68" s="61"/>
      <c r="E68" s="565"/>
      <c r="F68" s="61"/>
      <c r="G68" s="61"/>
      <c r="H68" s="61"/>
      <c r="I68" s="61"/>
      <c r="J68" s="61"/>
      <c r="K68" s="61"/>
      <c r="L68" s="61"/>
      <c r="M68" s="61"/>
      <c r="N68" s="61"/>
      <c r="O68" s="61"/>
      <c r="P68" s="890"/>
    </row>
    <row r="69" ht="14.4" customHeight="1">
      <c r="A69" s="887"/>
      <c r="B69" s="61"/>
      <c r="C69" t="s" s="513">
        <f>IF(LEFT(RIGHT($B$1,2),1)=" ",RIGHT($B$1,1),RIGHT($B$1,2))</f>
        <v>2051</v>
      </c>
      <c r="D69" s="61"/>
      <c r="E69" s="565"/>
      <c r="F69" s="61"/>
      <c r="G69" s="61"/>
      <c r="H69" s="61"/>
      <c r="I69" s="61"/>
      <c r="J69" s="61"/>
      <c r="K69" s="61"/>
      <c r="L69" s="61"/>
      <c r="M69" s="61"/>
      <c r="N69" s="61"/>
      <c r="O69" s="61"/>
      <c r="P69" s="890"/>
    </row>
    <row r="70" ht="14.4" customHeight="1">
      <c r="A70" s="887"/>
      <c r="B70" s="61"/>
      <c r="C70" t="s" s="513">
        <f>IF(LEFT(RIGHT($B$1,2),1)=" ",RIGHT($B$1,1),RIGHT($B$1,2))</f>
        <v>2051</v>
      </c>
      <c r="D70" s="61"/>
      <c r="E70" s="565"/>
      <c r="F70" s="61"/>
      <c r="G70" s="61"/>
      <c r="H70" s="61"/>
      <c r="I70" s="61"/>
      <c r="J70" s="61"/>
      <c r="K70" s="61"/>
      <c r="L70" s="61"/>
      <c r="M70" s="61"/>
      <c r="N70" s="61"/>
      <c r="O70" s="61"/>
      <c r="P70" s="890"/>
    </row>
    <row r="71" ht="25.8" customHeight="1">
      <c r="A71" s="891"/>
      <c r="B71" s="512"/>
      <c r="C71" t="s" s="513">
        <f>IF(LEFT(RIGHT($B$1,2),1)=" ",RIGHT($B$1,1),RIGHT($B$1,2))</f>
        <v>2051</v>
      </c>
      <c r="D71" s="61">
        <f>IF(LEFT(F71,14)="Bonne pratique",D67+1,D67)</f>
      </c>
      <c r="E71" s="565">
        <f>C71&amp;D71&amp;RIGHT(F71,1)</f>
      </c>
      <c r="F71" t="s" s="516">
        <v>1814</v>
      </c>
      <c r="G71" s="517"/>
      <c r="H71" s="518"/>
      <c r="I71" s="519"/>
      <c r="J71" s="519">
        <f>VLOOKUP(E78,'BDD'!$A$2:$N$567,6,FALSE)</f>
      </c>
      <c r="K71" s="521"/>
      <c r="L71" s="517"/>
      <c r="M71" s="517"/>
      <c r="N71" s="517"/>
      <c r="O71" s="512"/>
      <c r="P71" s="892"/>
    </row>
    <row r="72" ht="15" customHeight="1">
      <c r="A72" s="887"/>
      <c r="B72" s="61"/>
      <c r="C72" t="s" s="513">
        <f>IF(LEFT(RIGHT($B$1,2),1)=" ",RIGHT($B$1,1),RIGHT($B$1,2))</f>
        <v>2051</v>
      </c>
      <c r="D72" s="61">
        <f>IF(LEFT(F72,14)="Bonne pratique",D71+1,D71)</f>
      </c>
      <c r="E72" s="565">
        <f>C72&amp;D72&amp;RIGHT(F72,1)</f>
      </c>
      <c r="F72" s="61"/>
      <c r="G72" s="61"/>
      <c r="H72" s="61"/>
      <c r="I72" s="61"/>
      <c r="J72" s="61"/>
      <c r="K72" s="61"/>
      <c r="L72" s="61"/>
      <c r="M72" s="61"/>
      <c r="N72" s="61"/>
      <c r="O72" s="61"/>
      <c r="P72" s="890"/>
    </row>
    <row r="73" ht="18" customHeight="1">
      <c r="A73" s="893"/>
      <c r="B73" s="524"/>
      <c r="C73" t="s" s="513">
        <f>IF(LEFT(RIGHT($B$1,2),1)=" ",RIGHT($B$1,1),RIGHT($B$1,2))</f>
        <v>2051</v>
      </c>
      <c r="D73" s="61">
        <f>IF(LEFT(F73,14)="Bonne pratique",D72+1,D72)</f>
      </c>
      <c r="E73" s="565">
        <f>C73&amp;D73&amp;RIGHT(F73,1)</f>
      </c>
      <c r="F73" s="524"/>
      <c r="G73" s="524"/>
      <c r="H73" s="524"/>
      <c r="I73" s="525"/>
      <c r="J73" t="s" s="526">
        <v>840</v>
      </c>
      <c r="K73" s="525"/>
      <c r="L73" s="524"/>
      <c r="M73" s="524"/>
      <c r="N73" s="524"/>
      <c r="O73" s="524"/>
      <c r="P73" s="894"/>
    </row>
    <row r="74" ht="18" customHeight="1">
      <c r="A74" s="887"/>
      <c r="B74" s="61"/>
      <c r="C74" t="s" s="513">
        <f>IF(LEFT(RIGHT($B$1,2),1)=" ",RIGHT($B$1,1),RIGHT($B$1,2))</f>
        <v>2051</v>
      </c>
      <c r="D74" s="61">
        <f>IF(LEFT(F74,14)="Bonne pratique",D73+1,D73)</f>
      </c>
      <c r="E74" s="565">
        <f>C74&amp;D74&amp;RIGHT(F74,1)</f>
      </c>
      <c r="F74" s="61"/>
      <c r="G74" s="61"/>
      <c r="H74" s="61"/>
      <c r="I74" s="61"/>
      <c r="J74" s="528"/>
      <c r="K74" s="61"/>
      <c r="L74" s="61"/>
      <c r="M74" s="529"/>
      <c r="N74" s="529"/>
      <c r="O74" s="61"/>
      <c r="P74" s="890"/>
    </row>
    <row r="75" ht="15" customHeight="1">
      <c r="A75" s="887"/>
      <c r="B75" s="61"/>
      <c r="C75" t="s" s="513">
        <f>IF(LEFT(RIGHT($B$1,2),1)=" ",RIGHT($B$1,1),RIGHT($B$1,2))</f>
        <v>2051</v>
      </c>
      <c r="D75" s="61">
        <f>IF(LEFT(F75,14)="Bonne pratique",D74+1,D74)</f>
      </c>
      <c r="E75" s="565">
        <f>C75&amp;D75&amp;RIGHT(F75,1)</f>
      </c>
      <c r="F75" s="61"/>
      <c r="G75" s="529"/>
      <c r="H75" s="529"/>
      <c r="I75" s="529"/>
      <c r="J75" s="530"/>
      <c r="K75" s="529"/>
      <c r="L75" s="542"/>
      <c r="M75" t="s" s="562">
        <v>1763</v>
      </c>
      <c r="N75" s="563"/>
      <c r="O75" s="534"/>
      <c r="P75" s="890"/>
    </row>
    <row r="76" ht="33" customHeight="1">
      <c r="A76" s="887"/>
      <c r="B76" s="61"/>
      <c r="C76" t="s" s="513">
        <f>IF(LEFT(RIGHT($B$1,2),1)=" ",RIGHT($B$1,1),RIGHT($B$1,2))</f>
        <v>2051</v>
      </c>
      <c r="D76" s="61">
        <f>IF(LEFT(F76,14)="Bonne pratique",D75+1,D75)</f>
      </c>
      <c r="E76" s="565">
        <f>C76&amp;D76&amp;RIGHT(F76,1)</f>
      </c>
      <c r="F76" s="564"/>
      <c r="G76" t="s" s="536">
        <v>244</v>
      </c>
      <c r="H76" t="s" s="536">
        <v>1764</v>
      </c>
      <c r="I76" t="s" s="536">
        <v>1787</v>
      </c>
      <c r="J76" t="s" s="536">
        <v>1765</v>
      </c>
      <c r="K76" t="s" s="536">
        <v>1788</v>
      </c>
      <c r="L76" s="538"/>
      <c r="M76" t="s" s="539">
        <v>1766</v>
      </c>
      <c r="N76" t="s" s="540">
        <v>1767</v>
      </c>
      <c r="O76" s="534"/>
      <c r="P76" s="890"/>
    </row>
    <row r="77" ht="15" customHeight="1">
      <c r="A77" s="887"/>
      <c r="B77" s="61"/>
      <c r="C77" t="s" s="513">
        <f>IF(LEFT(RIGHT($B$1,2),1)=" ",RIGHT($B$1,1),RIGHT($B$1,2))</f>
        <v>2051</v>
      </c>
      <c r="D77" s="61">
        <f>IF(LEFT(F77,14)="Bonne pratique",D76+1,D76)</f>
      </c>
      <c r="E77" s="565">
        <f>C77&amp;D77&amp;RIGHT(F77,1)</f>
      </c>
      <c r="F77" s="529"/>
      <c r="G77" s="541"/>
      <c r="H77" s="541"/>
      <c r="I77" s="541"/>
      <c r="J77" s="541"/>
      <c r="K77" s="541"/>
      <c r="L77" s="61"/>
      <c r="M77" s="541"/>
      <c r="N77" s="541"/>
      <c r="O77" s="61"/>
      <c r="P77" s="890"/>
    </row>
    <row r="78" ht="130.05" customHeight="1">
      <c r="A78" s="887"/>
      <c r="B78" s="542"/>
      <c r="C78" t="s" s="543">
        <f>IF(LEFT(RIGHT($B$1,2),1)=" ",RIGHT($B$1,1),RIGHT($B$1,2))</f>
        <v>2051</v>
      </c>
      <c r="D78" s="550">
        <f>IF(LEFT(F78,14)="Bonne pratique",D77+1,D77)</f>
      </c>
      <c r="E78" s="566">
        <f>C78&amp;D78&amp;RIGHT(F78,1)</f>
      </c>
      <c r="F78" t="s" s="546">
        <v>1769</v>
      </c>
      <c r="G78" s="567">
        <f>_xlfn.IFERROR(IF(VLOOKUP($E78,'BDD'!$A$1:$S$567,MATCH(G$10,'BDD'!$A$1:$P$1,0),FALSE)=0,"",VLOOKUP($E78,'BDD'!$A$1:$S$567,MATCH(G$10,'BDD'!$A$1:$P$1,0),FALSE)),"")</f>
      </c>
      <c r="H78" s="568">
        <f>IF(VLOOKUP(E78,'BDD'!$A$1:$S$567,15,FALSE)=0,"Critère non évalué","")</f>
      </c>
      <c r="I78" s="569">
        <f>_xlfn.IFERROR(IF(VLOOKUP($E78,'BDD'!$A$1:$S$567,MATCH(I$10,'BDD'!$A$1:$P$1,0),FALSE)=0,"",VLOOKUP($E78,'BDD'!$A$1:$S$567,MATCH(I$10,'BDD'!$A$1:$P$1,0),FALSE)),"")</f>
      </c>
      <c r="J78" s="549"/>
      <c r="K78" s="567">
        <f>_xlfn.IFERROR(IF(VLOOKUP($E78,'BDD'!$A$1:$S$567,MATCH(K$10,'BDD'!$A$1:$P$1,0),FALSE)=0,"",VLOOKUP($E78,'BDD'!$A$1:$S$567,MATCH(K$10,'BDD'!$A$1:$P$1,0),FALSE)),"")</f>
      </c>
      <c r="L78" s="550"/>
      <c r="M78" s="551"/>
      <c r="N78" s="551"/>
      <c r="O78" s="534"/>
      <c r="P78" s="890"/>
    </row>
    <row r="79" ht="130.05" customHeight="1">
      <c r="A79" s="887"/>
      <c r="B79" s="542"/>
      <c r="C79" t="s" s="543">
        <f>IF(LEFT(RIGHT($B$1,2),1)=" ",RIGHT($B$1,1),RIGHT($B$1,2))</f>
        <v>2051</v>
      </c>
      <c r="D79" s="550">
        <f>IF(LEFT(F79,14)="Bonne pratique",D78+1,D78)</f>
      </c>
      <c r="E79" s="566">
        <f>C79&amp;D79&amp;RIGHT(F79,1)</f>
      </c>
      <c r="F79" t="s" s="552">
        <v>1772</v>
      </c>
      <c r="G79" s="557">
        <f>_xlfn.IFERROR(IF(VLOOKUP($E79,'BDD'!$A$1:$S$567,MATCH(G$10,'BDD'!$A$1:$P$1,0),FALSE)=0,"",VLOOKUP($E79,'BDD'!$A$1:$S$567,MATCH(G$10,'BDD'!$A$1:$P$1,0),FALSE)),"")</f>
      </c>
      <c r="H79" s="570">
        <f>IF(VLOOKUP(E79,'BDD'!$A$1:$S$567,15,FALSE)=0,"Critère non évalué","")</f>
      </c>
      <c r="I79" s="571">
        <f>_xlfn.IFERROR(IF(VLOOKUP($E79,'BDD'!$A$1:$S$567,MATCH(I$10,'BDD'!$A$1:$P$1,0),FALSE)=0,"",VLOOKUP($E79,'BDD'!$A$1:$S$567,MATCH(I$10,'BDD'!$A$1:$P$1,0),FALSE)),"")</f>
      </c>
      <c r="J79" s="554"/>
      <c r="K79" s="557">
        <f>_xlfn.IFERROR(IF(VLOOKUP($E79,'BDD'!$A$1:$S$567,MATCH(K$10,'BDD'!$A$1:$P$1,0),FALSE)=0,"",VLOOKUP($E79,'BDD'!$A$1:$S$567,MATCH(K$10,'BDD'!$A$1:$P$1,0),FALSE)),"")</f>
      </c>
      <c r="L79" s="550"/>
      <c r="M79" s="555"/>
      <c r="N79" s="555"/>
      <c r="O79" s="534"/>
      <c r="P79" s="890"/>
    </row>
    <row r="80" ht="130.05" customHeight="1">
      <c r="A80" s="887"/>
      <c r="B80" s="542"/>
      <c r="C80" t="s" s="543">
        <f>IF(LEFT(RIGHT($B$1,2),1)=" ",RIGHT($B$1,1),RIGHT($B$1,2))</f>
        <v>2051</v>
      </c>
      <c r="D80" s="550">
        <f>IF(LEFT(F80,14)="Bonne pratique",D79+1,D79)</f>
      </c>
      <c r="E80" s="566">
        <f>C80&amp;D80&amp;RIGHT(F80,1)</f>
      </c>
      <c r="F80" t="s" s="546">
        <v>1774</v>
      </c>
      <c r="G80" s="567">
        <f>_xlfn.IFERROR(IF(VLOOKUP($E80,'BDD'!$A$1:$S$567,MATCH(G$10,'BDD'!$A$1:$P$1,0),FALSE)=0,"",VLOOKUP($E80,'BDD'!$A$1:$S$567,MATCH(G$10,'BDD'!$A$1:$P$1,0),FALSE)),"")</f>
      </c>
      <c r="H80" s="568">
        <f>IF(VLOOKUP(E80,'BDD'!$A$1:$S$567,15,FALSE)=0,"Critère non évalué","")</f>
      </c>
      <c r="I80" s="569">
        <f>_xlfn.IFERROR(IF(VLOOKUP($E80,'BDD'!$A$1:$S$567,MATCH(I$10,'BDD'!$A$1:$P$1,0),FALSE)=0,"",VLOOKUP($E80,'BDD'!$A$1:$S$567,MATCH(I$10,'BDD'!$A$1:$P$1,0),FALSE)),"")</f>
      </c>
      <c r="J80" s="549"/>
      <c r="K80" s="567">
        <f>_xlfn.IFERROR(IF(VLOOKUP($E80,'BDD'!$A$1:$S$567,MATCH(K$10,'BDD'!$A$1:$P$1,0),FALSE)=0,"",VLOOKUP($E80,'BDD'!$A$1:$S$567,MATCH(K$10,'BDD'!$A$1:$P$1,0),FALSE)),"")</f>
      </c>
      <c r="L80" s="550"/>
      <c r="M80" s="551"/>
      <c r="N80" s="551"/>
      <c r="O80" s="534"/>
      <c r="P80" s="890"/>
    </row>
    <row r="81" ht="130.05" customHeight="1">
      <c r="A81" s="887"/>
      <c r="B81" s="542"/>
      <c r="C81" t="s" s="543">
        <f>IF(LEFT(RIGHT($B$1,2),1)=" ",RIGHT($B$1,1),RIGHT($B$1,2))</f>
        <v>2051</v>
      </c>
      <c r="D81" s="550">
        <f>IF(LEFT(F81,14)="Bonne pratique",D80+1,D80)</f>
      </c>
      <c r="E81" s="566">
        <f>C81&amp;D81&amp;RIGHT(F81,1)</f>
      </c>
      <c r="F81" t="s" s="552">
        <v>1776</v>
      </c>
      <c r="G81" s="557">
        <f>_xlfn.IFERROR(IF(VLOOKUP($E81,'BDD'!$A$1:$S$567,MATCH(G$10,'BDD'!$A$1:$P$1,0),FALSE)=0,"",VLOOKUP($E81,'BDD'!$A$1:$S$567,MATCH(G$10,'BDD'!$A$1:$P$1,0),FALSE)),"")</f>
      </c>
      <c r="H81" s="570">
        <f>IF(VLOOKUP(E81,'BDD'!$A$1:$S$567,15,FALSE)=0,"Critère non évalué","")</f>
      </c>
      <c r="I81" s="571">
        <f>_xlfn.IFERROR(IF(VLOOKUP($E81,'BDD'!$A$1:$S$567,MATCH(I$10,'BDD'!$A$1:$P$1,0),FALSE)=0,"",VLOOKUP($E81,'BDD'!$A$1:$S$567,MATCH(I$10,'BDD'!$A$1:$P$1,0),FALSE)),"")</f>
      </c>
      <c r="J81" s="556"/>
      <c r="K81" s="557">
        <f>_xlfn.IFERROR(IF(VLOOKUP($E81,'BDD'!$A$1:$S$567,MATCH(K$10,'BDD'!$A$1:$P$1,0),FALSE)=0,"",VLOOKUP($E81,'BDD'!$A$1:$S$567,MATCH(K$10,'BDD'!$A$1:$P$1,0),FALSE)),"")</f>
      </c>
      <c r="L81" s="550"/>
      <c r="M81" s="555"/>
      <c r="N81" s="555"/>
      <c r="O81" s="534"/>
      <c r="P81" s="890"/>
    </row>
    <row r="82" ht="130.05" customHeight="1">
      <c r="A82" s="887"/>
      <c r="B82" s="542"/>
      <c r="C82" t="s" s="543">
        <f>IF(LEFT(RIGHT($B$1,2),1)=" ",RIGHT($B$1,1),RIGHT($B$1,2))</f>
        <v>2051</v>
      </c>
      <c r="D82" s="550">
        <f>IF(LEFT(F82,14)="Bonne pratique",D81+1,D81)</f>
      </c>
      <c r="E82" s="566">
        <f>C82&amp;D82&amp;RIGHT(F82,1)</f>
      </c>
      <c r="F82" t="s" s="546">
        <v>1778</v>
      </c>
      <c r="G82" s="567">
        <f>_xlfn.IFERROR(IF(VLOOKUP($E82,'BDD'!$A$1:$S$567,MATCH(G$10,'BDD'!$A$1:$P$1,0),FALSE)=0,"",VLOOKUP($E82,'BDD'!$A$1:$S$567,MATCH(G$10,'BDD'!$A$1:$P$1,0),FALSE)),"")</f>
      </c>
      <c r="H82" s="568">
        <f>IF(VLOOKUP(E82,'BDD'!$A$1:$S$567,15,FALSE)=0,"Critère non évalué","")</f>
      </c>
      <c r="I82" s="569">
        <f>_xlfn.IFERROR(IF(VLOOKUP($E82,'BDD'!$A$1:$S$567,MATCH(I$10,'BDD'!$A$1:$P$1,0),FALSE)=0,"",VLOOKUP($E82,'BDD'!$A$1:$S$567,MATCH(I$10,'BDD'!$A$1:$P$1,0),FALSE)),"")</f>
      </c>
      <c r="J82" s="549"/>
      <c r="K82" s="567">
        <f>_xlfn.IFERROR(IF(VLOOKUP($E82,'BDD'!$A$1:$S$567,MATCH(K$10,'BDD'!$A$1:$P$1,0),FALSE)=0,"",VLOOKUP($E82,'BDD'!$A$1:$S$567,MATCH(K$10,'BDD'!$A$1:$P$1,0),FALSE)),"")</f>
      </c>
      <c r="L82" s="550"/>
      <c r="M82" s="557"/>
      <c r="N82" s="557"/>
      <c r="O82" s="534"/>
      <c r="P82" s="890"/>
    </row>
    <row r="83" ht="130.05" customHeight="1">
      <c r="A83" s="887"/>
      <c r="B83" s="542"/>
      <c r="C83" t="s" s="543">
        <f>IF(LEFT(RIGHT($B$1,2),1)=" ",RIGHT($B$1,1),RIGHT($B$1,2))</f>
        <v>2051</v>
      </c>
      <c r="D83" s="550">
        <f>IF(LEFT(F83,14)="Bonne pratique",D82+1,D82)</f>
      </c>
      <c r="E83" s="566">
        <f>C83&amp;D83&amp;RIGHT(F83,1)</f>
      </c>
      <c r="F83" t="s" s="552">
        <v>1780</v>
      </c>
      <c r="G83" s="557">
        <f>_xlfn.IFERROR(IF(VLOOKUP($E83,'BDD'!$A$1:$S$567,MATCH(G$10,'BDD'!$A$1:$P$1,0),FALSE)=0,"",VLOOKUP($E83,'BDD'!$A$1:$S$567,MATCH(G$10,'BDD'!$A$1:$P$1,0),FALSE)),"")</f>
      </c>
      <c r="H83" s="570">
        <f>IF(VLOOKUP(E83,'BDD'!$A$1:$S$567,15,FALSE)=0,"Critère non évalué","")</f>
      </c>
      <c r="I83" s="571">
        <f>_xlfn.IFERROR(IF(VLOOKUP($E83,'BDD'!$A$1:$S$567,MATCH(I$10,'BDD'!$A$1:$P$1,0),FALSE)=0,"",VLOOKUP($E83,'BDD'!$A$1:$S$567,MATCH(I$10,'BDD'!$A$1:$P$1,0),FALSE)),"")</f>
      </c>
      <c r="J83" s="556"/>
      <c r="K83" s="557">
        <f>_xlfn.IFERROR(IF(VLOOKUP($E83,'BDD'!$A$1:$S$567,MATCH(K$10,'BDD'!$A$1:$P$1,0),FALSE)=0,"",VLOOKUP($E83,'BDD'!$A$1:$S$567,MATCH(K$10,'BDD'!$A$1:$P$1,0),FALSE)),"")</f>
      </c>
      <c r="L83" s="550"/>
      <c r="M83" s="555"/>
      <c r="N83" s="555"/>
      <c r="O83" s="534"/>
      <c r="P83" s="890"/>
    </row>
    <row r="84" ht="130.05" customHeight="1">
      <c r="A84" s="887"/>
      <c r="B84" s="542"/>
      <c r="C84" t="s" s="543">
        <f>IF(LEFT(RIGHT($B$1,2),1)=" ",RIGHT($B$1,1),RIGHT($B$1,2))</f>
        <v>2051</v>
      </c>
      <c r="D84" s="550">
        <f>IF(LEFT(F84,14)="Bonne pratique",D83+1,D83)</f>
      </c>
      <c r="E84" s="566">
        <f>C84&amp;D84&amp;RIGHT(F84,1)</f>
      </c>
      <c r="F84" t="s" s="546">
        <v>1782</v>
      </c>
      <c r="G84" s="567">
        <f>_xlfn.IFERROR(IF(VLOOKUP($E84,'BDD'!$A$1:$S$567,MATCH(G$10,'BDD'!$A$1:$P$1,0),FALSE)=0,"",VLOOKUP($E84,'BDD'!$A$1:$S$567,MATCH(G$10,'BDD'!$A$1:$P$1,0),FALSE)),"")</f>
      </c>
      <c r="H84" s="568">
        <f>IF(VLOOKUP(E84,'BDD'!$A$1:$S$567,15,FALSE)=0,"Critère non évalué","")</f>
      </c>
      <c r="I84" s="569">
        <f>_xlfn.IFERROR(IF(VLOOKUP($E84,'BDD'!$A$1:$S$567,MATCH(I$10,'BDD'!$A$1:$P$1,0),FALSE)=0,"",VLOOKUP($E84,'BDD'!$A$1:$S$567,MATCH(I$10,'BDD'!$A$1:$P$1,0),FALSE)),"")</f>
      </c>
      <c r="J84" s="549"/>
      <c r="K84" s="567">
        <f>_xlfn.IFERROR(IF(VLOOKUP($E84,'BDD'!$A$1:$S$567,MATCH(K$10,'BDD'!$A$1:$P$1,0),FALSE)=0,"",VLOOKUP($E84,'BDD'!$A$1:$S$567,MATCH(K$10,'BDD'!$A$1:$P$1,0),FALSE)),"")</f>
      </c>
      <c r="L84" s="550"/>
      <c r="M84" s="557"/>
      <c r="N84" s="557"/>
      <c r="O84" s="534"/>
      <c r="P84" s="890"/>
    </row>
    <row r="85" ht="14.4" customHeight="1">
      <c r="A85" s="887"/>
      <c r="B85" s="61"/>
      <c r="C85" t="s" s="513">
        <f>IF(LEFT(RIGHT($B$1,2),1)=" ",RIGHT($B$1,1),RIGHT($B$1,2))</f>
        <v>2051</v>
      </c>
      <c r="D85" s="61"/>
      <c r="E85" s="61"/>
      <c r="F85" s="541"/>
      <c r="G85" s="541"/>
      <c r="H85" s="541"/>
      <c r="I85" s="541"/>
      <c r="J85" s="541"/>
      <c r="K85" s="541"/>
      <c r="L85" s="61"/>
      <c r="M85" s="541"/>
      <c r="N85" s="541"/>
      <c r="O85" s="61"/>
      <c r="P85" s="890"/>
    </row>
    <row r="86" ht="14.4" customHeight="1" hidden="1">
      <c r="A86" s="887"/>
      <c r="B86" s="61"/>
      <c r="C86" t="s" s="513">
        <f>IF(LEFT(RIGHT($B$1,2),1)=" ",RIGHT($B$1,1),RIGHT($B$1,2))</f>
        <v>2051</v>
      </c>
      <c r="D86" s="61"/>
      <c r="E86" s="61"/>
      <c r="F86" s="541"/>
      <c r="G86" s="541"/>
      <c r="H86" s="541"/>
      <c r="I86" s="541"/>
      <c r="J86" s="541"/>
      <c r="K86" s="541"/>
      <c r="L86" s="61"/>
      <c r="M86" s="541"/>
      <c r="N86" s="541"/>
      <c r="O86" s="61"/>
      <c r="P86" s="890"/>
    </row>
    <row r="87" ht="30" customHeight="1" hidden="1">
      <c r="A87" s="891"/>
      <c r="B87" s="512"/>
      <c r="C87" t="s" s="513">
        <f>IF(LEFT(RIGHT($B$1,2),1)=" ",RIGHT($B$1,1),RIGHT($B$1,2))</f>
        <v>2051</v>
      </c>
      <c r="D87" s="61">
        <f>IF(LEFT(F87,14)="Bonne pratique",D83+1,D83)</f>
      </c>
      <c r="E87" s="565">
        <f>C87&amp;D87&amp;RIGHT(F87,1)</f>
      </c>
      <c r="F87" t="s" s="828">
        <v>1887</v>
      </c>
      <c r="G87" s="829"/>
      <c r="H87" s="830"/>
      <c r="I87" s="831"/>
      <c r="J87" s="831">
        <f>VLOOKUP(E94,'BDD'!$A$2:$N$567,6,FALSE)</f>
      </c>
      <c r="K87" s="832"/>
      <c r="L87" s="517"/>
      <c r="M87" s="829"/>
      <c r="N87" s="829"/>
      <c r="O87" s="512"/>
      <c r="P87" s="892"/>
    </row>
    <row r="88" ht="9" customHeight="1" hidden="1">
      <c r="A88" s="887"/>
      <c r="B88" s="61"/>
      <c r="C88" t="s" s="513">
        <f>IF(LEFT(RIGHT($B$1,2),1)=" ",RIGHT($B$1,1),RIGHT($B$1,2))</f>
        <v>2051</v>
      </c>
      <c r="D88" s="61">
        <f>IF(LEFT(F88,14)="Bonne pratique",D87+1,D87)</f>
      </c>
      <c r="E88" s="565">
        <f>C88&amp;D88&amp;RIGHT(F88,1)</f>
      </c>
      <c r="F88" s="541"/>
      <c r="G88" s="541"/>
      <c r="H88" s="541"/>
      <c r="I88" s="541"/>
      <c r="J88" s="541"/>
      <c r="K88" s="541"/>
      <c r="L88" s="61"/>
      <c r="M88" s="541"/>
      <c r="N88" s="541"/>
      <c r="O88" s="61"/>
      <c r="P88" s="890"/>
    </row>
    <row r="89" ht="18" customHeight="1" hidden="1">
      <c r="A89" s="893"/>
      <c r="B89" s="524"/>
      <c r="C89" t="s" s="513">
        <f>IF(LEFT(RIGHT($B$1,2),1)=" ",RIGHT($B$1,1),RIGHT($B$1,2))</f>
        <v>2051</v>
      </c>
      <c r="D89" s="61">
        <f>IF(LEFT(F89,14)="Bonne pratique",D88+1,D88)</f>
      </c>
      <c r="E89" s="565">
        <f>C89&amp;D89&amp;RIGHT(F89,1)</f>
      </c>
      <c r="F89" s="833"/>
      <c r="G89" s="833"/>
      <c r="H89" s="833"/>
      <c r="I89" s="834"/>
      <c r="J89" s="835"/>
      <c r="K89" s="834"/>
      <c r="L89" s="524"/>
      <c r="M89" s="833"/>
      <c r="N89" s="833"/>
      <c r="O89" s="524"/>
      <c r="P89" s="894"/>
    </row>
    <row r="90" ht="18" customHeight="1" hidden="1">
      <c r="A90" s="887"/>
      <c r="B90" s="61"/>
      <c r="C90" t="s" s="513">
        <f>IF(LEFT(RIGHT($B$1,2),1)=" ",RIGHT($B$1,1),RIGHT($B$1,2))</f>
        <v>2051</v>
      </c>
      <c r="D90" s="61">
        <f>IF(LEFT(F90,14)="Bonne pratique",D89+1,D89)</f>
      </c>
      <c r="E90" s="565">
        <f>C90&amp;D90&amp;RIGHT(F90,1)</f>
      </c>
      <c r="F90" s="541"/>
      <c r="G90" s="541"/>
      <c r="H90" s="541"/>
      <c r="I90" s="541"/>
      <c r="J90" s="836"/>
      <c r="K90" s="541"/>
      <c r="L90" s="61"/>
      <c r="M90" s="541"/>
      <c r="N90" s="541"/>
      <c r="O90" s="61"/>
      <c r="P90" s="890"/>
    </row>
    <row r="91" ht="9" customHeight="1" hidden="1">
      <c r="A91" s="887"/>
      <c r="B91" s="61"/>
      <c r="C91" t="s" s="513">
        <f>IF(LEFT(RIGHT($B$1,2),1)=" ",RIGHT($B$1,1),RIGHT($B$1,2))</f>
        <v>2051</v>
      </c>
      <c r="D91" s="61">
        <f>IF(LEFT(F91,14)="Bonne pratique",D90+1,D90)</f>
      </c>
      <c r="E91" s="565">
        <f>C91&amp;D91&amp;RIGHT(F91,1)</f>
      </c>
      <c r="F91" s="541"/>
      <c r="G91" s="541"/>
      <c r="H91" s="541"/>
      <c r="I91" s="541"/>
      <c r="J91" s="837"/>
      <c r="K91" s="541"/>
      <c r="L91" s="542"/>
      <c r="M91" t="s" s="562">
        <v>1763</v>
      </c>
      <c r="N91" s="563"/>
      <c r="O91" s="534"/>
      <c r="P91" s="890"/>
    </row>
    <row r="92" ht="33" customHeight="1" hidden="1">
      <c r="A92" s="887"/>
      <c r="B92" s="61"/>
      <c r="C92" t="s" s="513">
        <f>IF(LEFT(RIGHT($B$1,2),1)=" ",RIGHT($B$1,1),RIGHT($B$1,2))</f>
        <v>2051</v>
      </c>
      <c r="D92" s="61">
        <f>IF(LEFT(F92,14)="Bonne pratique",D91+1,D91)</f>
      </c>
      <c r="E92" s="565">
        <f>C92&amp;D92&amp;RIGHT(F92,1)</f>
      </c>
      <c r="F92" s="838"/>
      <c r="G92" t="s" s="536">
        <v>244</v>
      </c>
      <c r="H92" t="s" s="536">
        <v>1764</v>
      </c>
      <c r="I92" t="s" s="536">
        <v>1787</v>
      </c>
      <c r="J92" t="s" s="536">
        <v>1765</v>
      </c>
      <c r="K92" t="s" s="536">
        <v>1788</v>
      </c>
      <c r="L92" s="538"/>
      <c r="M92" t="s" s="539">
        <v>1766</v>
      </c>
      <c r="N92" t="s" s="540">
        <v>1767</v>
      </c>
      <c r="O92" s="534"/>
      <c r="P92" s="890"/>
    </row>
    <row r="93" ht="9" customHeight="1" hidden="1">
      <c r="A93" s="887"/>
      <c r="B93" s="61"/>
      <c r="C93" t="s" s="513">
        <f>IF(LEFT(RIGHT($B$1,2),1)=" ",RIGHT($B$1,1),RIGHT($B$1,2))</f>
        <v>2051</v>
      </c>
      <c r="D93" s="61">
        <f>IF(LEFT(F93,14)="Bonne pratique",D92+1,D92)</f>
      </c>
      <c r="E93" s="565">
        <f>C93&amp;D93&amp;RIGHT(F93,1)</f>
      </c>
      <c r="F93" s="541"/>
      <c r="G93" s="541"/>
      <c r="H93" s="541"/>
      <c r="I93" s="541"/>
      <c r="J93" s="541"/>
      <c r="K93" s="541"/>
      <c r="L93" s="61"/>
      <c r="M93" s="541"/>
      <c r="N93" s="541"/>
      <c r="O93" s="61"/>
      <c r="P93" s="890"/>
    </row>
    <row r="94" ht="130.05" customHeight="1" hidden="1">
      <c r="A94" s="887"/>
      <c r="B94" s="542"/>
      <c r="C94" t="s" s="543">
        <f>IF(LEFT(RIGHT($B$1,2),1)=" ",RIGHT($B$1,1),RIGHT($B$1,2))</f>
        <v>2051</v>
      </c>
      <c r="D94" s="550">
        <f>IF(LEFT(F94,14)="Bonne pratique",D93+1,D93)</f>
      </c>
      <c r="E94" s="566">
        <f>C94&amp;D94&amp;RIGHT(F94,1)</f>
      </c>
      <c r="F94" t="s" s="546">
        <v>1769</v>
      </c>
      <c r="G94" s="567">
        <f>_xlfn.IFERROR(IF(VLOOKUP($E94,'BDD'!$A$1:$S$567,MATCH(G$10,'BDD'!$A$1:$P$1,0),FALSE)=0,"",VLOOKUP($E94,'BDD'!$A$1:$S$567,MATCH(G$10,'BDD'!$A$1:$P$1,0),FALSE)),"")</f>
      </c>
      <c r="H94" s="568">
        <f>IF(VLOOKUP(E94,'BDD'!$A$1:$S$567,15,FALSE)=0,"Critère non évalué","")</f>
      </c>
      <c r="I94" s="569">
        <f>_xlfn.IFERROR(IF(VLOOKUP($E94,'BDD'!$A$1:$S$567,MATCH(I$10,'BDD'!$A$1:$P$1,0),FALSE)=0,"",VLOOKUP($E94,'BDD'!$A$1:$S$567,MATCH(I$10,'BDD'!$A$1:$P$1,0),FALSE)),"")</f>
      </c>
      <c r="J94" s="549"/>
      <c r="K94" s="567">
        <f>_xlfn.IFERROR(IF(VLOOKUP($E94,'BDD'!$A$1:$S$567,MATCH(K$10,'BDD'!$A$1:$P$1,0),FALSE)=0,"",VLOOKUP($E94,'BDD'!$A$1:$S$567,MATCH(K$10,'BDD'!$A$1:$P$1,0),FALSE)),"")</f>
      </c>
      <c r="L94" s="550"/>
      <c r="M94" s="551"/>
      <c r="N94" s="551"/>
      <c r="O94" s="534"/>
      <c r="P94" s="890"/>
    </row>
    <row r="95" ht="130.05" customHeight="1" hidden="1">
      <c r="A95" s="887"/>
      <c r="B95" s="542"/>
      <c r="C95" t="s" s="543">
        <f>IF(LEFT(RIGHT($B$1,2),1)=" ",RIGHT($B$1,1),RIGHT($B$1,2))</f>
        <v>2051</v>
      </c>
      <c r="D95" s="550">
        <f>IF(LEFT(F95,14)="Bonne pratique",D94+1,D94)</f>
      </c>
      <c r="E95" s="566">
        <f>C95&amp;D95&amp;RIGHT(F95,1)</f>
      </c>
      <c r="F95" t="s" s="552">
        <v>1772</v>
      </c>
      <c r="G95" s="557">
        <f>_xlfn.IFERROR(IF(VLOOKUP($E95,'BDD'!$A$1:$S$567,MATCH(G$10,'BDD'!$A$1:$P$1,0),FALSE)=0,"",VLOOKUP($E95,'BDD'!$A$1:$S$567,MATCH(G$10,'BDD'!$A$1:$P$1,0),FALSE)),"")</f>
      </c>
      <c r="H95" s="570">
        <f>IF(VLOOKUP(E95,'BDD'!$A$1:$S$567,15,FALSE)=0,"Critère non évalué","")</f>
      </c>
      <c r="I95" s="571">
        <f>_xlfn.IFERROR(IF(VLOOKUP($E95,'BDD'!$A$1:$S$567,MATCH(I$10,'BDD'!$A$1:$P$1,0),FALSE)=0,"",VLOOKUP($E95,'BDD'!$A$1:$S$567,MATCH(I$10,'BDD'!$A$1:$P$1,0),FALSE)),"")</f>
      </c>
      <c r="J95" s="554"/>
      <c r="K95" s="557">
        <f>_xlfn.IFERROR(IF(VLOOKUP($E95,'BDD'!$A$1:$S$567,MATCH(K$10,'BDD'!$A$1:$P$1,0),FALSE)=0,"",VLOOKUP($E95,'BDD'!$A$1:$S$567,MATCH(K$10,'BDD'!$A$1:$P$1,0),FALSE)),"")</f>
      </c>
      <c r="L95" s="550"/>
      <c r="M95" s="555"/>
      <c r="N95" s="555"/>
      <c r="O95" s="534"/>
      <c r="P95" s="890"/>
    </row>
    <row r="96" ht="130.05" customHeight="1" hidden="1">
      <c r="A96" s="887"/>
      <c r="B96" s="542"/>
      <c r="C96" t="s" s="543">
        <f>IF(LEFT(RIGHT($B$1,2),1)=" ",RIGHT($B$1,1),RIGHT($B$1,2))</f>
        <v>2051</v>
      </c>
      <c r="D96" s="550">
        <f>IF(LEFT(F96,14)="Bonne pratique",D95+1,D95)</f>
      </c>
      <c r="E96" s="566">
        <f>C96&amp;D96&amp;RIGHT(F96,1)</f>
      </c>
      <c r="F96" t="s" s="546">
        <v>1774</v>
      </c>
      <c r="G96" s="567">
        <f>_xlfn.IFERROR(IF(VLOOKUP($E96,'BDD'!$A$1:$S$567,MATCH(G$10,'BDD'!$A$1:$P$1,0),FALSE)=0,"",VLOOKUP($E96,'BDD'!$A$1:$S$567,MATCH(G$10,'BDD'!$A$1:$P$1,0),FALSE)),"")</f>
      </c>
      <c r="H96" s="568">
        <f>IF(VLOOKUP(E96,'BDD'!$A$1:$S$567,15,FALSE)=0,"Critère non évalué","")</f>
      </c>
      <c r="I96" s="569">
        <f>_xlfn.IFERROR(IF(VLOOKUP($E96,'BDD'!$A$1:$S$567,MATCH(I$10,'BDD'!$A$1:$P$1,0),FALSE)=0,"",VLOOKUP($E96,'BDD'!$A$1:$S$567,MATCH(I$10,'BDD'!$A$1:$P$1,0),FALSE)),"")</f>
      </c>
      <c r="J96" s="549"/>
      <c r="K96" s="567">
        <f>_xlfn.IFERROR(IF(VLOOKUP($E96,'BDD'!$A$1:$S$567,MATCH(K$10,'BDD'!$A$1:$P$1,0),FALSE)=0,"",VLOOKUP($E96,'BDD'!$A$1:$S$567,MATCH(K$10,'BDD'!$A$1:$P$1,0),FALSE)),"")</f>
      </c>
      <c r="L96" s="550"/>
      <c r="M96" s="551"/>
      <c r="N96" s="551"/>
      <c r="O96" s="534"/>
      <c r="P96" s="890"/>
    </row>
    <row r="97" ht="130.05" customHeight="1" hidden="1">
      <c r="A97" s="887"/>
      <c r="B97" s="542"/>
      <c r="C97" t="s" s="543">
        <f>IF(LEFT(RIGHT($B$1,2),1)=" ",RIGHT($B$1,1),RIGHT($B$1,2))</f>
        <v>2051</v>
      </c>
      <c r="D97" s="550">
        <f>IF(LEFT(F97,14)="Bonne pratique",D96+1,D96)</f>
      </c>
      <c r="E97" s="566">
        <f>C97&amp;D97&amp;RIGHT(F97,1)</f>
      </c>
      <c r="F97" t="s" s="552">
        <v>1776</v>
      </c>
      <c r="G97" s="557">
        <f>_xlfn.IFERROR(IF(VLOOKUP($E97,'BDD'!$A$1:$S$567,MATCH(G$10,'BDD'!$A$1:$P$1,0),FALSE)=0,"",VLOOKUP($E97,'BDD'!$A$1:$S$567,MATCH(G$10,'BDD'!$A$1:$P$1,0),FALSE)),"")</f>
      </c>
      <c r="H97" s="570">
        <f>IF(VLOOKUP(E97,'BDD'!$A$1:$S$567,15,FALSE)=0,"Critère non évalué","")</f>
      </c>
      <c r="I97" s="571">
        <f>_xlfn.IFERROR(IF(VLOOKUP($E97,'BDD'!$A$1:$S$567,MATCH(I$10,'BDD'!$A$1:$P$1,0),FALSE)=0,"",VLOOKUP($E97,'BDD'!$A$1:$S$567,MATCH(I$10,'BDD'!$A$1:$P$1,0),FALSE)),"")</f>
      </c>
      <c r="J97" s="556"/>
      <c r="K97" s="557">
        <f>_xlfn.IFERROR(IF(VLOOKUP($E97,'BDD'!$A$1:$S$567,MATCH(K$10,'BDD'!$A$1:$P$1,0),FALSE)=0,"",VLOOKUP($E97,'BDD'!$A$1:$S$567,MATCH(K$10,'BDD'!$A$1:$P$1,0),FALSE)),"")</f>
      </c>
      <c r="L97" s="550"/>
      <c r="M97" s="555"/>
      <c r="N97" s="555"/>
      <c r="O97" s="534"/>
      <c r="P97" s="890"/>
    </row>
    <row r="98" ht="130.05" customHeight="1" hidden="1">
      <c r="A98" s="887"/>
      <c r="B98" s="542"/>
      <c r="C98" t="s" s="543">
        <f>IF(LEFT(RIGHT($B$1,2),1)=" ",RIGHT($B$1,1),RIGHT($B$1,2))</f>
        <v>2051</v>
      </c>
      <c r="D98" s="550">
        <f>IF(LEFT(F98,14)="Bonne pratique",D97+1,D97)</f>
      </c>
      <c r="E98" s="566">
        <f>C98&amp;D98&amp;RIGHT(F98,1)</f>
      </c>
      <c r="F98" t="s" s="546">
        <v>1778</v>
      </c>
      <c r="G98" s="567">
        <f>_xlfn.IFERROR(IF(VLOOKUP($E98,'BDD'!$A$1:$S$567,MATCH(G$10,'BDD'!$A$1:$P$1,0),FALSE)=0,"",VLOOKUP($E98,'BDD'!$A$1:$S$567,MATCH(G$10,'BDD'!$A$1:$P$1,0),FALSE)),"")</f>
      </c>
      <c r="H98" s="568">
        <f>IF(VLOOKUP(E98,'BDD'!$A$1:$S$567,15,FALSE)=0,"Critère non évalué","")</f>
      </c>
      <c r="I98" s="569">
        <f>_xlfn.IFERROR(IF(VLOOKUP($E98,'BDD'!$A$1:$S$567,MATCH(I$10,'BDD'!$A$1:$P$1,0),FALSE)=0,"",VLOOKUP($E98,'BDD'!$A$1:$S$567,MATCH(I$10,'BDD'!$A$1:$P$1,0),FALSE)),"")</f>
      </c>
      <c r="J98" s="549"/>
      <c r="K98" s="567">
        <f>_xlfn.IFERROR(IF(VLOOKUP($E98,'BDD'!$A$1:$S$567,MATCH(K$10,'BDD'!$A$1:$P$1,0),FALSE)=0,"",VLOOKUP($E98,'BDD'!$A$1:$S$567,MATCH(K$10,'BDD'!$A$1:$P$1,0),FALSE)),"")</f>
      </c>
      <c r="L98" s="550"/>
      <c r="M98" s="557"/>
      <c r="N98" s="557"/>
      <c r="O98" s="534"/>
      <c r="P98" s="890"/>
    </row>
    <row r="99" ht="130.05" customHeight="1" hidden="1">
      <c r="A99" s="887"/>
      <c r="B99" s="542"/>
      <c r="C99" t="s" s="543">
        <f>IF(LEFT(RIGHT($B$1,2),1)=" ",RIGHT($B$1,1),RIGHT($B$1,2))</f>
        <v>2051</v>
      </c>
      <c r="D99" s="550">
        <f>IF(LEFT(F99,14)="Bonne pratique",D98+1,D98)</f>
      </c>
      <c r="E99" s="566">
        <f>C99&amp;D99&amp;RIGHT(F99,1)</f>
      </c>
      <c r="F99" t="s" s="552">
        <v>1780</v>
      </c>
      <c r="G99" s="557">
        <f>_xlfn.IFERROR(IF(VLOOKUP($E99,'BDD'!$A$1:$S$567,MATCH(G$10,'BDD'!$A$1:$P$1,0),FALSE)=0,"",VLOOKUP($E99,'BDD'!$A$1:$S$567,MATCH(G$10,'BDD'!$A$1:$P$1,0),FALSE)),"")</f>
      </c>
      <c r="H99" s="570">
        <f>IF(VLOOKUP(E99,'BDD'!$A$1:$S$567,15,FALSE)=0,"Critère non évalué","")</f>
      </c>
      <c r="I99" s="571">
        <f>_xlfn.IFERROR(IF(VLOOKUP($E99,'BDD'!$A$1:$S$567,MATCH(I$10,'BDD'!$A$1:$P$1,0),FALSE)=0,"",VLOOKUP($E99,'BDD'!$A$1:$S$567,MATCH(I$10,'BDD'!$A$1:$P$1,0),FALSE)),"")</f>
      </c>
      <c r="J99" s="556"/>
      <c r="K99" s="557">
        <f>_xlfn.IFERROR(IF(VLOOKUP($E99,'BDD'!$A$1:$S$567,MATCH(K$10,'BDD'!$A$1:$P$1,0),FALSE)=0,"",VLOOKUP($E99,'BDD'!$A$1:$S$567,MATCH(K$10,'BDD'!$A$1:$P$1,0),FALSE)),"")</f>
      </c>
      <c r="L99" s="550"/>
      <c r="M99" s="555"/>
      <c r="N99" s="555"/>
      <c r="O99" s="534"/>
      <c r="P99" s="890"/>
    </row>
    <row r="100" ht="130.05" customHeight="1" hidden="1">
      <c r="A100" s="887"/>
      <c r="B100" s="542"/>
      <c r="C100" t="s" s="543">
        <f>IF(LEFT(RIGHT($B$1,2),1)=" ",RIGHT($B$1,1),RIGHT($B$1,2))</f>
        <v>2051</v>
      </c>
      <c r="D100" s="550">
        <f>IF(LEFT(F100,14)="Bonne pratique",D99+1,D99)</f>
      </c>
      <c r="E100" s="566">
        <f>C100&amp;D100&amp;RIGHT(F100,1)</f>
      </c>
      <c r="F100" t="s" s="546">
        <v>1782</v>
      </c>
      <c r="G100" s="567">
        <f>_xlfn.IFERROR(IF(VLOOKUP($E100,'BDD'!$A$1:$S$567,MATCH(G$10,'BDD'!$A$1:$P$1,0),FALSE)=0,"",VLOOKUP($E100,'BDD'!$A$1:$S$567,MATCH(G$10,'BDD'!$A$1:$P$1,0),FALSE)),"")</f>
      </c>
      <c r="H100" s="568">
        <f>IF(VLOOKUP(E100,'BDD'!$A$1:$S$567,15,FALSE)=0,"Critère non évalué","")</f>
      </c>
      <c r="I100" s="569">
        <f>_xlfn.IFERROR(IF(VLOOKUP($E100,'BDD'!$A$1:$S$567,MATCH(I$10,'BDD'!$A$1:$P$1,0),FALSE)=0,"",VLOOKUP($E100,'BDD'!$A$1:$S$567,MATCH(I$10,'BDD'!$A$1:$P$1,0),FALSE)),"")</f>
      </c>
      <c r="J100" s="549"/>
      <c r="K100" s="567">
        <f>_xlfn.IFERROR(IF(VLOOKUP($E100,'BDD'!$A$1:$S$567,MATCH(K$10,'BDD'!$A$1:$P$1,0),FALSE)=0,"",VLOOKUP($E100,'BDD'!$A$1:$S$567,MATCH(K$10,'BDD'!$A$1:$P$1,0),FALSE)),"")</f>
      </c>
      <c r="L100" s="550"/>
      <c r="M100" s="557"/>
      <c r="N100" s="557"/>
      <c r="O100" s="534"/>
      <c r="P100" s="890"/>
    </row>
    <row r="101" ht="14.4" customHeight="1" hidden="1">
      <c r="A101" s="887"/>
      <c r="B101" s="61"/>
      <c r="C101" t="s" s="513">
        <f>IF(LEFT(RIGHT($B$1,2),1)=" ",RIGHT($B$1,1),RIGHT($B$1,2))</f>
        <v>2051</v>
      </c>
      <c r="D101" s="61"/>
      <c r="E101" s="61"/>
      <c r="F101" s="541"/>
      <c r="G101" s="541"/>
      <c r="H101" s="541"/>
      <c r="I101" s="541"/>
      <c r="J101" s="541"/>
      <c r="K101" s="541"/>
      <c r="L101" s="61"/>
      <c r="M101" s="541"/>
      <c r="N101" s="541"/>
      <c r="O101" s="61"/>
      <c r="P101" s="890"/>
    </row>
    <row r="102" ht="14.4" customHeight="1" hidden="1">
      <c r="A102" s="887"/>
      <c r="B102" s="61"/>
      <c r="C102" t="s" s="513">
        <f>IF(LEFT(RIGHT($B$1,2),1)=" ",RIGHT($B$1,1),RIGHT($B$1,2))</f>
        <v>2051</v>
      </c>
      <c r="D102" s="61"/>
      <c r="E102" s="61"/>
      <c r="F102" s="541"/>
      <c r="G102" s="541"/>
      <c r="H102" s="541"/>
      <c r="I102" s="541"/>
      <c r="J102" s="541"/>
      <c r="K102" s="541"/>
      <c r="L102" s="61"/>
      <c r="M102" s="541"/>
      <c r="N102" s="541"/>
      <c r="O102" s="61"/>
      <c r="P102" s="890"/>
    </row>
    <row r="103" ht="30" customHeight="1" hidden="1">
      <c r="A103" s="891"/>
      <c r="B103" s="512"/>
      <c r="C103" t="s" s="513">
        <f>IF(LEFT(RIGHT($B$1,2),1)=" ",RIGHT($B$1,1),RIGHT($B$1,2))</f>
        <v>2051</v>
      </c>
      <c r="D103" s="61">
        <f>IF(LEFT(F103,14)="Bonne pratique",D99+1,D99)</f>
      </c>
      <c r="E103" s="565">
        <f>C103&amp;D103&amp;RIGHT(F103,1)</f>
      </c>
      <c r="F103" t="s" s="828">
        <v>1888</v>
      </c>
      <c r="G103" s="829"/>
      <c r="H103" s="830"/>
      <c r="I103" s="831"/>
      <c r="J103" s="831">
        <f>VLOOKUP(E110,'BDD'!$A$2:$N$567,6,FALSE)</f>
      </c>
      <c r="K103" s="832"/>
      <c r="L103" s="517"/>
      <c r="M103" s="829"/>
      <c r="N103" s="829"/>
      <c r="O103" s="512"/>
      <c r="P103" s="892"/>
    </row>
    <row r="104" ht="9" customHeight="1" hidden="1">
      <c r="A104" s="887"/>
      <c r="B104" s="61"/>
      <c r="C104" t="s" s="513">
        <f>IF(LEFT(RIGHT($B$1,2),1)=" ",RIGHT($B$1,1),RIGHT($B$1,2))</f>
        <v>2051</v>
      </c>
      <c r="D104" s="61">
        <f>IF(LEFT(F104,14)="Bonne pratique",D103+1,D103)</f>
      </c>
      <c r="E104" s="565">
        <f>C104&amp;D104&amp;RIGHT(F104,1)</f>
      </c>
      <c r="F104" s="541"/>
      <c r="G104" s="541"/>
      <c r="H104" s="541"/>
      <c r="I104" s="541"/>
      <c r="J104" s="541"/>
      <c r="K104" s="541"/>
      <c r="L104" s="61"/>
      <c r="M104" s="541"/>
      <c r="N104" s="541"/>
      <c r="O104" s="61"/>
      <c r="P104" s="890"/>
    </row>
    <row r="105" ht="18" customHeight="1" hidden="1">
      <c r="A105" s="893"/>
      <c r="B105" s="524"/>
      <c r="C105" t="s" s="513">
        <f>IF(LEFT(RIGHT($B$1,2),1)=" ",RIGHT($B$1,1),RIGHT($B$1,2))</f>
        <v>2051</v>
      </c>
      <c r="D105" s="61">
        <f>IF(LEFT(F105,14)="Bonne pratique",D104+1,D104)</f>
      </c>
      <c r="E105" s="565">
        <f>C105&amp;D105&amp;RIGHT(F105,1)</f>
      </c>
      <c r="F105" s="833"/>
      <c r="G105" s="833"/>
      <c r="H105" s="833"/>
      <c r="I105" s="834"/>
      <c r="J105" s="835"/>
      <c r="K105" s="834"/>
      <c r="L105" s="524"/>
      <c r="M105" s="833"/>
      <c r="N105" s="833"/>
      <c r="O105" s="524"/>
      <c r="P105" s="894"/>
    </row>
    <row r="106" ht="18" customHeight="1" hidden="1">
      <c r="A106" s="887"/>
      <c r="B106" s="61"/>
      <c r="C106" t="s" s="513">
        <f>IF(LEFT(RIGHT($B$1,2),1)=" ",RIGHT($B$1,1),RIGHT($B$1,2))</f>
        <v>2051</v>
      </c>
      <c r="D106" s="61">
        <f>IF(LEFT(F106,14)="Bonne pratique",D105+1,D105)</f>
      </c>
      <c r="E106" s="565">
        <f>C106&amp;D106&amp;RIGHT(F106,1)</f>
      </c>
      <c r="F106" s="541"/>
      <c r="G106" s="541"/>
      <c r="H106" s="541"/>
      <c r="I106" s="541"/>
      <c r="J106" s="836"/>
      <c r="K106" s="541"/>
      <c r="L106" s="61"/>
      <c r="M106" s="541"/>
      <c r="N106" s="541"/>
      <c r="O106" s="61"/>
      <c r="P106" s="890"/>
    </row>
    <row r="107" ht="9" customHeight="1" hidden="1">
      <c r="A107" s="887"/>
      <c r="B107" s="61"/>
      <c r="C107" t="s" s="513">
        <f>IF(LEFT(RIGHT($B$1,2),1)=" ",RIGHT($B$1,1),RIGHT($B$1,2))</f>
        <v>2051</v>
      </c>
      <c r="D107" s="61">
        <f>IF(LEFT(F107,14)="Bonne pratique",D106+1,D106)</f>
      </c>
      <c r="E107" s="565">
        <f>C107&amp;D107&amp;RIGHT(F107,1)</f>
      </c>
      <c r="F107" s="541"/>
      <c r="G107" s="541"/>
      <c r="H107" s="541"/>
      <c r="I107" s="541"/>
      <c r="J107" s="837"/>
      <c r="K107" s="541"/>
      <c r="L107" s="542"/>
      <c r="M107" t="s" s="562">
        <v>1763</v>
      </c>
      <c r="N107" s="563"/>
      <c r="O107" s="534"/>
      <c r="P107" s="890"/>
    </row>
    <row r="108" ht="33" customHeight="1" hidden="1">
      <c r="A108" s="887"/>
      <c r="B108" s="61"/>
      <c r="C108" t="s" s="513">
        <f>IF(LEFT(RIGHT($B$1,2),1)=" ",RIGHT($B$1,1),RIGHT($B$1,2))</f>
        <v>2051</v>
      </c>
      <c r="D108" s="61">
        <f>IF(LEFT(F108,14)="Bonne pratique",D107+1,D107)</f>
      </c>
      <c r="E108" s="565">
        <f>C108&amp;D108&amp;RIGHT(F108,1)</f>
      </c>
      <c r="F108" s="838"/>
      <c r="G108" t="s" s="536">
        <v>244</v>
      </c>
      <c r="H108" t="s" s="536">
        <v>1764</v>
      </c>
      <c r="I108" t="s" s="536">
        <v>1787</v>
      </c>
      <c r="J108" t="s" s="536">
        <v>1765</v>
      </c>
      <c r="K108" t="s" s="536">
        <v>1788</v>
      </c>
      <c r="L108" s="538"/>
      <c r="M108" t="s" s="539">
        <v>1766</v>
      </c>
      <c r="N108" t="s" s="540">
        <v>1767</v>
      </c>
      <c r="O108" s="534"/>
      <c r="P108" s="890"/>
    </row>
    <row r="109" ht="9" customHeight="1" hidden="1">
      <c r="A109" s="887"/>
      <c r="B109" s="61"/>
      <c r="C109" t="s" s="513">
        <f>IF(LEFT(RIGHT($B$1,2),1)=" ",RIGHT($B$1,1),RIGHT($B$1,2))</f>
        <v>2051</v>
      </c>
      <c r="D109" s="61">
        <f>IF(LEFT(F109,14)="Bonne pratique",D108+1,D108)</f>
      </c>
      <c r="E109" s="565">
        <f>C109&amp;D109&amp;RIGHT(F109,1)</f>
      </c>
      <c r="F109" s="541"/>
      <c r="G109" s="541"/>
      <c r="H109" s="541"/>
      <c r="I109" s="541"/>
      <c r="J109" s="541"/>
      <c r="K109" s="541"/>
      <c r="L109" s="61"/>
      <c r="M109" s="541"/>
      <c r="N109" s="541"/>
      <c r="O109" s="61"/>
      <c r="P109" s="890"/>
    </row>
    <row r="110" ht="130.05" customHeight="1" hidden="1">
      <c r="A110" s="887"/>
      <c r="B110" s="542"/>
      <c r="C110" t="s" s="543">
        <f>IF(LEFT(RIGHT($B$1,2),1)=" ",RIGHT($B$1,1),RIGHT($B$1,2))</f>
        <v>2051</v>
      </c>
      <c r="D110" s="550">
        <f>IF(LEFT(F110,14)="Bonne pratique",D109+1,D109)</f>
      </c>
      <c r="E110" s="566">
        <f>C110&amp;D110&amp;RIGHT(F110,1)</f>
      </c>
      <c r="F110" t="s" s="546">
        <v>1769</v>
      </c>
      <c r="G110" s="567">
        <f>_xlfn.IFERROR(IF(VLOOKUP($E110,'BDD'!$A$1:$S$567,MATCH(G$10,'BDD'!$A$1:$P$1,0),FALSE)=0,"",VLOOKUP($E110,'BDD'!$A$1:$S$567,MATCH(G$10,'BDD'!$A$1:$P$1,0),FALSE)),"")</f>
      </c>
      <c r="H110" s="568">
        <f>IF(VLOOKUP(E110,'BDD'!$A$1:$S$567,15,FALSE)=0,"Critère non évalué","")</f>
      </c>
      <c r="I110" s="569">
        <f>_xlfn.IFERROR(IF(VLOOKUP($E110,'BDD'!$A$1:$S$567,MATCH(I$10,'BDD'!$A$1:$P$1,0),FALSE)=0,"",VLOOKUP($E110,'BDD'!$A$1:$S$567,MATCH(I$10,'BDD'!$A$1:$P$1,0),FALSE)),"")</f>
      </c>
      <c r="J110" s="549"/>
      <c r="K110" s="567">
        <f>_xlfn.IFERROR(IF(VLOOKUP($E110,'BDD'!$A$1:$S$567,MATCH(K$10,'BDD'!$A$1:$P$1,0),FALSE)=0,"",VLOOKUP($E110,'BDD'!$A$1:$S$567,MATCH(K$10,'BDD'!$A$1:$P$1,0),FALSE)),"")</f>
      </c>
      <c r="L110" s="550"/>
      <c r="M110" s="551"/>
      <c r="N110" s="551"/>
      <c r="O110" s="534"/>
      <c r="P110" s="890"/>
    </row>
    <row r="111" ht="130.05" customHeight="1" hidden="1">
      <c r="A111" s="887"/>
      <c r="B111" s="542"/>
      <c r="C111" t="s" s="543">
        <f>IF(LEFT(RIGHT($B$1,2),1)=" ",RIGHT($B$1,1),RIGHT($B$1,2))</f>
        <v>2051</v>
      </c>
      <c r="D111" s="550">
        <f>IF(LEFT(F111,14)="Bonne pratique",D110+1,D110)</f>
      </c>
      <c r="E111" s="566">
        <f>C111&amp;D111&amp;RIGHT(F111,1)</f>
      </c>
      <c r="F111" t="s" s="552">
        <v>1772</v>
      </c>
      <c r="G111" s="557">
        <f>_xlfn.IFERROR(IF(VLOOKUP($E111,'BDD'!$A$1:$S$567,MATCH(G$10,'BDD'!$A$1:$P$1,0),FALSE)=0,"",VLOOKUP($E111,'BDD'!$A$1:$S$567,MATCH(G$10,'BDD'!$A$1:$P$1,0),FALSE)),"")</f>
      </c>
      <c r="H111" s="570">
        <f>IF(VLOOKUP(E111,'BDD'!$A$1:$S$567,15,FALSE)=0,"Critère non évalué","")</f>
      </c>
      <c r="I111" s="571">
        <f>_xlfn.IFERROR(IF(VLOOKUP($E111,'BDD'!$A$1:$S$567,MATCH(I$10,'BDD'!$A$1:$P$1,0),FALSE)=0,"",VLOOKUP($E111,'BDD'!$A$1:$S$567,MATCH(I$10,'BDD'!$A$1:$P$1,0),FALSE)),"")</f>
      </c>
      <c r="J111" s="554"/>
      <c r="K111" s="557">
        <f>_xlfn.IFERROR(IF(VLOOKUP($E111,'BDD'!$A$1:$S$567,MATCH(K$10,'BDD'!$A$1:$P$1,0),FALSE)=0,"",VLOOKUP($E111,'BDD'!$A$1:$S$567,MATCH(K$10,'BDD'!$A$1:$P$1,0),FALSE)),"")</f>
      </c>
      <c r="L111" s="550"/>
      <c r="M111" s="555"/>
      <c r="N111" s="555"/>
      <c r="O111" s="534"/>
      <c r="P111" s="890"/>
    </row>
    <row r="112" ht="130.05" customHeight="1" hidden="1">
      <c r="A112" s="887"/>
      <c r="B112" s="542"/>
      <c r="C112" t="s" s="543">
        <f>IF(LEFT(RIGHT($B$1,2),1)=" ",RIGHT($B$1,1),RIGHT($B$1,2))</f>
        <v>2051</v>
      </c>
      <c r="D112" s="550">
        <f>IF(LEFT(F112,14)="Bonne pratique",D111+1,D111)</f>
      </c>
      <c r="E112" s="566">
        <f>C112&amp;D112&amp;RIGHT(F112,1)</f>
      </c>
      <c r="F112" t="s" s="546">
        <v>1774</v>
      </c>
      <c r="G112" s="567">
        <f>_xlfn.IFERROR(IF(VLOOKUP($E112,'BDD'!$A$1:$S$567,MATCH(G$10,'BDD'!$A$1:$P$1,0),FALSE)=0,"",VLOOKUP($E112,'BDD'!$A$1:$S$567,MATCH(G$10,'BDD'!$A$1:$P$1,0),FALSE)),"")</f>
      </c>
      <c r="H112" s="568">
        <f>IF(VLOOKUP(E112,'BDD'!$A$1:$S$567,15,FALSE)=0,"Critère non évalué","")</f>
      </c>
      <c r="I112" s="569">
        <f>_xlfn.IFERROR(IF(VLOOKUP($E112,'BDD'!$A$1:$S$567,MATCH(I$10,'BDD'!$A$1:$P$1,0),FALSE)=0,"",VLOOKUP($E112,'BDD'!$A$1:$S$567,MATCH(I$10,'BDD'!$A$1:$P$1,0),FALSE)),"")</f>
      </c>
      <c r="J112" s="549"/>
      <c r="K112" s="567">
        <f>_xlfn.IFERROR(IF(VLOOKUP($E112,'BDD'!$A$1:$S$567,MATCH(K$10,'BDD'!$A$1:$P$1,0),FALSE)=0,"",VLOOKUP($E112,'BDD'!$A$1:$S$567,MATCH(K$10,'BDD'!$A$1:$P$1,0),FALSE)),"")</f>
      </c>
      <c r="L112" s="550"/>
      <c r="M112" s="551"/>
      <c r="N112" s="551"/>
      <c r="O112" s="534"/>
      <c r="P112" s="890"/>
    </row>
    <row r="113" ht="130.05" customHeight="1" hidden="1">
      <c r="A113" s="887"/>
      <c r="B113" s="542"/>
      <c r="C113" t="s" s="543">
        <f>IF(LEFT(RIGHT($B$1,2),1)=" ",RIGHT($B$1,1),RIGHT($B$1,2))</f>
        <v>2051</v>
      </c>
      <c r="D113" s="550">
        <f>IF(LEFT(F113,14)="Bonne pratique",D112+1,D112)</f>
      </c>
      <c r="E113" s="566">
        <f>C113&amp;D113&amp;RIGHT(F113,1)</f>
      </c>
      <c r="F113" t="s" s="552">
        <v>1776</v>
      </c>
      <c r="G113" s="557">
        <f>_xlfn.IFERROR(IF(VLOOKUP($E113,'BDD'!$A$1:$S$567,MATCH(G$10,'BDD'!$A$1:$P$1,0),FALSE)=0,"",VLOOKUP($E113,'BDD'!$A$1:$S$567,MATCH(G$10,'BDD'!$A$1:$P$1,0),FALSE)),"")</f>
      </c>
      <c r="H113" s="570">
        <f>IF(VLOOKUP(E113,'BDD'!$A$1:$S$567,15,FALSE)=0,"Critère non évalué","")</f>
      </c>
      <c r="I113" s="571">
        <f>_xlfn.IFERROR(IF(VLOOKUP($E113,'BDD'!$A$1:$S$567,MATCH(I$10,'BDD'!$A$1:$P$1,0),FALSE)=0,"",VLOOKUP($E113,'BDD'!$A$1:$S$567,MATCH(I$10,'BDD'!$A$1:$P$1,0),FALSE)),"")</f>
      </c>
      <c r="J113" s="556"/>
      <c r="K113" s="557">
        <f>_xlfn.IFERROR(IF(VLOOKUP($E113,'BDD'!$A$1:$S$567,MATCH(K$10,'BDD'!$A$1:$P$1,0),FALSE)=0,"",VLOOKUP($E113,'BDD'!$A$1:$S$567,MATCH(K$10,'BDD'!$A$1:$P$1,0),FALSE)),"")</f>
      </c>
      <c r="L113" s="550"/>
      <c r="M113" s="555"/>
      <c r="N113" s="555"/>
      <c r="O113" s="534"/>
      <c r="P113" s="890"/>
    </row>
    <row r="114" ht="130.05" customHeight="1" hidden="1">
      <c r="A114" s="887"/>
      <c r="B114" s="542"/>
      <c r="C114" t="s" s="543">
        <f>IF(LEFT(RIGHT($B$1,2),1)=" ",RIGHT($B$1,1),RIGHT($B$1,2))</f>
        <v>2051</v>
      </c>
      <c r="D114" s="550">
        <f>IF(LEFT(F114,14)="Bonne pratique",D113+1,D113)</f>
      </c>
      <c r="E114" s="566">
        <f>C114&amp;D114&amp;RIGHT(F114,1)</f>
      </c>
      <c r="F114" t="s" s="546">
        <v>1778</v>
      </c>
      <c r="G114" s="567">
        <f>_xlfn.IFERROR(IF(VLOOKUP($E114,'BDD'!$A$1:$S$567,MATCH(G$10,'BDD'!$A$1:$P$1,0),FALSE)=0,"",VLOOKUP($E114,'BDD'!$A$1:$S$567,MATCH(G$10,'BDD'!$A$1:$P$1,0),FALSE)),"")</f>
      </c>
      <c r="H114" s="568">
        <f>IF(VLOOKUP(E114,'BDD'!$A$1:$S$567,15,FALSE)=0,"Critère non évalué","")</f>
      </c>
      <c r="I114" s="569">
        <f>_xlfn.IFERROR(IF(VLOOKUP($E114,'BDD'!$A$1:$S$567,MATCH(I$10,'BDD'!$A$1:$P$1,0),FALSE)=0,"",VLOOKUP($E114,'BDD'!$A$1:$S$567,MATCH(I$10,'BDD'!$A$1:$P$1,0),FALSE)),"")</f>
      </c>
      <c r="J114" s="549"/>
      <c r="K114" s="567">
        <f>_xlfn.IFERROR(IF(VLOOKUP($E114,'BDD'!$A$1:$S$567,MATCH(K$10,'BDD'!$A$1:$P$1,0),FALSE)=0,"",VLOOKUP($E114,'BDD'!$A$1:$S$567,MATCH(K$10,'BDD'!$A$1:$P$1,0),FALSE)),"")</f>
      </c>
      <c r="L114" s="550"/>
      <c r="M114" s="557"/>
      <c r="N114" s="557"/>
      <c r="O114" s="534"/>
      <c r="P114" s="890"/>
    </row>
    <row r="115" ht="130.05" customHeight="1" hidden="1">
      <c r="A115" s="887"/>
      <c r="B115" s="542"/>
      <c r="C115" t="s" s="543">
        <f>IF(LEFT(RIGHT($B$1,2),1)=" ",RIGHT($B$1,1),RIGHT($B$1,2))</f>
        <v>2051</v>
      </c>
      <c r="D115" s="550">
        <f>IF(LEFT(F115,14)="Bonne pratique",D114+1,D114)</f>
      </c>
      <c r="E115" s="566">
        <f>C115&amp;D115&amp;RIGHT(F115,1)</f>
      </c>
      <c r="F115" t="s" s="552">
        <v>1780</v>
      </c>
      <c r="G115" s="557">
        <f>_xlfn.IFERROR(IF(VLOOKUP($E115,'BDD'!$A$1:$S$567,MATCH(G$10,'BDD'!$A$1:$P$1,0),FALSE)=0,"",VLOOKUP($E115,'BDD'!$A$1:$S$567,MATCH(G$10,'BDD'!$A$1:$P$1,0),FALSE)),"")</f>
      </c>
      <c r="H115" s="570">
        <f>IF(VLOOKUP(E115,'BDD'!$A$1:$S$567,15,FALSE)=0,"Critère non évalué","")</f>
      </c>
      <c r="I115" s="571">
        <f>_xlfn.IFERROR(IF(VLOOKUP($E115,'BDD'!$A$1:$S$567,MATCH(I$10,'BDD'!$A$1:$P$1,0),FALSE)=0,"",VLOOKUP($E115,'BDD'!$A$1:$S$567,MATCH(I$10,'BDD'!$A$1:$P$1,0),FALSE)),"")</f>
      </c>
      <c r="J115" s="556"/>
      <c r="K115" s="557">
        <f>_xlfn.IFERROR(IF(VLOOKUP($E115,'BDD'!$A$1:$S$567,MATCH(K$10,'BDD'!$A$1:$P$1,0),FALSE)=0,"",VLOOKUP($E115,'BDD'!$A$1:$S$567,MATCH(K$10,'BDD'!$A$1:$P$1,0),FALSE)),"")</f>
      </c>
      <c r="L115" s="550"/>
      <c r="M115" s="555"/>
      <c r="N115" s="555"/>
      <c r="O115" s="534"/>
      <c r="P115" s="890"/>
    </row>
    <row r="116" ht="130.05" customHeight="1" hidden="1">
      <c r="A116" s="887"/>
      <c r="B116" s="542"/>
      <c r="C116" t="s" s="543">
        <f>RIGHT($B$1,1)</f>
        <v>2051</v>
      </c>
      <c r="D116" s="550">
        <f>IF(LEFT(F116,14)="Bonne pratique",D115+1,D115)</f>
      </c>
      <c r="E116" s="566">
        <f>C116&amp;D116&amp;RIGHT(F116,1)</f>
      </c>
      <c r="F116" t="s" s="546">
        <v>1782</v>
      </c>
      <c r="G116" s="567">
        <f>_xlfn.IFERROR(IF(VLOOKUP($E116,'BDD'!$A$1:$S$567,MATCH(G$10,'BDD'!$A$1:$P$1,0),FALSE)=0,"",VLOOKUP($E116,'BDD'!$A$1:$S$567,MATCH(G$10,'BDD'!$A$1:$P$1,0),FALSE)),"")</f>
      </c>
      <c r="H116" s="568">
        <f>IF(VLOOKUP(E116,'BDD'!$A$1:$S$567,15,FALSE)=0,"Critère non évalué","")</f>
      </c>
      <c r="I116" s="569">
        <f>_xlfn.IFERROR(IF(VLOOKUP($E116,'BDD'!$A$1:$S$567,MATCH(I$10,'BDD'!$A$1:$P$1,0),FALSE)=0,"",VLOOKUP($E116,'BDD'!$A$1:$S$567,MATCH(I$10,'BDD'!$A$1:$P$1,0),FALSE)),"")</f>
      </c>
      <c r="J116" s="549"/>
      <c r="K116" s="567">
        <f>_xlfn.IFERROR(IF(VLOOKUP($E116,'BDD'!$A$1:$S$567,MATCH(K$10,'BDD'!$A$1:$P$1,0),FALSE)=0,"",VLOOKUP($E116,'BDD'!$A$1:$S$567,MATCH(K$10,'BDD'!$A$1:$P$1,0),FALSE)),"")</f>
      </c>
      <c r="L116" s="550"/>
      <c r="M116" s="557"/>
      <c r="N116" s="557"/>
      <c r="O116" s="534"/>
      <c r="P116" s="890"/>
    </row>
    <row r="117" ht="14.4" customHeight="1">
      <c r="A117" s="887"/>
      <c r="B117" s="61"/>
      <c r="C117" s="61"/>
      <c r="D117" s="61"/>
      <c r="E117" s="61"/>
      <c r="F117" s="559"/>
      <c r="G117" s="559"/>
      <c r="H117" s="559"/>
      <c r="I117" s="559"/>
      <c r="J117" s="559"/>
      <c r="K117" s="559"/>
      <c r="L117" s="61"/>
      <c r="M117" s="559"/>
      <c r="N117" s="559"/>
      <c r="O117" s="61"/>
      <c r="P117" s="890"/>
    </row>
    <row r="118" ht="14.4" customHeight="1">
      <c r="A118" t="s" s="895">
        <v>171</v>
      </c>
      <c r="B118" s="896"/>
      <c r="C118" s="896"/>
      <c r="D118" s="896"/>
      <c r="E118" s="896"/>
      <c r="F118" s="896"/>
      <c r="G118" s="896"/>
      <c r="H118" s="896"/>
      <c r="I118" s="896"/>
      <c r="J118" s="896"/>
      <c r="K118" s="896"/>
      <c r="L118" s="896"/>
      <c r="M118" s="896"/>
      <c r="N118" s="896"/>
      <c r="O118" s="896"/>
      <c r="P118" t="s" s="897">
        <v>171</v>
      </c>
    </row>
  </sheetData>
  <mergeCells count="7">
    <mergeCell ref="M107:N107"/>
    <mergeCell ref="M9:N9"/>
    <mergeCell ref="M25:N25"/>
    <mergeCell ref="M41:N41"/>
    <mergeCell ref="M57:N57"/>
    <mergeCell ref="M75:N75"/>
    <mergeCell ref="M91:N91"/>
  </mergeCells>
  <pageMargins left="0.7" right="0.7" top="0.75" bottom="0.75" header="0.3" footer="0.3"/>
  <pageSetup firstPageNumber="1" fitToHeight="1" fitToWidth="1" scale="100" useFirstPageNumber="0" orientation="portrait" pageOrder="downThenOver"/>
  <headerFooter>
    <oddFooter>&amp;C&amp;"Helvetica Neue,Regular"&amp;12&amp;K000000&amp;P</oddFooter>
  </headerFooter>
  <drawing r:id="rId1"/>
</worksheet>
</file>

<file path=xl/worksheets/sheet17.xml><?xml version="1.0" encoding="utf-8"?>
<worksheet xmlns:r="http://schemas.openxmlformats.org/officeDocument/2006/relationships" xmlns="http://schemas.openxmlformats.org/spreadsheetml/2006/main">
  <dimension ref="A1:AI100"/>
  <sheetViews>
    <sheetView workbookViewId="0" showGridLines="0" defaultGridColor="1"/>
  </sheetViews>
  <sheetFormatPr defaultColWidth="8.83333" defaultRowHeight="14.4" customHeight="1" outlineLevelRow="0" outlineLevelCol="0"/>
  <cols>
    <col min="1" max="2" width="5.85156" style="898" customWidth="1"/>
    <col min="3" max="5" hidden="1" width="8.83333" style="898" customWidth="1"/>
    <col min="6" max="6" width="25.5" style="898" customWidth="1"/>
    <col min="7" max="7" width="73.5" style="898" customWidth="1"/>
    <col min="8" max="12" width="5.85156" style="898" customWidth="1"/>
    <col min="13" max="13" width="8.85156" style="898" customWidth="1"/>
    <col min="14" max="14" width="50.8516" style="898" customWidth="1"/>
    <col min="15" max="21" width="4.35156" style="898" customWidth="1"/>
    <col min="22" max="22" width="3" style="898" customWidth="1"/>
    <col min="23" max="23" width="23.8516" style="898" customWidth="1"/>
    <col min="24" max="24" width="59.8516" style="898" customWidth="1"/>
    <col min="25" max="25" width="4" style="898" customWidth="1"/>
    <col min="26" max="27" width="17.1719" style="898" customWidth="1"/>
    <col min="28" max="28" width="5.85156" style="898" customWidth="1"/>
    <col min="29" max="29" width="7.85156" style="898" customWidth="1"/>
    <col min="30" max="30" width="2.5" style="898" customWidth="1"/>
    <col min="31" max="31" width="19" style="898" customWidth="1"/>
    <col min="32" max="34" width="5.85156" style="898" customWidth="1"/>
    <col min="35" max="35" width="8.85156" style="898" customWidth="1"/>
    <col min="36" max="16384" width="8.85156" style="898" customWidth="1"/>
  </cols>
  <sheetData>
    <row r="1" ht="45" customHeight="1">
      <c r="A1" s="899"/>
      <c r="B1" t="s" s="881">
        <v>2050</v>
      </c>
      <c r="C1" s="900"/>
      <c r="D1" s="900"/>
      <c r="E1" s="882"/>
      <c r="F1" s="882"/>
      <c r="G1" s="882"/>
      <c r="H1" s="882"/>
      <c r="I1" s="882"/>
      <c r="J1" s="901"/>
      <c r="K1" s="902"/>
      <c r="L1" s="882"/>
      <c r="M1" s="882"/>
      <c r="N1" s="903"/>
      <c r="O1" s="903"/>
      <c r="P1" s="903"/>
      <c r="Q1" t="s" s="904">
        <f>VLOOKUP($E$27,'BDD'!$A$2:$N$567,3,FALSE)</f>
        <v>228</v>
      </c>
      <c r="R1" s="883"/>
      <c r="S1" s="884"/>
      <c r="T1" s="884"/>
      <c r="U1" s="884"/>
      <c r="V1" s="884"/>
      <c r="W1" s="884"/>
      <c r="X1" s="884"/>
      <c r="Y1" s="884"/>
      <c r="Z1" s="884"/>
      <c r="AA1" s="884"/>
      <c r="AB1" s="884"/>
      <c r="AC1" s="884"/>
      <c r="AD1" s="884"/>
      <c r="AE1" s="884"/>
      <c r="AF1" s="884"/>
      <c r="AG1" s="884"/>
      <c r="AH1" s="884"/>
      <c r="AI1" s="582"/>
    </row>
    <row r="2" ht="45" customHeight="1">
      <c r="A2" s="887"/>
      <c r="B2" s="888"/>
      <c r="C2" s="888"/>
      <c r="D2" s="888"/>
      <c r="E2" s="888"/>
      <c r="F2" s="888"/>
      <c r="G2" s="888"/>
      <c r="H2" s="888"/>
      <c r="I2" s="888"/>
      <c r="J2" s="888"/>
      <c r="K2" s="888"/>
      <c r="L2" s="888"/>
      <c r="M2" s="888"/>
      <c r="N2" s="905"/>
      <c r="O2" s="905"/>
      <c r="P2" s="905"/>
      <c r="Q2" t="s" s="889">
        <f>VLOOKUP($E$27,'BDD'!$A$2:$N$567,4,FALSE)</f>
        <v>754</v>
      </c>
      <c r="R2" s="888"/>
      <c r="S2" s="906"/>
      <c r="T2" s="906"/>
      <c r="U2" s="906"/>
      <c r="V2" s="906"/>
      <c r="W2" s="906"/>
      <c r="X2" s="906"/>
      <c r="Y2" s="906"/>
      <c r="Z2" s="906"/>
      <c r="AA2" s="906"/>
      <c r="AB2" s="906"/>
      <c r="AC2" s="906"/>
      <c r="AD2" s="906"/>
      <c r="AE2" s="906"/>
      <c r="AF2" s="906"/>
      <c r="AG2" s="906"/>
      <c r="AH2" s="906"/>
      <c r="AI2" s="585"/>
    </row>
    <row r="3" ht="45" customHeight="1">
      <c r="A3" s="887"/>
      <c r="B3" s="586"/>
      <c r="C3" s="586"/>
      <c r="D3" s="586"/>
      <c r="E3" s="586"/>
      <c r="F3" s="586"/>
      <c r="G3" s="587"/>
      <c r="H3" s="587"/>
      <c r="I3" s="587"/>
      <c r="J3" s="587"/>
      <c r="K3" s="587"/>
      <c r="L3" s="587"/>
      <c r="M3" s="587"/>
      <c r="N3" s="586"/>
      <c r="O3" s="586"/>
      <c r="P3" s="586"/>
      <c r="Q3" s="586"/>
      <c r="R3" s="586"/>
      <c r="S3" s="586"/>
      <c r="T3" s="586"/>
      <c r="U3" s="586"/>
      <c r="V3" s="586"/>
      <c r="W3" s="588"/>
      <c r="X3" s="586"/>
      <c r="Y3" s="586"/>
      <c r="Z3" s="586"/>
      <c r="AA3" s="589"/>
      <c r="AB3" s="586"/>
      <c r="AC3" s="586"/>
      <c r="AD3" s="586"/>
      <c r="AE3" s="586"/>
      <c r="AF3" s="586"/>
      <c r="AG3" s="586"/>
      <c r="AH3" s="888"/>
      <c r="AI3" s="585"/>
    </row>
    <row r="4" ht="26.4" customHeight="1">
      <c r="A4" s="887"/>
      <c r="B4" s="586"/>
      <c r="C4" s="586"/>
      <c r="D4" s="586"/>
      <c r="E4" s="586"/>
      <c r="F4" s="586"/>
      <c r="G4" t="s" s="590">
        <v>1817</v>
      </c>
      <c r="H4" s="591"/>
      <c r="I4" s="587"/>
      <c r="J4" s="591"/>
      <c r="K4" s="591"/>
      <c r="L4" s="591"/>
      <c r="M4" s="591"/>
      <c r="N4" s="586"/>
      <c r="O4" s="586"/>
      <c r="P4" s="586"/>
      <c r="Q4" s="586"/>
      <c r="R4" s="586"/>
      <c r="S4" s="586"/>
      <c r="T4" s="586"/>
      <c r="U4" s="586"/>
      <c r="V4" s="586"/>
      <c r="W4" t="s" s="907">
        <v>1818</v>
      </c>
      <c r="X4" s="586"/>
      <c r="Y4" s="586"/>
      <c r="Z4" s="593"/>
      <c r="AA4" s="594"/>
      <c r="AB4" t="s" s="595">
        <v>1819</v>
      </c>
      <c r="AC4" s="586"/>
      <c r="AD4" s="586"/>
      <c r="AE4" s="586"/>
      <c r="AF4" s="596"/>
      <c r="AG4" s="596"/>
      <c r="AH4" s="908"/>
      <c r="AI4" s="585"/>
    </row>
    <row r="5" ht="30" customHeight="1">
      <c r="A5" s="887"/>
      <c r="B5" s="586"/>
      <c r="C5" s="586"/>
      <c r="D5" s="586"/>
      <c r="E5" t="s" s="744">
        <f>RIGHT($B$1,1)&amp;"11"</f>
        <v>90</v>
      </c>
      <c r="F5" s="586"/>
      <c r="G5" t="s" s="598">
        <f>IF(VLOOKUP(E5,'BDD'!$A$2:$N$567,13,FALSE)=0,"",VLOOKUP(E5,'BDD'!$A$2:$N$567,13,FALSE))</f>
        <v>759</v>
      </c>
      <c r="H5" s="599"/>
      <c r="I5" s="587"/>
      <c r="J5" s="25"/>
      <c r="K5" s="599"/>
      <c r="L5" s="909"/>
      <c r="M5" s="909"/>
      <c r="N5" s="910"/>
      <c r="O5" s="910"/>
      <c r="P5" s="910"/>
      <c r="Q5" s="910"/>
      <c r="R5" s="910"/>
      <c r="S5" s="910"/>
      <c r="T5" s="910"/>
      <c r="U5" s="910"/>
      <c r="V5" s="910"/>
      <c r="W5" s="911"/>
      <c r="X5" s="910"/>
      <c r="Y5" s="910"/>
      <c r="Z5" s="910"/>
      <c r="AA5" s="912"/>
      <c r="AB5" s="910"/>
      <c r="AC5" s="586"/>
      <c r="AD5" s="586"/>
      <c r="AE5" s="586"/>
      <c r="AF5" s="586"/>
      <c r="AG5" s="586"/>
      <c r="AH5" s="888"/>
      <c r="AI5" s="585"/>
    </row>
    <row r="6" ht="30" customHeight="1">
      <c r="A6" s="913"/>
      <c r="B6" s="565"/>
      <c r="C6" s="565"/>
      <c r="D6" s="565"/>
      <c r="E6" t="s" s="558">
        <f>RIGHT($B$1,1)&amp;"12"</f>
        <v>761</v>
      </c>
      <c r="F6" s="565"/>
      <c r="G6" t="s" s="598">
        <f>IF(VLOOKUP(E6,'BDD'!$A$2:$N$567,13,FALSE)=0,"",VLOOKUP(E6,'BDD'!$A$2:$N$567,13,FALSE))</f>
        <v>764</v>
      </c>
      <c r="H6" s="605"/>
      <c r="I6" s="587"/>
      <c r="J6" s="25"/>
      <c r="K6" s="914"/>
      <c r="L6" s="915"/>
      <c r="M6" s="916"/>
      <c r="N6" s="917"/>
      <c r="O6" s="918"/>
      <c r="P6" s="918"/>
      <c r="Q6" s="918"/>
      <c r="R6" s="918"/>
      <c r="S6" s="918"/>
      <c r="T6" s="918"/>
      <c r="U6" s="918"/>
      <c r="V6" s="919"/>
      <c r="W6" s="918"/>
      <c r="X6" s="918"/>
      <c r="Y6" s="919"/>
      <c r="Z6" s="920"/>
      <c r="AA6" s="920"/>
      <c r="AB6" s="921"/>
      <c r="AC6" s="922"/>
      <c r="AD6" s="615"/>
      <c r="AE6" s="615"/>
      <c r="AF6" s="587"/>
      <c r="AG6" s="587"/>
      <c r="AH6" s="923"/>
      <c r="AI6" s="617"/>
    </row>
    <row r="7" ht="31.8" customHeight="1">
      <c r="A7" s="913"/>
      <c r="B7" s="565"/>
      <c r="C7" t="s" s="558">
        <v>171</v>
      </c>
      <c r="D7" s="565"/>
      <c r="E7" t="s" s="558">
        <f>RIGHT($B$1,1)&amp;"13"</f>
        <v>766</v>
      </c>
      <c r="F7" s="565"/>
      <c r="G7" t="s" s="598">
        <f>IF(VLOOKUP(E7,'BDD'!$A$2:$N$567,13,FALSE)=0,"",VLOOKUP(E7,'BDD'!$A$2:$N$567,13,FALSE))</f>
        <v>770</v>
      </c>
      <c r="H7" s="605"/>
      <c r="I7" s="587"/>
      <c r="J7" s="25"/>
      <c r="K7" s="914"/>
      <c r="L7" s="924"/>
      <c r="M7" s="925"/>
      <c r="N7" t="s" s="620">
        <v>11</v>
      </c>
      <c r="O7" t="s" s="621">
        <v>12</v>
      </c>
      <c r="P7" t="s" s="621">
        <v>13</v>
      </c>
      <c r="Q7" t="s" s="621">
        <v>14</v>
      </c>
      <c r="R7" t="s" s="621">
        <v>15</v>
      </c>
      <c r="S7" t="s" s="621">
        <v>16</v>
      </c>
      <c r="T7" t="s" s="621">
        <v>17</v>
      </c>
      <c r="U7" t="s" s="621">
        <v>18</v>
      </c>
      <c r="V7" s="163"/>
      <c r="W7" t="s" s="622">
        <v>20</v>
      </c>
      <c r="X7" t="s" s="623">
        <v>21</v>
      </c>
      <c r="Y7" s="926"/>
      <c r="Z7" t="s" s="625">
        <v>22</v>
      </c>
      <c r="AA7" t="s" s="626">
        <v>223</v>
      </c>
      <c r="AB7" s="927"/>
      <c r="AC7" s="928"/>
      <c r="AD7" t="s" s="629">
        <v>1820</v>
      </c>
      <c r="AE7" t="s" s="630">
        <v>1752</v>
      </c>
      <c r="AF7" s="631"/>
      <c r="AG7" s="587"/>
      <c r="AH7" s="923"/>
      <c r="AI7" s="617"/>
    </row>
    <row r="8" ht="41.4" customHeight="1">
      <c r="A8" s="913"/>
      <c r="B8" s="565"/>
      <c r="C8" s="565"/>
      <c r="D8" s="565"/>
      <c r="E8" t="s" s="558">
        <f>RIGHT($B$1,1)&amp;"14"</f>
        <v>772</v>
      </c>
      <c r="F8" s="565"/>
      <c r="G8" t="s" s="598">
        <f>IF(VLOOKUP(E8,'BDD'!$A$2:$N$567,13,FALSE)=0,"",VLOOKUP(E8,'BDD'!$A$2:$N$567,13,FALSE))</f>
        <v>774</v>
      </c>
      <c r="H8" s="605"/>
      <c r="I8" s="587"/>
      <c r="J8" s="25"/>
      <c r="K8" s="914"/>
      <c r="L8" s="924"/>
      <c r="M8" t="s" s="929">
        <f>IF(LEFT(RIGHT($B$1,2),1)=" ",RIGHT($B$1,1),RIGHT($B$1,2))&amp;1</f>
        <v>370</v>
      </c>
      <c r="N8" t="s" s="539">
        <f>RIGHT(M8,1)&amp;" : "&amp;VLOOKUP($M8&amp;"1",'BDD'!$A$2:$N$567,6,FALSE)</f>
        <v>2081</v>
      </c>
      <c r="O8" t="s" s="71">
        <f>IF(VLOOKUP($M8&amp;RIGHT(O$7,1),'BDD'!$A$1:$S$428,15,FALSE)=4,"NE",IF(VLOOKUP($M8&amp;RIGHT(O$7,1),'BDD'!$A$1:$S$428,15,FALSE)=0,"NE",VLOOKUP($M8&amp;RIGHT(O$7,1),'BDD'!$A$1:$S$428,15,FALSE)))</f>
        <v>27</v>
      </c>
      <c r="P8" t="s" s="71">
        <f>IF(VLOOKUP($M8&amp;RIGHT(P$7,1),'BDD'!$A$1:$S$428,15,FALSE)=4,"NE",IF(VLOOKUP($M8&amp;RIGHT(P$7,1),'BDD'!$A$1:$S$428,15,FALSE)=0,"NE",VLOOKUP($M8&amp;RIGHT(P$7,1),'BDD'!$A$1:$S$428,15,FALSE)))</f>
        <v>27</v>
      </c>
      <c r="Q8" t="s" s="71">
        <f>IF(VLOOKUP($M8&amp;RIGHT(Q$7,1),'BDD'!$A$1:$S$428,15,FALSE)=4,"NE",IF(VLOOKUP($M8&amp;RIGHT(Q$7,1),'BDD'!$A$1:$S$428,15,FALSE)=0,"NE",VLOOKUP($M8&amp;RIGHT(Q$7,1),'BDD'!$A$1:$S$428,15,FALSE)))</f>
        <v>27</v>
      </c>
      <c r="R8" t="s" s="71">
        <f>IF(VLOOKUP($M8&amp;RIGHT(R$7,1),'BDD'!$A$1:$S$428,15,FALSE)=4,"NE",IF(VLOOKUP($M8&amp;RIGHT(R$7,1),'BDD'!$A$1:$S$428,15,FALSE)=0,"NE",VLOOKUP($M8&amp;RIGHT(R$7,1),'BDD'!$A$1:$S$428,15,FALSE)))</f>
        <v>27</v>
      </c>
      <c r="S8" t="s" s="71">
        <f>IF(VLOOKUP($M8&amp;RIGHT(S$7,1),'BDD'!$A$1:$S$428,15,FALSE)=4,"NE",IF(VLOOKUP($M8&amp;RIGHT(S$7,1),'BDD'!$A$1:$S$428,15,FALSE)=0,"NE",VLOOKUP($M8&amp;RIGHT(S$7,1),'BDD'!$A$1:$S$428,15,FALSE)))</f>
        <v>27</v>
      </c>
      <c r="T8" s="72"/>
      <c r="U8" s="72"/>
      <c r="V8" s="930"/>
      <c r="W8" t="s" s="634">
        <v>28</v>
      </c>
      <c r="X8" s="635"/>
      <c r="Y8" s="931"/>
      <c r="Z8" s="637">
        <f>O25</f>
        <v>0</v>
      </c>
      <c r="AA8" s="77">
        <f>S25</f>
      </c>
      <c r="AB8" s="927"/>
      <c r="AC8" s="928"/>
      <c r="AD8" s="638"/>
      <c r="AE8" t="s" s="639">
        <v>1753</v>
      </c>
      <c r="AF8" s="631"/>
      <c r="AG8" s="587"/>
      <c r="AH8" s="923"/>
      <c r="AI8" s="617"/>
    </row>
    <row r="9" ht="30" customHeight="1">
      <c r="A9" s="913"/>
      <c r="B9" s="565"/>
      <c r="C9" s="565"/>
      <c r="D9" s="565"/>
      <c r="E9" t="s" s="558">
        <f>RIGHT($B$1,1)&amp;"15"</f>
        <v>776</v>
      </c>
      <c r="F9" s="565"/>
      <c r="G9" t="s" s="598">
        <f>IF(VLOOKUP(E9,'BDD'!$A$2:$N$567,13,FALSE)=0,"",VLOOKUP(E9,'BDD'!$A$2:$N$567,13,FALSE))</f>
        <v>779</v>
      </c>
      <c r="H9" s="605"/>
      <c r="I9" s="587"/>
      <c r="J9" s="25"/>
      <c r="K9" s="914"/>
      <c r="L9" s="924"/>
      <c r="M9" t="s" s="929">
        <f>IF(LEFT(RIGHT($B$1,2),1)=" ",RIGHT($B$1,1),RIGHT($B$1,2))&amp;2</f>
        <v>374</v>
      </c>
      <c r="N9" t="s" s="640">
        <f>RIGHT(M9,1)&amp;" : "&amp;VLOOKUP($M9&amp;"1",'BDD'!$A$2:$N$567,6,FALSE)</f>
        <v>2082</v>
      </c>
      <c r="O9" t="s" s="85">
        <f>IF(VLOOKUP($M9&amp;RIGHT(O$7,1),'BDD'!$A$1:$S$428,15,FALSE)=4,"NE",IF(VLOOKUP($M9&amp;RIGHT(O$7,1),'BDD'!$A$1:$S$428,15,FALSE)=0,"NE",VLOOKUP($M9&amp;RIGHT(O$7,1),'BDD'!$A$1:$S$428,15,FALSE)))</f>
        <v>27</v>
      </c>
      <c r="P9" t="s" s="85">
        <f>IF(VLOOKUP($M9&amp;RIGHT(P$7,1),'BDD'!$A$1:$S$428,15,FALSE)=4,"NE",IF(VLOOKUP($M9&amp;RIGHT(P$7,1),'BDD'!$A$1:$S$428,15,FALSE)=0,"NE",VLOOKUP($M9&amp;RIGHT(P$7,1),'BDD'!$A$1:$S$428,15,FALSE)))</f>
        <v>27</v>
      </c>
      <c r="Q9" t="s" s="85">
        <f>IF(VLOOKUP($M9&amp;RIGHT(Q$7,1),'BDD'!$A$1:$S$428,15,FALSE)=4,"NE",IF(VLOOKUP($M9&amp;RIGHT(Q$7,1),'BDD'!$A$1:$S$428,15,FALSE)=0,"NE",VLOOKUP($M9&amp;RIGHT(Q$7,1),'BDD'!$A$1:$S$428,15,FALSE)))</f>
        <v>27</v>
      </c>
      <c r="R9" t="s" s="85">
        <f>IF(VLOOKUP($M9&amp;RIGHT(R$7,1),'BDD'!$A$1:$S$428,15,FALSE)=4,"NE",IF(VLOOKUP($M9&amp;RIGHT(R$7,1),'BDD'!$A$1:$S$428,15,FALSE)=0,"NE",VLOOKUP($M9&amp;RIGHT(R$7,1),'BDD'!$A$1:$S$428,15,FALSE)))</f>
        <v>27</v>
      </c>
      <c r="S9" t="s" s="85">
        <f>IF(VLOOKUP($M9&amp;RIGHT(S$7,1),'BDD'!$A$1:$S$428,15,FALSE)=4,"NE",IF(VLOOKUP($M9&amp;RIGHT(S$7,1),'BDD'!$A$1:$S$428,15,FALSE)=0,"NE",VLOOKUP($M9&amp;RIGHT(S$7,1),'BDD'!$A$1:$S$428,15,FALSE)))</f>
        <v>27</v>
      </c>
      <c r="T9" t="s" s="85">
        <f>IF(VLOOKUP($M9&amp;RIGHT(T$7,1),'BDD'!$A$1:$S$428,15,FALSE)=4,"NE",IF(VLOOKUP($M9&amp;RIGHT(T$7,1),'BDD'!$A$1:$S$428,15,FALSE)=0,"NE",VLOOKUP($M9&amp;RIGHT(T$7,1),'BDD'!$A$1:$S$428,15,FALSE)))</f>
        <v>27</v>
      </c>
      <c r="U9" t="s" s="85">
        <f>IF(VLOOKUP($M9&amp;RIGHT(U$7,1),'BDD'!$A$1:$S$428,15,FALSE)=4,"NE",IF(VLOOKUP($M9&amp;RIGHT(U$7,1),'BDD'!$A$1:$S$428,15,FALSE)=0,"NE",VLOOKUP($M9&amp;RIGHT(U$7,1),'BDD'!$A$1:$S$428,15,FALSE)))</f>
        <v>27</v>
      </c>
      <c r="V9" s="930"/>
      <c r="W9" t="s" s="641">
        <v>28</v>
      </c>
      <c r="X9" s="642"/>
      <c r="Y9" s="932"/>
      <c r="Z9" s="644">
        <f>O32</f>
        <v>0</v>
      </c>
      <c r="AA9" s="90">
        <f>S32</f>
      </c>
      <c r="AB9" s="927"/>
      <c r="AC9" s="928"/>
      <c r="AD9" s="638"/>
      <c r="AE9" t="s" s="645">
        <v>1754</v>
      </c>
      <c r="AF9" s="631"/>
      <c r="AG9" s="587"/>
      <c r="AH9" s="923"/>
      <c r="AI9" s="617"/>
    </row>
    <row r="10" ht="30" customHeight="1">
      <c r="A10" s="913"/>
      <c r="B10" s="565"/>
      <c r="C10" s="565"/>
      <c r="D10" s="565"/>
      <c r="E10" t="s" s="558">
        <f>RIGHT($B$1,1)&amp;"16"</f>
        <v>781</v>
      </c>
      <c r="F10" s="565"/>
      <c r="G10" t="s" s="646">
        <f>IF(VLOOKUP(E10,'BDD'!$A$2:$N$567,13,FALSE)=0,"",VLOOKUP(E10,'BDD'!$A$2:$N$567,13,FALSE))</f>
      </c>
      <c r="H10" s="605"/>
      <c r="I10" s="587"/>
      <c r="J10" s="25"/>
      <c r="K10" s="914"/>
      <c r="L10" s="924"/>
      <c r="M10" t="s" s="929">
        <f>IF(LEFT(RIGHT($B$1,2),1)=" ",RIGHT($B$1,1),RIGHT($B$1,2))&amp;3</f>
        <v>377</v>
      </c>
      <c r="N10" t="s" s="539">
        <f>RIGHT(M10,1)&amp;" : "&amp;VLOOKUP($M10&amp;"1",'BDD'!$A$2:$N$567,6,FALSE)</f>
        <v>2083</v>
      </c>
      <c r="O10" t="s" s="71">
        <f>IF(VLOOKUP($M10&amp;RIGHT(O$7,1),'BDD'!$A$1:$S$428,15,FALSE)=4,"NE",IF(VLOOKUP($M10&amp;RIGHT(O$7,1),'BDD'!$A$1:$S$428,15,FALSE)=0,"NE",VLOOKUP($M10&amp;RIGHT(O$7,1),'BDD'!$A$1:$S$428,15,FALSE)))</f>
        <v>27</v>
      </c>
      <c r="P10" t="s" s="71">
        <f>IF(VLOOKUP($M10&amp;RIGHT(P$7,1),'BDD'!$A$1:$S$428,15,FALSE)=4,"NE",IF(VLOOKUP($M10&amp;RIGHT(P$7,1),'BDD'!$A$1:$S$428,15,FALSE)=0,"NE",VLOOKUP($M10&amp;RIGHT(P$7,1),'BDD'!$A$1:$S$428,15,FALSE)))</f>
        <v>27</v>
      </c>
      <c r="Q10" t="s" s="71">
        <f>IF(VLOOKUP($M10&amp;RIGHT(Q$7,1),'BDD'!$A$1:$S$428,15,FALSE)=4,"NE",IF(VLOOKUP($M10&amp;RIGHT(Q$7,1),'BDD'!$A$1:$S$428,15,FALSE)=0,"NE",VLOOKUP($M10&amp;RIGHT(Q$7,1),'BDD'!$A$1:$S$428,15,FALSE)))</f>
        <v>27</v>
      </c>
      <c r="R10" t="s" s="71">
        <f>IF(VLOOKUP($M10&amp;RIGHT(R$7,1),'BDD'!$A$1:$S$428,15,FALSE)=4,"NE",IF(VLOOKUP($M10&amp;RIGHT(R$7,1),'BDD'!$A$1:$S$428,15,FALSE)=0,"NE",VLOOKUP($M10&amp;RIGHT(R$7,1),'BDD'!$A$1:$S$428,15,FALSE)))</f>
        <v>27</v>
      </c>
      <c r="S10" t="s" s="71">
        <f>IF(VLOOKUP($M10&amp;RIGHT(S$7,1),'BDD'!$A$1:$S$428,15,FALSE)=4,"NE",IF(VLOOKUP($M10&amp;RIGHT(S$7,1),'BDD'!$A$1:$S$428,15,FALSE)=0,"NE",VLOOKUP($M10&amp;RIGHT(S$7,1),'BDD'!$A$1:$S$428,15,FALSE)))</f>
        <v>27</v>
      </c>
      <c r="T10" s="72"/>
      <c r="U10" s="72"/>
      <c r="V10" s="930"/>
      <c r="W10" t="s" s="647">
        <v>28</v>
      </c>
      <c r="X10" s="648"/>
      <c r="Y10" s="931"/>
      <c r="Z10" s="637">
        <f>O41</f>
        <v>0</v>
      </c>
      <c r="AA10" s="77">
        <f>S41</f>
      </c>
      <c r="AB10" s="927"/>
      <c r="AC10" s="928"/>
      <c r="AD10" s="649"/>
      <c r="AE10" t="s" s="650">
        <v>1824</v>
      </c>
      <c r="AF10" s="651"/>
      <c r="AG10" s="652"/>
      <c r="AH10" s="933"/>
      <c r="AI10" s="617"/>
    </row>
    <row r="11" ht="30" customHeight="1">
      <c r="A11" s="887"/>
      <c r="B11" s="586"/>
      <c r="C11" s="586"/>
      <c r="D11" s="586"/>
      <c r="E11" t="s" s="744">
        <f>RIGHT($B$1,1)&amp;"17"</f>
        <v>782</v>
      </c>
      <c r="F11" s="586"/>
      <c r="G11" t="s" s="646">
        <f>IF(VLOOKUP(E11,'BDD'!$A$2:$N$567,13,FALSE)=0,"",VLOOKUP(E11,'BDD'!$A$2:$N$567,13,FALSE))</f>
      </c>
      <c r="H11" s="652"/>
      <c r="I11" s="587"/>
      <c r="J11" s="25"/>
      <c r="K11" s="934"/>
      <c r="L11" s="935"/>
      <c r="M11" t="s" s="929">
        <f>IF(LEFT(RIGHT($B$1,2),1)=" ",RIGHT($B$1,1),RIGHT($B$1,2))&amp;4</f>
        <v>380</v>
      </c>
      <c r="N11" t="s" s="640">
        <f>RIGHT(M11,1)&amp;" : "&amp;VLOOKUP($M11&amp;"1",'BDD'!$A$2:$N$567,6,FALSE)</f>
        <v>2084</v>
      </c>
      <c r="O11" t="s" s="85">
        <f>IF(VLOOKUP($M11&amp;RIGHT(O$7,1),'BDD'!$A$1:$S$428,15,FALSE)=4,"NE",IF(VLOOKUP($M11&amp;RIGHT(O$7,1),'BDD'!$A$1:$S$428,15,FALSE)=0,"NE",VLOOKUP($M11&amp;RIGHT(O$7,1),'BDD'!$A$1:$S$428,15,FALSE)))</f>
        <v>27</v>
      </c>
      <c r="P11" t="s" s="85">
        <f>IF(VLOOKUP($M11&amp;RIGHT(P$7,1),'BDD'!$A$1:$S$428,15,FALSE)=4,"NE",IF(VLOOKUP($M11&amp;RIGHT(P$7,1),'BDD'!$A$1:$S$428,15,FALSE)=0,"NE",VLOOKUP($M11&amp;RIGHT(P$7,1),'BDD'!$A$1:$S$428,15,FALSE)))</f>
        <v>27</v>
      </c>
      <c r="Q11" t="s" s="85">
        <f>IF(VLOOKUP($M11&amp;RIGHT(Q$7,1),'BDD'!$A$1:$S$428,15,FALSE)=4,"NE",IF(VLOOKUP($M11&amp;RIGHT(Q$7,1),'BDD'!$A$1:$S$428,15,FALSE)=0,"NE",VLOOKUP($M11&amp;RIGHT(Q$7,1),'BDD'!$A$1:$S$428,15,FALSE)))</f>
        <v>27</v>
      </c>
      <c r="R11" t="s" s="85">
        <f>IF(VLOOKUP($M11&amp;RIGHT(R$7,1),'BDD'!$A$1:$S$428,15,FALSE)=4,"NE",IF(VLOOKUP($M11&amp;RIGHT(R$7,1),'BDD'!$A$1:$S$428,15,FALSE)=0,"NE",VLOOKUP($M11&amp;RIGHT(R$7,1),'BDD'!$A$1:$S$428,15,FALSE)))</f>
        <v>27</v>
      </c>
      <c r="S11" t="s" s="85">
        <f>IF(VLOOKUP($M11&amp;RIGHT(S$7,1),'BDD'!$A$1:$S$428,15,FALSE)=4,"NE",IF(VLOOKUP($M11&amp;RIGHT(S$7,1),'BDD'!$A$1:$S$428,15,FALSE)=0,"NE",VLOOKUP($M11&amp;RIGHT(S$7,1),'BDD'!$A$1:$S$428,15,FALSE)))</f>
        <v>27</v>
      </c>
      <c r="T11" s="86"/>
      <c r="U11" s="86"/>
      <c r="V11" s="930"/>
      <c r="W11" t="s" s="641">
        <v>28</v>
      </c>
      <c r="X11" s="642"/>
      <c r="Y11" s="931"/>
      <c r="Z11" s="644">
        <f>O48</f>
        <v>0</v>
      </c>
      <c r="AA11" s="90">
        <f>S48</f>
      </c>
      <c r="AB11" s="927"/>
      <c r="AC11" s="936"/>
      <c r="AD11" s="658"/>
      <c r="AE11" s="659"/>
      <c r="AF11" s="652"/>
      <c r="AG11" s="652"/>
      <c r="AH11" s="933"/>
      <c r="AI11" s="585"/>
    </row>
    <row r="12" ht="30" customHeight="1">
      <c r="A12" s="887"/>
      <c r="B12" s="586"/>
      <c r="C12" s="586"/>
      <c r="D12" s="586"/>
      <c r="E12" s="586"/>
      <c r="F12" s="586"/>
      <c r="G12" t="s" s="660">
        <v>1826</v>
      </c>
      <c r="H12" s="587"/>
      <c r="I12" s="587"/>
      <c r="J12" s="25"/>
      <c r="K12" s="937"/>
      <c r="L12" s="938"/>
      <c r="M12" t="s" s="929">
        <f>IF(LEFT(RIGHT($B$1,2),1)=" ",RIGHT($B$1,1),RIGHT($B$1,2))&amp;5</f>
        <v>383</v>
      </c>
      <c r="N12" t="s" s="539">
        <f>RIGHT(M12,1)&amp;" : "&amp;VLOOKUP($M12&amp;"1",'BDD'!$A$2:$N$567,6,FALSE)</f>
        <v>2085</v>
      </c>
      <c r="O12" t="s" s="71">
        <f>IF(VLOOKUP($M12&amp;RIGHT(O$7,1),'BDD'!$A$1:$S$428,15,FALSE)=4,"NE",IF(VLOOKUP($M12&amp;RIGHT(O$7,1),'BDD'!$A$1:$S$428,15,FALSE)=0,"NE",VLOOKUP($M12&amp;RIGHT(O$7,1),'BDD'!$A$1:$S$428,15,FALSE)))</f>
        <v>27</v>
      </c>
      <c r="P12" t="s" s="71">
        <f>IF(VLOOKUP($M12&amp;RIGHT(P$7,1),'BDD'!$A$1:$S$428,15,FALSE)=4,"NE",IF(VLOOKUP($M12&amp;RIGHT(P$7,1),'BDD'!$A$1:$S$428,15,FALSE)=0,"NE",VLOOKUP($M12&amp;RIGHT(P$7,1),'BDD'!$A$1:$S$428,15,FALSE)))</f>
        <v>27</v>
      </c>
      <c r="Q12" t="s" s="71">
        <f>IF(VLOOKUP($M12&amp;RIGHT(Q$7,1),'BDD'!$A$1:$S$428,15,FALSE)=4,"NE",IF(VLOOKUP($M12&amp;RIGHT(Q$7,1),'BDD'!$A$1:$S$428,15,FALSE)=0,"NE",VLOOKUP($M12&amp;RIGHT(Q$7,1),'BDD'!$A$1:$S$428,15,FALSE)))</f>
        <v>27</v>
      </c>
      <c r="R12" t="s" s="71">
        <f>IF(VLOOKUP($M12&amp;RIGHT(R$7,1),'BDD'!$A$1:$S$428,15,FALSE)=4,"NE",IF(VLOOKUP($M12&amp;RIGHT(R$7,1),'BDD'!$A$1:$S$428,15,FALSE)=0,"NE",VLOOKUP($M12&amp;RIGHT(R$7,1),'BDD'!$A$1:$S$428,15,FALSE)))</f>
        <v>27</v>
      </c>
      <c r="S12" t="s" s="71">
        <f>IF(VLOOKUP($M12&amp;RIGHT(S$7,1),'BDD'!$A$1:$S$428,15,FALSE)=4,"NE",IF(VLOOKUP($M12&amp;RIGHT(S$7,1),'BDD'!$A$1:$S$428,15,FALSE)=0,"NE",VLOOKUP($M12&amp;RIGHT(S$7,1),'BDD'!$A$1:$S$428,15,FALSE)))</f>
        <v>27</v>
      </c>
      <c r="T12" t="s" s="71">
        <f>IF(VLOOKUP($M12&amp;RIGHT(T$7,1),'BDD'!$A$1:$S$428,15,FALSE)=4,"NE",IF(VLOOKUP($M12&amp;RIGHT(T$7,1),'BDD'!$A$1:$S$428,15,FALSE)=0,"NE",VLOOKUP($M12&amp;RIGHT(T$7,1),'BDD'!$A$1:$S$428,15,FALSE)))</f>
        <v>27</v>
      </c>
      <c r="U12" t="s" s="71">
        <f>IF(VLOOKUP($M12&amp;RIGHT(U$7,1),'BDD'!$A$1:$S$428,15,FALSE)=4,"NE",IF(VLOOKUP($M12&amp;RIGHT(U$7,1),'BDD'!$A$1:$S$428,15,FALSE)=0,"NE",VLOOKUP($M12&amp;RIGHT(U$7,1),'BDD'!$A$1:$S$428,15,FALSE)))</f>
        <v>27</v>
      </c>
      <c r="V12" s="930"/>
      <c r="W12" t="s" s="664">
        <v>28</v>
      </c>
      <c r="X12" s="665"/>
      <c r="Y12" s="931"/>
      <c r="Z12" s="637">
        <f>O55</f>
        <v>0</v>
      </c>
      <c r="AA12" s="77">
        <f>S55</f>
      </c>
      <c r="AB12" s="927"/>
      <c r="AC12" s="936"/>
      <c r="AD12" s="666"/>
      <c r="AE12" s="25"/>
      <c r="AF12" s="586"/>
      <c r="AG12" s="586"/>
      <c r="AH12" s="888"/>
      <c r="AI12" s="585"/>
    </row>
    <row r="13" ht="30" customHeight="1">
      <c r="A13" s="887"/>
      <c r="B13" s="586"/>
      <c r="C13" s="586"/>
      <c r="D13" s="586"/>
      <c r="E13" t="s" s="744">
        <f>RIGHT($B$1,1)&amp;"11"</f>
        <v>90</v>
      </c>
      <c r="F13" s="586"/>
      <c r="G13" t="s" s="667">
        <f>IF(VLOOKUP(E13,'BDD'!$A$2:$N$567,14,FALSE)=0,"",VLOOKUP(E13,'BDD'!$A$2:$N$567,14,FALSE))</f>
        <v>760</v>
      </c>
      <c r="H13" s="591"/>
      <c r="I13" s="587"/>
      <c r="J13" s="25"/>
      <c r="K13" s="939"/>
      <c r="L13" s="940"/>
      <c r="M13" s="941"/>
      <c r="N13" s="942"/>
      <c r="O13" s="943"/>
      <c r="P13" s="943"/>
      <c r="Q13" s="943"/>
      <c r="R13" s="943"/>
      <c r="S13" s="943"/>
      <c r="T13" s="943"/>
      <c r="U13" s="943"/>
      <c r="V13" s="944"/>
      <c r="W13" s="945"/>
      <c r="X13" s="945"/>
      <c r="Y13" s="944"/>
      <c r="Z13" s="946"/>
      <c r="AA13" s="946"/>
      <c r="AB13" s="947"/>
      <c r="AC13" s="948"/>
      <c r="AD13" s="586"/>
      <c r="AE13" s="586"/>
      <c r="AF13" s="679"/>
      <c r="AG13" s="679"/>
      <c r="AH13" s="949"/>
      <c r="AI13" s="585"/>
    </row>
    <row r="14" ht="30" customHeight="1">
      <c r="A14" s="887"/>
      <c r="B14" s="586"/>
      <c r="C14" s="586"/>
      <c r="D14" s="586"/>
      <c r="E14" t="s" s="744">
        <f>RIGHT($B$1,1)&amp;"12"</f>
        <v>761</v>
      </c>
      <c r="F14" s="586"/>
      <c r="G14" t="s" s="667">
        <f>IF(VLOOKUP(E14,'BDD'!$A$2:$N$567,14,FALSE)=0,"",VLOOKUP(E14,'BDD'!$A$2:$N$567,14,FALSE))</f>
        <v>765</v>
      </c>
      <c r="H14" s="681"/>
      <c r="I14" s="587"/>
      <c r="J14" s="25"/>
      <c r="K14" s="950"/>
      <c r="L14" s="951"/>
      <c r="M14" s="952"/>
      <c r="N14" t="s" s="953">
        <f>"Evaluation globale du vecteur "&amp;RIGHT(B1,2)</f>
        <v>2086</v>
      </c>
      <c r="O14" s="954"/>
      <c r="P14" s="955"/>
      <c r="Q14" s="955"/>
      <c r="R14" s="955"/>
      <c r="S14" s="955"/>
      <c r="T14" s="955"/>
      <c r="U14" s="955"/>
      <c r="V14" s="955"/>
      <c r="W14" s="956"/>
      <c r="X14" s="957"/>
      <c r="Y14" s="958"/>
      <c r="Z14" t="s" s="959">
        <v>1829</v>
      </c>
      <c r="AA14" t="s" s="960">
        <v>1830</v>
      </c>
      <c r="AB14" s="961"/>
      <c r="AC14" s="948"/>
      <c r="AD14" s="679"/>
      <c r="AE14" s="679"/>
      <c r="AF14" s="586"/>
      <c r="AG14" s="586"/>
      <c r="AH14" s="888"/>
      <c r="AI14" s="585"/>
    </row>
    <row r="15" ht="30" customHeight="1">
      <c r="A15" s="887"/>
      <c r="B15" s="586"/>
      <c r="C15" s="586"/>
      <c r="D15" s="586"/>
      <c r="E15" t="s" s="744">
        <f>RIGHT($B$1,1)&amp;"13"</f>
        <v>766</v>
      </c>
      <c r="F15" s="586"/>
      <c r="G15" t="s" s="667">
        <f>IF(VLOOKUP(E15,'BDD'!$A$2:$N$567,14,FALSE)=0,"",VLOOKUP(E15,'BDD'!$A$2:$N$567,14,FALSE))</f>
        <v>771</v>
      </c>
      <c r="H15" s="694"/>
      <c r="I15" s="587"/>
      <c r="J15" s="25"/>
      <c r="K15" s="937"/>
      <c r="L15" s="938"/>
      <c r="M15" s="962"/>
      <c r="N15" s="697"/>
      <c r="O15" s="963"/>
      <c r="P15" s="955"/>
      <c r="Q15" s="955"/>
      <c r="R15" s="955"/>
      <c r="S15" s="955"/>
      <c r="T15" s="955"/>
      <c r="U15" s="955"/>
      <c r="V15" s="964"/>
      <c r="W15" t="s" s="701">
        <v>28</v>
      </c>
      <c r="X15" s="702"/>
      <c r="Y15" s="965"/>
      <c r="Z15" s="966">
        <f>O22</f>
        <v>0</v>
      </c>
      <c r="AA15" s="967">
        <f>SUM($W$27:$W$65)</f>
      </c>
      <c r="AB15" s="968"/>
      <c r="AC15" s="948"/>
      <c r="AD15" s="586"/>
      <c r="AE15" s="586"/>
      <c r="AF15" s="586"/>
      <c r="AG15" s="586"/>
      <c r="AH15" s="888"/>
      <c r="AI15" s="585"/>
    </row>
    <row r="16" ht="30" customHeight="1">
      <c r="A16" s="887"/>
      <c r="B16" s="586"/>
      <c r="C16" s="586"/>
      <c r="D16" s="586"/>
      <c r="E16" t="s" s="744">
        <f>RIGHT($B$1,1)&amp;"14"</f>
        <v>772</v>
      </c>
      <c r="F16" s="586"/>
      <c r="G16" t="s" s="667">
        <f>IF(VLOOKUP(E16,'BDD'!$A$2:$N$567,14,FALSE)=0,"",VLOOKUP(E16,'BDD'!$A$2:$N$567,14,FALSE))</f>
        <v>775</v>
      </c>
      <c r="H16" s="694"/>
      <c r="I16" s="587"/>
      <c r="J16" s="25"/>
      <c r="K16" s="950"/>
      <c r="L16" s="969"/>
      <c r="M16" s="970"/>
      <c r="N16" s="971"/>
      <c r="O16" s="972"/>
      <c r="P16" s="972"/>
      <c r="Q16" s="972"/>
      <c r="R16" s="972"/>
      <c r="S16" s="972"/>
      <c r="T16" s="972"/>
      <c r="U16" s="972"/>
      <c r="V16" s="972"/>
      <c r="W16" s="973"/>
      <c r="X16" s="971"/>
      <c r="Y16" s="972"/>
      <c r="Z16" s="974"/>
      <c r="AA16" s="974"/>
      <c r="AB16" s="975"/>
      <c r="AC16" s="948"/>
      <c r="AD16" s="586"/>
      <c r="AE16" s="586"/>
      <c r="AF16" s="586"/>
      <c r="AG16" s="586"/>
      <c r="AH16" s="888"/>
      <c r="AI16" s="585"/>
    </row>
    <row r="17" ht="41.4" customHeight="1">
      <c r="A17" s="887"/>
      <c r="B17" s="586"/>
      <c r="C17" s="586"/>
      <c r="D17" s="586"/>
      <c r="E17" t="s" s="744">
        <f>RIGHT($B$1,1)&amp;"15"</f>
        <v>776</v>
      </c>
      <c r="F17" s="586"/>
      <c r="G17" t="s" s="667">
        <f>IF(VLOOKUP(E17,'BDD'!$A$2:$N$567,14,FALSE)=0,"",VLOOKUP(E17,'BDD'!$A$2:$N$567,14,FALSE))</f>
        <v>780</v>
      </c>
      <c r="H17" s="694"/>
      <c r="I17" s="587"/>
      <c r="J17" s="25"/>
      <c r="K17" s="694"/>
      <c r="L17" s="976"/>
      <c r="M17" s="977"/>
      <c r="N17" s="978"/>
      <c r="O17" s="978"/>
      <c r="P17" s="978"/>
      <c r="Q17" s="978"/>
      <c r="R17" s="978"/>
      <c r="S17" s="979"/>
      <c r="T17" s="979"/>
      <c r="U17" s="979"/>
      <c r="V17" s="979"/>
      <c r="W17" s="979"/>
      <c r="X17" s="979"/>
      <c r="Y17" s="979"/>
      <c r="Z17" s="979"/>
      <c r="AA17" s="979"/>
      <c r="AB17" s="979"/>
      <c r="AC17" s="586"/>
      <c r="AD17" s="586"/>
      <c r="AE17" s="586"/>
      <c r="AF17" s="586"/>
      <c r="AG17" s="586"/>
      <c r="AH17" s="888"/>
      <c r="AI17" s="585"/>
    </row>
    <row r="18" ht="41.4" customHeight="1" hidden="1">
      <c r="A18" s="887"/>
      <c r="B18" s="586"/>
      <c r="C18" s="586"/>
      <c r="D18" s="586"/>
      <c r="E18" s="586"/>
      <c r="F18" s="586"/>
      <c r="G18" s="717"/>
      <c r="H18" s="694"/>
      <c r="I18" s="587"/>
      <c r="J18" s="25"/>
      <c r="K18" s="694"/>
      <c r="L18" s="694"/>
      <c r="M18" s="587"/>
      <c r="N18" s="718"/>
      <c r="O18" s="718"/>
      <c r="P18" s="718"/>
      <c r="Q18" s="718"/>
      <c r="R18" s="718"/>
      <c r="S18" s="586"/>
      <c r="T18" s="586"/>
      <c r="U18" s="586"/>
      <c r="V18" s="586"/>
      <c r="W18" s="586"/>
      <c r="X18" s="586"/>
      <c r="Y18" s="586"/>
      <c r="Z18" s="586"/>
      <c r="AA18" s="586"/>
      <c r="AB18" s="586"/>
      <c r="AC18" s="586"/>
      <c r="AD18" s="586"/>
      <c r="AE18" s="586"/>
      <c r="AF18" s="586"/>
      <c r="AG18" s="586"/>
      <c r="AH18" s="888"/>
      <c r="AI18" s="585"/>
    </row>
    <row r="19" ht="41.4" customHeight="1" hidden="1">
      <c r="A19" s="887"/>
      <c r="B19" s="586"/>
      <c r="C19" s="586"/>
      <c r="D19" s="586"/>
      <c r="E19" s="586"/>
      <c r="F19" s="586"/>
      <c r="G19" s="717"/>
      <c r="H19" s="694"/>
      <c r="I19" s="587"/>
      <c r="J19" s="25"/>
      <c r="K19" s="694"/>
      <c r="L19" s="694"/>
      <c r="M19" s="587"/>
      <c r="N19" s="718"/>
      <c r="O19" s="718"/>
      <c r="P19" s="718"/>
      <c r="Q19" s="718"/>
      <c r="R19" s="718"/>
      <c r="S19" s="586"/>
      <c r="T19" s="586"/>
      <c r="U19" s="586"/>
      <c r="V19" s="586"/>
      <c r="W19" s="586"/>
      <c r="X19" s="586"/>
      <c r="Y19" s="586"/>
      <c r="Z19" s="586"/>
      <c r="AA19" s="586"/>
      <c r="AB19" s="586"/>
      <c r="AC19" s="586"/>
      <c r="AD19" s="586"/>
      <c r="AE19" s="586"/>
      <c r="AF19" s="586"/>
      <c r="AG19" s="586"/>
      <c r="AH19" s="888"/>
      <c r="AI19" s="585"/>
    </row>
    <row r="20" ht="30" customHeight="1">
      <c r="A20" s="887"/>
      <c r="B20" s="586"/>
      <c r="C20" s="586"/>
      <c r="D20" s="586"/>
      <c r="E20" s="586"/>
      <c r="F20" s="586"/>
      <c r="G20" s="717"/>
      <c r="H20" s="694"/>
      <c r="I20" s="587"/>
      <c r="J20" s="25"/>
      <c r="K20" s="694"/>
      <c r="L20" s="694"/>
      <c r="M20" s="719"/>
      <c r="N20" t="s" s="536">
        <v>1831</v>
      </c>
      <c r="O20" s="721">
        <f>COUNTIF(N27:N100,"Non renseigné")</f>
        <v>29</v>
      </c>
      <c r="P20" s="722"/>
      <c r="Q20" s="722"/>
      <c r="R20" s="723"/>
      <c r="S20" s="724"/>
      <c r="T20" s="586"/>
      <c r="U20" s="586"/>
      <c r="V20" s="586"/>
      <c r="W20" s="586"/>
      <c r="X20" s="586"/>
      <c r="Y20" s="586"/>
      <c r="Z20" s="586"/>
      <c r="AA20" s="586"/>
      <c r="AB20" s="586"/>
      <c r="AC20" s="586"/>
      <c r="AD20" s="586"/>
      <c r="AE20" s="586"/>
      <c r="AF20" s="586"/>
      <c r="AG20" s="586"/>
      <c r="AH20" s="888"/>
      <c r="AI20" s="585"/>
    </row>
    <row r="21" ht="30" customHeight="1">
      <c r="A21" s="887"/>
      <c r="B21" s="586"/>
      <c r="C21" s="586"/>
      <c r="D21" s="586"/>
      <c r="E21" t="s" s="744">
        <f>RIGHT($B$1,1)&amp;"17"</f>
        <v>782</v>
      </c>
      <c r="F21" s="586"/>
      <c r="G21" t="s" s="667">
        <f>IF(VLOOKUP(E21,'BDD'!$A$2:$N$567,14,FALSE)=0,"",VLOOKUP(E21,'BDD'!$A$2:$N$567,14,FALSE))</f>
      </c>
      <c r="H21" s="694"/>
      <c r="I21" s="694"/>
      <c r="J21" s="25"/>
      <c r="K21" s="694"/>
      <c r="L21" s="694"/>
      <c r="M21" s="719"/>
      <c r="N21" t="s" s="855">
        <v>1832</v>
      </c>
      <c r="O21" s="856">
        <f>COUNTIF($N$27:$N$91,"Non évalué")</f>
        <v>0</v>
      </c>
      <c r="P21" s="857"/>
      <c r="Q21" s="857"/>
      <c r="R21" s="858"/>
      <c r="S21" s="724"/>
      <c r="T21" s="586"/>
      <c r="U21" s="586"/>
      <c r="V21" s="586"/>
      <c r="W21" s="586"/>
      <c r="X21" s="586"/>
      <c r="Y21" s="586"/>
      <c r="Z21" s="586"/>
      <c r="AA21" s="586"/>
      <c r="AB21" s="586"/>
      <c r="AC21" s="586"/>
      <c r="AD21" s="586"/>
      <c r="AE21" s="586"/>
      <c r="AF21" s="586"/>
      <c r="AG21" s="586"/>
      <c r="AH21" s="888"/>
      <c r="AI21" s="585"/>
    </row>
    <row r="22" ht="50.4" customHeight="1">
      <c r="A22" s="887"/>
      <c r="B22" s="586"/>
      <c r="C22" s="586"/>
      <c r="D22" s="586"/>
      <c r="E22" t="s" s="744">
        <f>RIGHT($B$1,1)&amp;"17"</f>
        <v>782</v>
      </c>
      <c r="F22" s="586"/>
      <c r="G22" t="s" s="667">
        <f>IF(VLOOKUP(E22,'BDD'!$A$2:$N$567,14,FALSE)=0,"",VLOOKUP(E22,'BDD'!$A$2:$N$567,14,FALSE))</f>
      </c>
      <c r="H22" s="730"/>
      <c r="I22" s="730"/>
      <c r="J22" s="730"/>
      <c r="K22" s="730"/>
      <c r="L22" s="731"/>
      <c r="M22" s="719"/>
      <c r="N22" t="s" s="732">
        <v>1833</v>
      </c>
      <c r="O22" s="733">
        <v>0</v>
      </c>
      <c r="P22" s="734"/>
      <c r="Q22" s="734"/>
      <c r="R22" s="734"/>
      <c r="S22" s="586"/>
      <c r="T22" s="586"/>
      <c r="U22" s="586"/>
      <c r="V22" s="586"/>
      <c r="W22" s="586"/>
      <c r="X22" s="586"/>
      <c r="Y22" s="586"/>
      <c r="Z22" s="586"/>
      <c r="AA22" s="586"/>
      <c r="AB22" s="586"/>
      <c r="AC22" s="586"/>
      <c r="AD22" s="586"/>
      <c r="AE22" s="586"/>
      <c r="AF22" s="586"/>
      <c r="AG22" s="586"/>
      <c r="AH22" s="888"/>
      <c r="AI22" s="585"/>
    </row>
    <row r="23" ht="30" customHeight="1">
      <c r="A23" s="887"/>
      <c r="B23" s="586"/>
      <c r="C23" s="25"/>
      <c r="D23" s="586"/>
      <c r="E23" s="586"/>
      <c r="F23" s="586"/>
      <c r="G23" s="736"/>
      <c r="H23" t="s" s="737">
        <v>245</v>
      </c>
      <c r="I23" s="738"/>
      <c r="J23" s="739"/>
      <c r="K23" s="739"/>
      <c r="L23" s="740"/>
      <c r="M23" s="741"/>
      <c r="N23" s="742"/>
      <c r="O23" s="730"/>
      <c r="P23" s="730"/>
      <c r="Q23" s="730"/>
      <c r="R23" s="730"/>
      <c r="S23" s="730"/>
      <c r="T23" s="730"/>
      <c r="U23" s="730"/>
      <c r="V23" s="730"/>
      <c r="W23" s="586"/>
      <c r="X23" s="586"/>
      <c r="Y23" s="586"/>
      <c r="Z23" s="586"/>
      <c r="AA23" s="586"/>
      <c r="AB23" s="586"/>
      <c r="AC23" s="586"/>
      <c r="AD23" s="586"/>
      <c r="AE23" s="586"/>
      <c r="AF23" s="586"/>
      <c r="AG23" s="586"/>
      <c r="AH23" s="888"/>
      <c r="AI23" s="585"/>
    </row>
    <row r="24" ht="39.6" customHeight="1">
      <c r="A24" s="887"/>
      <c r="B24" s="586"/>
      <c r="C24" t="s" s="744">
        <v>10</v>
      </c>
      <c r="D24" t="s" s="745">
        <v>1745</v>
      </c>
      <c r="E24" t="s" s="745">
        <v>1834</v>
      </c>
      <c r="F24" s="746"/>
      <c r="G24" t="s" s="747">
        <v>244</v>
      </c>
      <c r="H24" t="s" s="747">
        <v>283</v>
      </c>
      <c r="I24" t="s" s="747">
        <v>263</v>
      </c>
      <c r="J24" t="s" s="747">
        <v>271</v>
      </c>
      <c r="K24" t="s" s="747">
        <v>291</v>
      </c>
      <c r="L24" t="s" s="747">
        <v>256</v>
      </c>
      <c r="M24" s="748"/>
      <c r="N24" t="s" s="747">
        <v>1764</v>
      </c>
      <c r="O24" t="s" s="749">
        <v>22</v>
      </c>
      <c r="P24" s="750"/>
      <c r="Q24" s="750"/>
      <c r="R24" s="750"/>
      <c r="S24" t="s" s="751">
        <v>223</v>
      </c>
      <c r="T24" s="750"/>
      <c r="U24" s="750"/>
      <c r="V24" s="752"/>
      <c r="W24" s="724"/>
      <c r="X24" s="586"/>
      <c r="Y24" s="586"/>
      <c r="Z24" s="586"/>
      <c r="AA24" s="586"/>
      <c r="AB24" s="586"/>
      <c r="AC24" s="586"/>
      <c r="AD24" s="586"/>
      <c r="AE24" s="586"/>
      <c r="AF24" s="586"/>
      <c r="AG24" s="586"/>
      <c r="AH24" s="888"/>
      <c r="AI24" s="585"/>
    </row>
    <row r="25" ht="30" customHeight="1">
      <c r="A25" s="887"/>
      <c r="B25" s="753"/>
      <c r="C25" t="s" s="754">
        <f>IF(LEFT(RIGHT($B$1,2),1)=" ",RIGHT($B$1,1),RIGHT($B$1,2))</f>
        <v>2051</v>
      </c>
      <c r="D25" s="755">
        <f>IF(LEFT(F25,5)="Bonne",B23+1,D24)</f>
        <v>1</v>
      </c>
      <c r="E25" s="756"/>
      <c r="F25" t="s" s="757">
        <v>1762</v>
      </c>
      <c r="G25" t="s" s="758">
        <f>VLOOKUP(E27,'BDD'!$A$2:$N$567,6,FALSE)</f>
        <v>755</v>
      </c>
      <c r="H25" s="759"/>
      <c r="I25" s="760"/>
      <c r="J25" s="760"/>
      <c r="K25" s="760"/>
      <c r="L25" s="761"/>
      <c r="M25" s="762"/>
      <c r="N25" s="763"/>
      <c r="O25" s="764">
        <v>0</v>
      </c>
      <c r="P25" s="764"/>
      <c r="Q25" s="764"/>
      <c r="R25" s="764"/>
      <c r="S25" s="765">
        <f>_xlfn.SUMIFS(S1:S100,$D1:$D100,D25,$N1:$N100,"Exigences"&amp;"*")</f>
      </c>
      <c r="T25" s="765"/>
      <c r="U25" s="765"/>
      <c r="V25" s="766"/>
      <c r="W25" s="767"/>
      <c r="X25" s="586"/>
      <c r="Y25" s="586"/>
      <c r="Z25" s="586"/>
      <c r="AA25" s="586"/>
      <c r="AB25" s="586"/>
      <c r="AC25" s="586"/>
      <c r="AD25" s="586"/>
      <c r="AE25" s="586"/>
      <c r="AF25" s="586"/>
      <c r="AG25" s="586"/>
      <c r="AH25" s="888"/>
      <c r="AI25" s="585"/>
    </row>
    <row r="26" ht="30" customHeight="1">
      <c r="A26" s="887"/>
      <c r="B26" s="753"/>
      <c r="C26" t="s" s="754">
        <f>IF(LEFT(RIGHT($B$1,2),1)=" ",RIGHT($B$1,1),RIGHT($B$1,2))</f>
        <v>2051</v>
      </c>
      <c r="D26" s="755">
        <f>IF(LEFT(F26,5)="Bonne",D24+1,D25)</f>
        <v>1</v>
      </c>
      <c r="E26" s="768"/>
      <c r="F26" t="s" s="769">
        <v>1835</v>
      </c>
      <c r="G26" t="s" s="809">
        <f>VLOOKUP(E28,'BDD'!$A$2:$N$567,7,FALSE)</f>
        <v>2087</v>
      </c>
      <c r="H26" s="810"/>
      <c r="I26" s="810"/>
      <c r="J26" s="810"/>
      <c r="K26" s="810"/>
      <c r="L26" s="810"/>
      <c r="M26" s="810"/>
      <c r="N26" s="811"/>
      <c r="O26" s="775"/>
      <c r="P26" s="775"/>
      <c r="Q26" s="775"/>
      <c r="R26" s="775"/>
      <c r="S26" s="776"/>
      <c r="T26" s="776"/>
      <c r="U26" s="776"/>
      <c r="V26" s="777"/>
      <c r="W26" s="789">
        <f>_xlfn.IFERROR(IF(N26='Suppl'!$E$65,0,IF(N26='Suppl'!$E$66,1/2/(_xlfn.COUNTIFS($N1:$N100,"Exigences"&amp;"*")+_xlfn.COUNTIFS($N1:$N100,"Non"&amp;"*")),IF(N26='Suppl'!$E$67,1/(_xlfn.COUNTIFS($N1:$N100,"Exigences"&amp;"*")+_xlfn.COUNTIFS($N1:$N100,"Non"&amp;"*")),0))),0)</f>
        <v>0</v>
      </c>
      <c r="X26" s="586"/>
      <c r="Y26" s="586"/>
      <c r="Z26" s="586"/>
      <c r="AA26" s="586"/>
      <c r="AB26" s="586"/>
      <c r="AC26" s="586"/>
      <c r="AD26" s="586"/>
      <c r="AE26" s="586"/>
      <c r="AF26" s="586"/>
      <c r="AG26" s="586"/>
      <c r="AH26" s="888"/>
      <c r="AI26" s="585"/>
    </row>
    <row r="27" ht="27.6" customHeight="1">
      <c r="A27" s="887"/>
      <c r="B27" s="753"/>
      <c r="C27" t="s" s="754">
        <f>IF(LEFT(RIGHT($B$1,2),1)=" ",RIGHT($B$1,1),RIGHT($B$1,2))</f>
        <v>2051</v>
      </c>
      <c r="D27" s="755">
        <f>IF(LEFT(F27,5)="Bonne",D25+1,D26)</f>
        <v>1</v>
      </c>
      <c r="E27" t="s" s="778">
        <f>C27&amp;D27&amp;RIGHT(F27,1)</f>
        <v>2054</v>
      </c>
      <c r="F27" t="s" s="779">
        <v>1769</v>
      </c>
      <c r="G27" t="s" s="780">
        <f>VLOOKUP(E27,'BDD'!$A$2:$N$567,MATCH(G$24,'BDD'!$A$1:$P$1,0),FALSE)</f>
        <v>758</v>
      </c>
      <c r="H27" t="s" s="799">
        <f>IF(VLOOKUP($E27,'BDD'!$A$2:$N$567,MATCH($H$23,'BDD'!$A$1:$P$1,0),FALSE)=H$24,H$24,"")</f>
        <v>1966</v>
      </c>
      <c r="I27" t="s" s="792">
        <f>IF(VLOOKUP($E27,'BDD'!$A$2:$N$567,MATCH($H$23,'BDD'!$A$1:$P$1,0),FALSE)=I$24,I$24,"")</f>
      </c>
      <c r="J27" t="s" s="792">
        <f>IF(VLOOKUP($E27,'BDD'!$A$2:$N$567,MATCH($H$23,'BDD'!$A$1:$P$1,0),FALSE)=J$24,J$24,"")</f>
      </c>
      <c r="K27" t="s" s="792">
        <f>IF(VLOOKUP($E27,'BDD'!$A$2:$N$567,MATCH($H$23,'BDD'!$A$1:$P$1,0),FALSE)=K$24,K$24,"")</f>
      </c>
      <c r="L27" t="s" s="783">
        <f>IF(VLOOKUP($E27,'BDD'!$A$2:$N$567,MATCH($H$23,'BDD'!$A$1:$P$1,0),FALSE)=L$24,L$24,"")</f>
      </c>
      <c r="M27" s="784">
        <f>IF(N27="Exigences partiellement respectées",1,IF(N27="Exigences respectées",2,0))</f>
        <v>0</v>
      </c>
      <c r="N27" t="s" s="780">
        <f>VLOOKUP(VLOOKUP(E27,'BDD'!$A$2:$P$428,15,FALSE),'Suppl'!$D$64:$E$68,2,FALSE)</f>
        <v>1751</v>
      </c>
      <c r="O27" s="785"/>
      <c r="P27" s="786"/>
      <c r="Q27" s="786"/>
      <c r="R27" s="786"/>
      <c r="S27" s="787">
        <f>IF(N27='Suppl'!$E$65,0,IF(N27='Suppl'!$E$66,1/2/(_xlfn.COUNTIFS($D1:$D100,D27,$N1:$N100,"Exigences"&amp;"*",G1:G100,"&lt;&gt;0")+_xlfn.COUNTIFS($D1:$D100,D27,$N1:$N100,"Non"&amp;"*",G1:G100,"&lt;&gt;0")),IF(N27='Suppl'!$E$67,1/(_xlfn.COUNTIFS($D1:$D100,D27,$N1:$N100,"Exigences"&amp;"*",G1:G100,"&lt;&gt;0")+_xlfn.COUNTIFS($D1:$D100,D27,$N1:$N100,"Non"&amp;"*",G1:G100,"&lt;&gt;0")),0)))</f>
        <v>0</v>
      </c>
      <c r="T27" s="787"/>
      <c r="U27" s="787"/>
      <c r="V27" s="788"/>
      <c r="W27" s="789">
        <f>_xlfn.IFERROR(IF(N27='Suppl'!$E$65,0,IF(N27='Suppl'!$E$66,1/2/(_xlfn.COUNTIFS($N1:$N100,"Exigences"&amp;"*")+_xlfn.COUNTIFS($N1:$N100,"Non"&amp;"*")),IF(N27='Suppl'!$E$67,1/(_xlfn.COUNTIFS($N1:$N100,"Exigences"&amp;"*")+_xlfn.COUNTIFS($N1:$N100,"Non"&amp;"*")),0))),0)</f>
        <v>0</v>
      </c>
      <c r="X27" s="586"/>
      <c r="Y27" s="586"/>
      <c r="Z27" s="586"/>
      <c r="AA27" s="586"/>
      <c r="AB27" s="586"/>
      <c r="AC27" s="586"/>
      <c r="AD27" s="586"/>
      <c r="AE27" s="586"/>
      <c r="AF27" s="586"/>
      <c r="AG27" s="586"/>
      <c r="AH27" s="888"/>
      <c r="AI27" s="585"/>
    </row>
    <row r="28" ht="30" customHeight="1">
      <c r="A28" s="887"/>
      <c r="B28" s="753"/>
      <c r="C28" t="s" s="754">
        <f>IF(LEFT(RIGHT($B$1,2),1)=" ",RIGHT($B$1,1),RIGHT($B$1,2))</f>
        <v>2051</v>
      </c>
      <c r="D28" s="755">
        <f>IF(LEFT(F28,5)="Bonne",D26+1,D27)</f>
        <v>1</v>
      </c>
      <c r="E28" t="s" s="778">
        <f>C28&amp;D28&amp;RIGHT(F28,1)</f>
        <v>2055</v>
      </c>
      <c r="F28" t="s" s="790">
        <v>1837</v>
      </c>
      <c r="G28" t="s" s="791">
        <f>VLOOKUP(E28,'BDD'!$A$2:$N$567,MATCH(G$24,'BDD'!$A$1:$P$1,0),FALSE)</f>
        <v>762</v>
      </c>
      <c r="H28" t="s" s="799">
        <f>IF(VLOOKUP($E28,'BDD'!$A$2:$N$567,MATCH($H$23,'BDD'!$A$1:$P$1,0),FALSE)=H$24,H$24,"")</f>
      </c>
      <c r="I28" t="s" s="792">
        <f>IF(VLOOKUP($E28,'BDD'!$A$2:$N$567,MATCH($H$23,'BDD'!$A$1:$P$1,0),FALSE)=I$24,I$24,"")</f>
        <v>1969</v>
      </c>
      <c r="J28" t="s" s="792">
        <f>IF(VLOOKUP($E28,'BDD'!$A$2:$N$567,MATCH($H$23,'BDD'!$A$1:$P$1,0),FALSE)=J$24,J$24,"")</f>
      </c>
      <c r="K28" t="s" s="792">
        <f>IF(VLOOKUP($E28,'BDD'!$A$2:$N$567,MATCH($H$23,'BDD'!$A$1:$P$1,0),FALSE)=K$24,K$24,"")</f>
      </c>
      <c r="L28" t="s" s="783">
        <f>IF(VLOOKUP($E28,'BDD'!$A$2:$N$567,MATCH($H$23,'BDD'!$A$1:$P$1,0),FALSE)=L$24,L$24,"")</f>
      </c>
      <c r="M28" s="794">
        <f>IF(N28="Exigences partiellement respectées",1,IF(N28="Exigences respectées",2,0))</f>
        <v>0</v>
      </c>
      <c r="N28" t="s" s="791">
        <f>VLOOKUP(VLOOKUP(E28,'BDD'!$A$2:$P$428,15,FALSE),'Suppl'!$D$64:$E$68,2,FALSE)</f>
        <v>1751</v>
      </c>
      <c r="O28" s="795"/>
      <c r="P28" s="796"/>
      <c r="Q28" s="796"/>
      <c r="R28" s="796"/>
      <c r="S28" s="797">
        <f>IF(N28='Suppl'!$E$65,0,IF(N28='Suppl'!$E$66,1/2/(_xlfn.COUNTIFS($D1:$D100,D28,$N1:$N100,"Exigences"&amp;"*",G1:G100,"&lt;&gt;0")+_xlfn.COUNTIFS($D1:$D100,D28,$N1:$N100,"Non"&amp;"*",G1:G100,"&lt;&gt;0")),IF(N28='Suppl'!$E$67,1/(_xlfn.COUNTIFS($D1:$D100,D28,$N1:$N100,"Exigences"&amp;"*",G1:G100,"&lt;&gt;0")+_xlfn.COUNTIFS($D1:$D100,D28,$N1:$N100,"Non"&amp;"*",G1:G100,"&lt;&gt;0")),0)))</f>
        <v>0</v>
      </c>
      <c r="T28" s="797"/>
      <c r="U28" s="797"/>
      <c r="V28" s="798"/>
      <c r="W28" s="789">
        <f>_xlfn.IFERROR(IF(N28='Suppl'!$E$65,0,IF(N28='Suppl'!$E$66,1/2/(_xlfn.COUNTIFS($N1:$N100,"Exigences"&amp;"*")+_xlfn.COUNTIFS($N1:$N100,"Non"&amp;"*")),IF(N28='Suppl'!$E$67,1/(_xlfn.COUNTIFS($N1:$N100,"Exigences"&amp;"*")+_xlfn.COUNTIFS($N1:$N100,"Non"&amp;"*")),0))),0)</f>
        <v>0</v>
      </c>
      <c r="X28" s="586"/>
      <c r="Y28" s="586"/>
      <c r="Z28" s="586"/>
      <c r="AA28" s="586"/>
      <c r="AB28" s="586"/>
      <c r="AC28" s="586"/>
      <c r="AD28" s="586"/>
      <c r="AE28" s="586"/>
      <c r="AF28" s="586"/>
      <c r="AG28" s="586"/>
      <c r="AH28" s="888"/>
      <c r="AI28" s="585"/>
    </row>
    <row r="29" ht="60.6" customHeight="1">
      <c r="A29" s="887"/>
      <c r="B29" s="753"/>
      <c r="C29" t="s" s="754">
        <f>IF(LEFT(RIGHT($B$1,2),1)=" ",RIGHT($B$1,1),RIGHT($B$1,2))</f>
        <v>2051</v>
      </c>
      <c r="D29" s="755">
        <f>IF(LEFT(F29,5)="Bonne",D27+1,D28)</f>
        <v>1</v>
      </c>
      <c r="E29" t="s" s="778">
        <f>C29&amp;D29&amp;RIGHT(F29,1)</f>
        <v>2056</v>
      </c>
      <c r="F29" t="s" s="779">
        <v>1774</v>
      </c>
      <c r="G29" t="s" s="780">
        <f>VLOOKUP(E29,'BDD'!$A$2:$N$567,MATCH(G$24,'BDD'!$A$1:$P$1,0),FALSE)</f>
        <v>768</v>
      </c>
      <c r="H29" t="s" s="799">
        <f>IF(VLOOKUP($E29,'BDD'!$A$2:$N$567,MATCH($H$23,'BDD'!$A$1:$P$1,0),FALSE)=H$24,H$24,"")</f>
      </c>
      <c r="I29" t="s" s="792">
        <f>IF(VLOOKUP($E29,'BDD'!$A$2:$N$567,MATCH($H$23,'BDD'!$A$1:$P$1,0),FALSE)=I$24,I$24,"")</f>
      </c>
      <c r="J29" t="s" s="792">
        <f>IF(VLOOKUP($E29,'BDD'!$A$2:$N$567,MATCH($H$23,'BDD'!$A$1:$P$1,0),FALSE)=J$24,J$24,"")</f>
      </c>
      <c r="K29" t="s" s="792">
        <f>IF(VLOOKUP($E29,'BDD'!$A$2:$N$567,MATCH($H$23,'BDD'!$A$1:$P$1,0),FALSE)=K$24,K$24,"")</f>
        <v>1968</v>
      </c>
      <c r="L29" t="s" s="783">
        <f>IF(VLOOKUP($E29,'BDD'!$A$2:$N$567,MATCH($H$23,'BDD'!$A$1:$P$1,0),FALSE)=L$24,L$24,"")</f>
      </c>
      <c r="M29" s="794">
        <f>IF(N29="Exigences partiellement respectées",1,IF(N29="Exigences respectées",2,0))</f>
        <v>0</v>
      </c>
      <c r="N29" t="s" s="780">
        <f>VLOOKUP(VLOOKUP(E29,'BDD'!$A$2:$P$428,15,FALSE),'Suppl'!$D$64:$E$68,2,FALSE)</f>
        <v>1751</v>
      </c>
      <c r="O29" s="795"/>
      <c r="P29" s="796"/>
      <c r="Q29" s="796"/>
      <c r="R29" s="796"/>
      <c r="S29" s="797">
        <f>IF(N29='Suppl'!$E$65,0,IF(N29='Suppl'!$E$66,1/2/(_xlfn.COUNTIFS($D1:$D100,D29,$N1:$N100,"Exigences"&amp;"*",G1:G100,"&lt;&gt;0")+_xlfn.COUNTIFS($D1:$D100,D29,$N1:$N100,"Non"&amp;"*",G1:G100,"&lt;&gt;0")),IF(N29='Suppl'!$E$67,1/(_xlfn.COUNTIFS($D1:$D100,D29,$N1:$N100,"Exigences"&amp;"*",G1:G100,"&lt;&gt;0")+_xlfn.COUNTIFS($D1:$D100,D29,$N1:$N100,"Non"&amp;"*",G1:G100,"&lt;&gt;0")),0)))</f>
        <v>0</v>
      </c>
      <c r="T29" s="797"/>
      <c r="U29" s="797"/>
      <c r="V29" s="798"/>
      <c r="W29" s="789">
        <f>_xlfn.IFERROR(IF(N29='Suppl'!$E$65,0,IF(N29='Suppl'!$E$66,1/2/(_xlfn.COUNTIFS($N1:$N100,"Exigences"&amp;"*")+_xlfn.COUNTIFS($N1:$N100,"Non"&amp;"*")),IF(N29='Suppl'!$E$67,1/(_xlfn.COUNTIFS($N1:$N100,"Exigences"&amp;"*")+_xlfn.COUNTIFS($N1:$N100,"Non"&amp;"*")),0))),0)</f>
        <v>0</v>
      </c>
      <c r="X29" s="586"/>
      <c r="Y29" s="586"/>
      <c r="Z29" s="586"/>
      <c r="AA29" s="586"/>
      <c r="AB29" s="586"/>
      <c r="AC29" s="586"/>
      <c r="AD29" s="586"/>
      <c r="AE29" s="586"/>
      <c r="AF29" s="586"/>
      <c r="AG29" s="586"/>
      <c r="AH29" s="888"/>
      <c r="AI29" s="585"/>
    </row>
    <row r="30" ht="30" customHeight="1">
      <c r="A30" s="887"/>
      <c r="B30" s="753"/>
      <c r="C30" t="s" s="754">
        <f>IF(LEFT(RIGHT($B$1,2),1)=" ",RIGHT($B$1,1),RIGHT($B$1,2))</f>
        <v>2051</v>
      </c>
      <c r="D30" s="755">
        <f>IF(LEFT(F30,5)="Bonne",D28+1,D29)</f>
        <v>1</v>
      </c>
      <c r="E30" t="s" s="778">
        <f>C30&amp;D30&amp;RIGHT(F30,1)</f>
        <v>2057</v>
      </c>
      <c r="F30" t="s" s="790">
        <v>1776</v>
      </c>
      <c r="G30" t="s" s="791">
        <f>VLOOKUP(E30,'BDD'!$A$2:$N$567,MATCH(G$24,'BDD'!$A$1:$P$1,0),FALSE)</f>
        <v>773</v>
      </c>
      <c r="H30" t="s" s="799">
        <f>IF(VLOOKUP($E30,'BDD'!$A$2:$N$567,MATCH($H$23,'BDD'!$A$1:$P$1,0),FALSE)=H$24,H$24,"")</f>
      </c>
      <c r="I30" t="s" s="792">
        <f>IF(VLOOKUP($E30,'BDD'!$A$2:$N$567,MATCH($H$23,'BDD'!$A$1:$P$1,0),FALSE)=I$24,I$24,"")</f>
      </c>
      <c r="J30" t="s" s="792">
        <f>IF(VLOOKUP($E30,'BDD'!$A$2:$N$567,MATCH($H$23,'BDD'!$A$1:$P$1,0),FALSE)=J$24,J$24,"")</f>
      </c>
      <c r="K30" t="s" s="792">
        <f>IF(VLOOKUP($E30,'BDD'!$A$2:$N$567,MATCH($H$23,'BDD'!$A$1:$P$1,0),FALSE)=K$24,K$24,"")</f>
        <v>1968</v>
      </c>
      <c r="L30" t="s" s="783">
        <f>IF(VLOOKUP($E30,'BDD'!$A$2:$N$567,MATCH($H$23,'BDD'!$A$1:$P$1,0),FALSE)=L$24,L$24,"")</f>
      </c>
      <c r="M30" s="794">
        <f>IF(N30="Exigences partiellement respectées",1,IF(N30="Exigences respectées",2,0))</f>
        <v>0</v>
      </c>
      <c r="N30" t="s" s="791">
        <f>VLOOKUP(VLOOKUP(E30,'BDD'!$A$2:$P$428,15,FALSE),'Suppl'!$D$64:$E$68,2,FALSE)</f>
        <v>1751</v>
      </c>
      <c r="O30" s="795"/>
      <c r="P30" s="796"/>
      <c r="Q30" s="796"/>
      <c r="R30" s="796"/>
      <c r="S30" s="797">
        <f>IF(N30='Suppl'!$E$65,0,IF(N30='Suppl'!$E$66,1/2/(_xlfn.COUNTIFS($D1:$D100,D30,$N1:$N100,"Exigences"&amp;"*",G1:G100,"&lt;&gt;0")+_xlfn.COUNTIFS($D1:$D100,D30,$N1:$N100,"Non"&amp;"*",G1:G100,"&lt;&gt;0")),IF(N30='Suppl'!$E$67,1/(_xlfn.COUNTIFS($D1:$D100,D30,$N1:$N100,"Exigences"&amp;"*",G1:G100,"&lt;&gt;0")+_xlfn.COUNTIFS($D1:$D100,D30,$N1:$N100,"Non"&amp;"*",G1:G100,"&lt;&gt;0")),0)))</f>
        <v>0</v>
      </c>
      <c r="T30" s="797"/>
      <c r="U30" s="797"/>
      <c r="V30" s="798"/>
      <c r="W30" s="789">
        <f>_xlfn.IFERROR(IF(N30='Suppl'!$E$65,0,IF(N30='Suppl'!$E$66,1/2/(_xlfn.COUNTIFS($N1:$N100,"Exigences"&amp;"*")+_xlfn.COUNTIFS($N1:$N100,"Non"&amp;"*")),IF(N30='Suppl'!$E$67,1/(_xlfn.COUNTIFS($N1:$N100,"Exigences"&amp;"*")+_xlfn.COUNTIFS($N1:$N100,"Non"&amp;"*")),0))),0)</f>
        <v>0</v>
      </c>
      <c r="X30" t="s" s="744">
        <v>171</v>
      </c>
      <c r="Y30" s="586"/>
      <c r="Z30" s="586"/>
      <c r="AA30" s="586"/>
      <c r="AB30" s="586"/>
      <c r="AC30" s="586"/>
      <c r="AD30" s="586"/>
      <c r="AE30" s="586"/>
      <c r="AF30" s="586"/>
      <c r="AG30" s="586"/>
      <c r="AH30" s="888"/>
      <c r="AI30" s="585"/>
    </row>
    <row r="31" ht="30" customHeight="1">
      <c r="A31" s="887"/>
      <c r="B31" s="753"/>
      <c r="C31" t="s" s="754">
        <f>IF(LEFT(RIGHT($B$1,2),1)=" ",RIGHT($B$1,1),RIGHT($B$1,2))</f>
        <v>2051</v>
      </c>
      <c r="D31" s="755">
        <f>IF(LEFT(F31,5)="Bonne",D29+1,D30)</f>
        <v>1</v>
      </c>
      <c r="E31" t="s" s="778">
        <f>C31&amp;D31&amp;RIGHT(F31,1)</f>
        <v>2058</v>
      </c>
      <c r="F31" t="s" s="779">
        <v>1778</v>
      </c>
      <c r="G31" t="s" s="780">
        <f>VLOOKUP(E31,'BDD'!$A$2:$N$567,MATCH(G$24,'BDD'!$A$1:$P$1,0),FALSE)</f>
        <v>777</v>
      </c>
      <c r="H31" t="s" s="799">
        <f>IF(VLOOKUP($E31,'BDD'!$A$2:$N$567,MATCH($H$23,'BDD'!$A$1:$P$1,0),FALSE)=H$24,H$24,"")</f>
      </c>
      <c r="I31" t="s" s="792">
        <f>IF(VLOOKUP($E31,'BDD'!$A$2:$N$567,MATCH($H$23,'BDD'!$A$1:$P$1,0),FALSE)=I$24,I$24,"")</f>
      </c>
      <c r="J31" t="s" s="792">
        <f>IF(VLOOKUP($E31,'BDD'!$A$2:$N$567,MATCH($H$23,'BDD'!$A$1:$P$1,0),FALSE)=J$24,J$24,"")</f>
      </c>
      <c r="K31" t="s" s="792">
        <f>IF(VLOOKUP($E31,'BDD'!$A$2:$N$567,MATCH($H$23,'BDD'!$A$1:$P$1,0),FALSE)=K$24,K$24,"")</f>
      </c>
      <c r="L31" t="s" s="783">
        <f>IF(VLOOKUP($E31,'BDD'!$A$2:$N$567,MATCH($H$23,'BDD'!$A$1:$P$1,0),FALSE)=L$24,L$24,"")</f>
        <v>1985</v>
      </c>
      <c r="M31" s="800">
        <f>IF(N31="Exigences partiellement respectées",1,IF(N31="Exigences respectées",2,0))</f>
        <v>0</v>
      </c>
      <c r="N31" t="s" s="780">
        <f>VLOOKUP(VLOOKUP(E31,'BDD'!$A$2:$P$428,15,FALSE),'Suppl'!$D$64:$E$68,2,FALSE)</f>
        <v>1751</v>
      </c>
      <c r="O31" s="801"/>
      <c r="P31" s="802"/>
      <c r="Q31" s="802"/>
      <c r="R31" s="802"/>
      <c r="S31" s="803">
        <f>IF(N31='Suppl'!$E$65,0,IF(N31='Suppl'!$E$66,1/2/(_xlfn.COUNTIFS($D1:$D100,D31,$N1:$N100,"Exigences"&amp;"*",G1:G100,"&lt;&gt;0")+_xlfn.COUNTIFS($D1:$D100,D31,$N1:$N100,"Non"&amp;"*",G1:G100,"&lt;&gt;0")),IF(N31='Suppl'!$E$67,1/(_xlfn.COUNTIFS($D1:$D100,D31,$N1:$N100,"Exigences"&amp;"*",G1:G100,"&lt;&gt;0")+_xlfn.COUNTIFS($D1:$D100,D31,$N1:$N100,"Non"&amp;"*",G1:G100,"&lt;&gt;0")),0)))</f>
        <v>0</v>
      </c>
      <c r="T31" s="803"/>
      <c r="U31" s="803"/>
      <c r="V31" s="804"/>
      <c r="W31" s="789">
        <f>_xlfn.IFERROR(IF(N31='Suppl'!$E$65,0,IF(N31='Suppl'!$E$66,1/2/(_xlfn.COUNTIFS($N1:$N100,"Exigences"&amp;"*")+_xlfn.COUNTIFS($N1:$N100,"Non"&amp;"*")),IF(N31='Suppl'!$E$67,1/(_xlfn.COUNTIFS($N1:$N100,"Exigences"&amp;"*")+_xlfn.COUNTIFS($N1:$N100,"Non"&amp;"*")),0))),0)</f>
        <v>0</v>
      </c>
      <c r="X31" s="586"/>
      <c r="Y31" s="586"/>
      <c r="Z31" s="586"/>
      <c r="AA31" s="586"/>
      <c r="AB31" s="586"/>
      <c r="AC31" s="586"/>
      <c r="AD31" s="586"/>
      <c r="AE31" s="586"/>
      <c r="AF31" s="586"/>
      <c r="AG31" s="586"/>
      <c r="AH31" s="888"/>
      <c r="AI31" s="585"/>
    </row>
    <row r="32" ht="30" customHeight="1">
      <c r="A32" s="887"/>
      <c r="B32" s="753"/>
      <c r="C32" t="s" s="754">
        <f>IF(LEFT(RIGHT($B$1,2),1)=" ",RIGHT($B$1,1),RIGHT($B$1,2))</f>
        <v>2051</v>
      </c>
      <c r="D32" s="755">
        <f>IF(LEFT(F32,5)="Bonne",D30+1,D31)</f>
        <v>2</v>
      </c>
      <c r="E32" t="s" s="778">
        <f>C32&amp;D32&amp;RIGHT(F32,1)</f>
        <v>2062</v>
      </c>
      <c r="F32" t="s" s="757">
        <v>1785</v>
      </c>
      <c r="G32" t="s" s="758">
        <f>VLOOKUP(E34,'BDD'!$A$2:$N$567,6,FALSE)</f>
        <v>783</v>
      </c>
      <c r="H32" t="s" s="805">
        <f>VLOOKUP(E34,'BDD'!$A$2:$N$567,6,FALSE)</f>
        <v>783</v>
      </c>
      <c r="I32" s="760"/>
      <c r="J32" s="760"/>
      <c r="K32" s="760"/>
      <c r="L32" s="761"/>
      <c r="M32" s="762"/>
      <c r="N32" s="763"/>
      <c r="O32" s="764">
        <v>0</v>
      </c>
      <c r="P32" s="764"/>
      <c r="Q32" s="764"/>
      <c r="R32" s="764"/>
      <c r="S32" s="765">
        <f>_xlfn.SUMIFS(S1:S100,$D1:$D100,D32,$N1:$N100,"Exigences"&amp;"*")</f>
      </c>
      <c r="T32" s="765"/>
      <c r="U32" s="765"/>
      <c r="V32" s="766"/>
      <c r="W32" s="789">
        <f>_xlfn.IFERROR(IF(N32='Suppl'!$E$65,0,IF(N32='Suppl'!$E$66,1/2/(_xlfn.COUNTIFS($N1:$N100,"Exigences"&amp;"*")+_xlfn.COUNTIFS($N1:$N100,"Non"&amp;"*")),IF(N32='Suppl'!$E$67,1/(_xlfn.COUNTIFS($N1:$N100,"Exigences"&amp;"*")+_xlfn.COUNTIFS($N1:$N100,"Non"&amp;"*")),0))),0)</f>
        <v>0</v>
      </c>
      <c r="X32" s="586"/>
      <c r="Y32" s="586"/>
      <c r="Z32" s="586"/>
      <c r="AA32" s="586"/>
      <c r="AB32" s="586"/>
      <c r="AC32" s="586"/>
      <c r="AD32" s="586"/>
      <c r="AE32" s="586"/>
      <c r="AF32" s="586"/>
      <c r="AG32" s="586"/>
      <c r="AH32" s="888"/>
      <c r="AI32" s="585"/>
    </row>
    <row r="33" ht="30" customHeight="1">
      <c r="A33" s="887"/>
      <c r="B33" s="753"/>
      <c r="C33" t="s" s="754">
        <f>IF(LEFT(RIGHT($B$1,2),1)=" ",RIGHT($B$1,1),RIGHT($B$1,2))</f>
        <v>2051</v>
      </c>
      <c r="D33" s="755">
        <f>IF(LEFT(F33,5)="Bonne",D31+1,D32)</f>
        <v>2</v>
      </c>
      <c r="E33" t="s" s="778">
        <f>C33&amp;D33&amp;RIGHT(F33,1)</f>
        <v>2064</v>
      </c>
      <c r="F33" t="s" s="769">
        <v>1835</v>
      </c>
      <c r="G33" t="s" s="770">
        <f>VLOOKUP(E35,'BDD'!$A$2:$N$567,7,FALSE)</f>
        <v>2088</v>
      </c>
      <c r="H33" s="771"/>
      <c r="I33" s="771"/>
      <c r="J33" s="771"/>
      <c r="K33" s="771"/>
      <c r="L33" s="772"/>
      <c r="M33" s="773"/>
      <c r="N33" s="774"/>
      <c r="O33" s="775"/>
      <c r="P33" s="775"/>
      <c r="Q33" s="775"/>
      <c r="R33" s="775"/>
      <c r="S33" s="776"/>
      <c r="T33" s="776"/>
      <c r="U33" s="776"/>
      <c r="V33" s="777"/>
      <c r="W33" s="789">
        <f>_xlfn.IFERROR(IF(N33='Suppl'!$E$65,0,IF(N33='Suppl'!$E$66,1/2/(_xlfn.COUNTIFS($N1:$N100,"Exigences"&amp;"*")+_xlfn.COUNTIFS($N1:$N100,"Non"&amp;"*")),IF(N33='Suppl'!$E$67,1/(_xlfn.COUNTIFS($N1:$N100,"Exigences"&amp;"*")+_xlfn.COUNTIFS($N1:$N100,"Non"&amp;"*")),0))),0)</f>
        <v>0</v>
      </c>
      <c r="X33" s="586"/>
      <c r="Y33" s="586"/>
      <c r="Z33" s="586"/>
      <c r="AA33" s="586"/>
      <c r="AB33" s="586"/>
      <c r="AC33" s="586"/>
      <c r="AD33" s="586"/>
      <c r="AE33" s="586"/>
      <c r="AF33" s="586"/>
      <c r="AG33" s="586"/>
      <c r="AH33" s="888"/>
      <c r="AI33" s="585"/>
    </row>
    <row r="34" ht="41.4" customHeight="1">
      <c r="A34" s="887"/>
      <c r="B34" s="753"/>
      <c r="C34" t="s" s="754">
        <f>IF(LEFT(RIGHT($B$1,2),1)=" ",RIGHT($B$1,1),RIGHT($B$1,2))</f>
        <v>2051</v>
      </c>
      <c r="D34" s="755">
        <f>IF(LEFT(F34,5)="Bonne",D32+1,D33)</f>
        <v>2</v>
      </c>
      <c r="E34" t="s" s="778">
        <f>C34&amp;D34&amp;RIGHT(F34,1)</f>
        <v>2064</v>
      </c>
      <c r="F34" t="s" s="779">
        <v>1769</v>
      </c>
      <c r="G34" t="s" s="780">
        <f>VLOOKUP(E34,'BDD'!$A$2:$N$567,MATCH(G$24,'BDD'!$A$1:$P$1,0),FALSE)</f>
        <v>785</v>
      </c>
      <c r="H34" t="s" s="799">
        <f>IF(VLOOKUP($E34,'BDD'!$A$2:$N$567,MATCH($H$23,'BDD'!$A$1:$P$1,0),FALSE)=H$24,H$24,"")</f>
        <v>1966</v>
      </c>
      <c r="I34" t="s" s="792">
        <f>IF(VLOOKUP($E34,'BDD'!$A$2:$N$567,MATCH($H$23,'BDD'!$A$1:$P$1,0),FALSE)=I$24,I$24,"")</f>
      </c>
      <c r="J34" t="s" s="792">
        <f>IF(VLOOKUP($E34,'BDD'!$A$2:$N$567,MATCH($H$23,'BDD'!$A$1:$P$1,0),FALSE)=J$24,J$24,"")</f>
      </c>
      <c r="K34" t="s" s="792">
        <f>IF(VLOOKUP($E34,'BDD'!$A$2:$N$567,MATCH($H$23,'BDD'!$A$1:$P$1,0),FALSE)=K$24,K$24,"")</f>
      </c>
      <c r="L34" t="s" s="783">
        <f>IF(VLOOKUP($E34,'BDD'!$A$2:$N$567,MATCH($H$23,'BDD'!$A$1:$P$1,0),FALSE)=L$24,L$24,"")</f>
      </c>
      <c r="M34" s="784">
        <f>IF(N34="Exigences partiellement respectées",1,IF(N34="Exigences respectées",2,0))</f>
        <v>0</v>
      </c>
      <c r="N34" t="s" s="780">
        <f>VLOOKUP(VLOOKUP(E34,'BDD'!$A$2:$P$428,15,FALSE),'Suppl'!$D$64:$E$68,2,FALSE)</f>
        <v>1751</v>
      </c>
      <c r="O34" s="785"/>
      <c r="P34" s="786"/>
      <c r="Q34" s="786"/>
      <c r="R34" s="786"/>
      <c r="S34" s="787">
        <f>IF(N34='Suppl'!$E$65,0,IF(N34='Suppl'!$E$66,1/2/(_xlfn.COUNTIFS($D1:$D100,D34,$N1:$N100,"Exigences"&amp;"*",G1:G100,"&lt;&gt;0")+_xlfn.COUNTIFS($D1:$D100,D34,$N1:$N100,"Non"&amp;"*",G1:G100,"&lt;&gt;0")),IF(N34='Suppl'!$E$67,1/(_xlfn.COUNTIFS($D1:$D100,D34,$N1:$N100,"Exigences"&amp;"*",G1:G100,"&lt;&gt;0")+_xlfn.COUNTIFS($D1:$D100,D34,$N1:$N100,"Non"&amp;"*",G1:G100,"&lt;&gt;0")),0)))</f>
        <v>0</v>
      </c>
      <c r="T34" s="787"/>
      <c r="U34" s="787"/>
      <c r="V34" s="788"/>
      <c r="W34" s="789">
        <f>_xlfn.IFERROR(IF(N34='Suppl'!$E$65,0,IF(N34='Suppl'!$E$66,1/2/(_xlfn.COUNTIFS($N1:$N100,"Exigences"&amp;"*")+_xlfn.COUNTIFS($N1:$N100,"Non"&amp;"*")),IF(N34='Suppl'!$E$67,1/(_xlfn.COUNTIFS($N1:$N100,"Exigences"&amp;"*")+_xlfn.COUNTIFS($N1:$N100,"Non"&amp;"*")),0))),0)</f>
        <v>0</v>
      </c>
      <c r="X34" s="586"/>
      <c r="Y34" s="586"/>
      <c r="Z34" s="586"/>
      <c r="AA34" s="586"/>
      <c r="AB34" s="586"/>
      <c r="AC34" s="586"/>
      <c r="AD34" s="586"/>
      <c r="AE34" s="586"/>
      <c r="AF34" s="586"/>
      <c r="AG34" s="586"/>
      <c r="AH34" s="888"/>
      <c r="AI34" s="585"/>
    </row>
    <row r="35" ht="55.2" customHeight="1">
      <c r="A35" s="887"/>
      <c r="B35" s="753"/>
      <c r="C35" t="s" s="754">
        <f>IF(LEFT(RIGHT($B$1,2),1)=" ",RIGHT($B$1,1),RIGHT($B$1,2))</f>
        <v>2051</v>
      </c>
      <c r="D35" s="755">
        <f>IF(LEFT(F35,5)="Bonne",D33+1,D34)</f>
        <v>2</v>
      </c>
      <c r="E35" t="s" s="778">
        <f>C35&amp;D35&amp;RIGHT(F35,1)</f>
        <v>2062</v>
      </c>
      <c r="F35" t="s" s="790">
        <v>1837</v>
      </c>
      <c r="G35" t="s" s="791">
        <f>VLOOKUP(E35,'BDD'!$A$2:$N$567,MATCH(G$24,'BDD'!$A$1:$P$1,0),FALSE)</f>
        <v>788</v>
      </c>
      <c r="H35" t="s" s="799">
        <f>IF(VLOOKUP($E35,'BDD'!$A$2:$N$567,MATCH($H$23,'BDD'!$A$1:$P$1,0),FALSE)=H$24,H$24,"")</f>
      </c>
      <c r="I35" t="s" s="792">
        <f>IF(VLOOKUP($E35,'BDD'!$A$2:$N$567,MATCH($H$23,'BDD'!$A$1:$P$1,0),FALSE)=I$24,I$24,"")</f>
        <v>1969</v>
      </c>
      <c r="J35" t="s" s="792">
        <f>IF(VLOOKUP($E35,'BDD'!$A$2:$N$567,MATCH($H$23,'BDD'!$A$1:$P$1,0),FALSE)=J$24,J$24,"")</f>
      </c>
      <c r="K35" t="s" s="792">
        <f>IF(VLOOKUP($E35,'BDD'!$A$2:$N$567,MATCH($H$23,'BDD'!$A$1:$P$1,0),FALSE)=K$24,K$24,"")</f>
      </c>
      <c r="L35" t="s" s="783">
        <f>IF(VLOOKUP($E35,'BDD'!$A$2:$N$567,MATCH($H$23,'BDD'!$A$1:$P$1,0),FALSE)=L$24,L$24,"")</f>
      </c>
      <c r="M35" s="794">
        <f>IF(N35="Exigences partiellement respectées",1,IF(N35="Exigences respectées",2,0))</f>
        <v>0</v>
      </c>
      <c r="N35" t="s" s="791">
        <f>VLOOKUP(VLOOKUP(E35,'BDD'!$A$2:$P$428,15,FALSE),'Suppl'!$D$64:$E$68,2,FALSE)</f>
        <v>1751</v>
      </c>
      <c r="O35" s="795"/>
      <c r="P35" s="796"/>
      <c r="Q35" s="796"/>
      <c r="R35" s="796"/>
      <c r="S35" s="797">
        <f>IF(N35='Suppl'!$E$65,0,IF(N35='Suppl'!$E$66,1/2/(_xlfn.COUNTIFS($D1:$D100,D35,$N1:$N100,"Exigences"&amp;"*",G1:G100,"&lt;&gt;0")+_xlfn.COUNTIFS($D1:$D100,D35,$N1:$N100,"Non"&amp;"*",G1:G100,"&lt;&gt;0")),IF(N35='Suppl'!$E$67,1/(_xlfn.COUNTIFS($D1:$D100,D35,$N1:$N100,"Exigences"&amp;"*",G1:G100,"&lt;&gt;0")+_xlfn.COUNTIFS($D1:$D100,D35,$N1:$N100,"Non"&amp;"*",G1:G100,"&lt;&gt;0")),0)))</f>
        <v>0</v>
      </c>
      <c r="T35" s="797"/>
      <c r="U35" s="797"/>
      <c r="V35" s="798"/>
      <c r="W35" s="789">
        <f>_xlfn.IFERROR(IF(N35='Suppl'!$E$65,0,IF(N35='Suppl'!$E$66,1/2/(_xlfn.COUNTIFS($N1:$N100,"Exigences"&amp;"*")+_xlfn.COUNTIFS($N1:$N100,"Non"&amp;"*")),IF(N35='Suppl'!$E$67,1/(_xlfn.COUNTIFS($N1:$N100,"Exigences"&amp;"*")+_xlfn.COUNTIFS($N1:$N100,"Non"&amp;"*")),0))),0)</f>
        <v>0</v>
      </c>
      <c r="X35" s="586"/>
      <c r="Y35" s="586"/>
      <c r="Z35" s="586"/>
      <c r="AA35" s="586"/>
      <c r="AB35" s="586"/>
      <c r="AC35" s="586"/>
      <c r="AD35" s="586"/>
      <c r="AE35" s="586"/>
      <c r="AF35" s="586"/>
      <c r="AG35" s="586"/>
      <c r="AH35" s="888"/>
      <c r="AI35" s="585"/>
    </row>
    <row r="36" ht="30" customHeight="1">
      <c r="A36" s="887"/>
      <c r="B36" s="753"/>
      <c r="C36" t="s" s="754">
        <f>IF(LEFT(RIGHT($B$1,2),1)=" ",RIGHT($B$1,1),RIGHT($B$1,2))</f>
        <v>2051</v>
      </c>
      <c r="D36" s="755">
        <f>IF(LEFT(F36,5)="Bonne",D34+1,D35)</f>
        <v>2</v>
      </c>
      <c r="E36" t="s" s="778">
        <f>C36&amp;D36&amp;RIGHT(F36,1)</f>
        <v>2065</v>
      </c>
      <c r="F36" t="s" s="779">
        <v>1774</v>
      </c>
      <c r="G36" t="s" s="780">
        <f>VLOOKUP(E36,'BDD'!$A$2:$N$567,MATCH(G$24,'BDD'!$A$1:$P$1,0),FALSE)</f>
        <v>791</v>
      </c>
      <c r="H36" t="s" s="799">
        <f>IF(VLOOKUP($E36,'BDD'!$A$2:$N$567,MATCH($H$23,'BDD'!$A$1:$P$1,0),FALSE)=H$24,H$24,"")</f>
      </c>
      <c r="I36" t="s" s="792">
        <f>IF(VLOOKUP($E36,'BDD'!$A$2:$N$567,MATCH($H$23,'BDD'!$A$1:$P$1,0),FALSE)=I$24,I$24,"")</f>
      </c>
      <c r="J36" t="s" s="792">
        <f>IF(VLOOKUP($E36,'BDD'!$A$2:$N$567,MATCH($H$23,'BDD'!$A$1:$P$1,0),FALSE)=J$24,J$24,"")</f>
        <v>1967</v>
      </c>
      <c r="K36" t="s" s="792">
        <f>IF(VLOOKUP($E36,'BDD'!$A$2:$N$567,MATCH($H$23,'BDD'!$A$1:$P$1,0),FALSE)=K$24,K$24,"")</f>
      </c>
      <c r="L36" t="s" s="783">
        <f>IF(VLOOKUP($E36,'BDD'!$A$2:$N$567,MATCH($H$23,'BDD'!$A$1:$P$1,0),FALSE)=L$24,L$24,"")</f>
      </c>
      <c r="M36" s="794">
        <f>IF(N36="Exigences partiellement respectées",1,IF(N36="Exigences respectées",2,0))</f>
        <v>0</v>
      </c>
      <c r="N36" t="s" s="780">
        <f>VLOOKUP(VLOOKUP(E36,'BDD'!$A$2:$P$428,15,FALSE),'Suppl'!$D$64:$E$68,2,FALSE)</f>
        <v>1751</v>
      </c>
      <c r="O36" s="795"/>
      <c r="P36" s="796"/>
      <c r="Q36" s="796"/>
      <c r="R36" s="796"/>
      <c r="S36" s="797">
        <f>IF(N36='Suppl'!$E$65,0,IF(N36='Suppl'!$E$66,1/2/(_xlfn.COUNTIFS($D1:$D100,D36,$N1:$N100,"Exigences"&amp;"*",G1:G100,"&lt;&gt;0")+_xlfn.COUNTIFS($D1:$D100,D36,$N1:$N100,"Non"&amp;"*",G1:G100,"&lt;&gt;0")),IF(N36='Suppl'!$E$67,1/(_xlfn.COUNTIFS($D1:$D100,D36,$N1:$N100,"Exigences"&amp;"*",G1:G100,"&lt;&gt;0")+_xlfn.COUNTIFS($D1:$D100,D36,$N1:$N100,"Non"&amp;"*",G1:G100,"&lt;&gt;0")),0)))</f>
        <v>0</v>
      </c>
      <c r="T36" s="797"/>
      <c r="U36" s="797"/>
      <c r="V36" s="798"/>
      <c r="W36" s="789">
        <f>_xlfn.IFERROR(IF(N36='Suppl'!$E$65,0,IF(N36='Suppl'!$E$66,1/2/(_xlfn.COUNTIFS($N1:$N100,"Exigences"&amp;"*")+_xlfn.COUNTIFS($N1:$N100,"Non"&amp;"*")),IF(N36='Suppl'!$E$67,1/(_xlfn.COUNTIFS($N1:$N100,"Exigences"&amp;"*")+_xlfn.COUNTIFS($N1:$N100,"Non"&amp;"*")),0))),0)</f>
        <v>0</v>
      </c>
      <c r="X36" s="586"/>
      <c r="Y36" s="586"/>
      <c r="Z36" s="586"/>
      <c r="AA36" s="586"/>
      <c r="AB36" s="586"/>
      <c r="AC36" s="586"/>
      <c r="AD36" s="586"/>
      <c r="AE36" s="586"/>
      <c r="AF36" s="586"/>
      <c r="AG36" s="586"/>
      <c r="AH36" s="888"/>
      <c r="AI36" s="585"/>
    </row>
    <row r="37" ht="30" customHeight="1">
      <c r="A37" s="887"/>
      <c r="B37" s="753"/>
      <c r="C37" t="s" s="754">
        <f>IF(LEFT(RIGHT($B$1,2),1)=" ",RIGHT($B$1,1),RIGHT($B$1,2))</f>
        <v>2051</v>
      </c>
      <c r="D37" s="755">
        <f>IF(LEFT(F37,5)="Bonne",D35+1,D36)</f>
        <v>2</v>
      </c>
      <c r="E37" t="s" s="778">
        <f>C37&amp;D37&amp;RIGHT(F37,1)</f>
        <v>2066</v>
      </c>
      <c r="F37" t="s" s="790">
        <v>1776</v>
      </c>
      <c r="G37" t="s" s="791">
        <f>VLOOKUP(E37,'BDD'!$A$2:$N$567,MATCH(G$24,'BDD'!$A$1:$P$1,0),FALSE)</f>
        <v>794</v>
      </c>
      <c r="H37" t="s" s="799">
        <f>IF(VLOOKUP($E37,'BDD'!$A$2:$N$567,MATCH($H$23,'BDD'!$A$1:$P$1,0),FALSE)=H$24,H$24,"")</f>
      </c>
      <c r="I37" t="s" s="792">
        <f>IF(VLOOKUP($E37,'BDD'!$A$2:$N$567,MATCH($H$23,'BDD'!$A$1:$P$1,0),FALSE)=I$24,I$24,"")</f>
      </c>
      <c r="J37" t="s" s="792">
        <f>IF(VLOOKUP($E37,'BDD'!$A$2:$N$567,MATCH($H$23,'BDD'!$A$1:$P$1,0),FALSE)=J$24,J$24,"")</f>
        <v>1967</v>
      </c>
      <c r="K37" t="s" s="792">
        <f>IF(VLOOKUP($E37,'BDD'!$A$2:$N$567,MATCH($H$23,'BDD'!$A$1:$P$1,0),FALSE)=K$24,K$24,"")</f>
      </c>
      <c r="L37" t="s" s="783">
        <f>IF(VLOOKUP($E37,'BDD'!$A$2:$N$567,MATCH($H$23,'BDD'!$A$1:$P$1,0),FALSE)=L$24,L$24,"")</f>
      </c>
      <c r="M37" s="794">
        <f>IF(N37="Exigences partiellement respectées",1,IF(N37="Exigences respectées",2,0))</f>
        <v>0</v>
      </c>
      <c r="N37" t="s" s="791">
        <f>VLOOKUP(VLOOKUP(E37,'BDD'!$A$2:$P$428,15,FALSE),'Suppl'!$D$64:$E$68,2,FALSE)</f>
        <v>1751</v>
      </c>
      <c r="O37" s="795"/>
      <c r="P37" s="796"/>
      <c r="Q37" s="796"/>
      <c r="R37" s="796"/>
      <c r="S37" s="797">
        <f>IF(N37='Suppl'!$E$65,0,IF(N37='Suppl'!$E$66,1/2/(_xlfn.COUNTIFS($D1:$D100,D37,$N1:$N100,"Exigences"&amp;"*",G1:G100,"&lt;&gt;0")+_xlfn.COUNTIFS($D1:$D100,D37,$N1:$N100,"Non"&amp;"*",G1:G100,"&lt;&gt;0")),IF(N37='Suppl'!$E$67,1/(_xlfn.COUNTIFS($D1:$D100,D37,$N1:$N100,"Exigences"&amp;"*",G1:G100,"&lt;&gt;0")+_xlfn.COUNTIFS($D1:$D100,D37,$N1:$N100,"Non"&amp;"*",G1:G100,"&lt;&gt;0")),0)))</f>
        <v>0</v>
      </c>
      <c r="T37" s="797"/>
      <c r="U37" s="797"/>
      <c r="V37" s="798"/>
      <c r="W37" s="789">
        <f>_xlfn.IFERROR(IF(N37='Suppl'!$E$65,0,IF(N37='Suppl'!$E$66,1/2/(_xlfn.COUNTIFS($N1:$N100,"Exigences"&amp;"*")+_xlfn.COUNTIFS($N1:$N100,"Non"&amp;"*")),IF(N37='Suppl'!$E$67,1/(_xlfn.COUNTIFS($N1:$N100,"Exigences"&amp;"*")+_xlfn.COUNTIFS($N1:$N100,"Non"&amp;"*")),0))),0)</f>
        <v>0</v>
      </c>
      <c r="X37" s="586"/>
      <c r="Y37" s="586"/>
      <c r="Z37" s="586"/>
      <c r="AA37" s="586"/>
      <c r="AB37" s="586"/>
      <c r="AC37" s="586"/>
      <c r="AD37" s="586"/>
      <c r="AE37" s="586"/>
      <c r="AF37" s="586"/>
      <c r="AG37" s="586"/>
      <c r="AH37" s="888"/>
      <c r="AI37" s="585"/>
    </row>
    <row r="38" ht="41.4" customHeight="1">
      <c r="A38" s="887"/>
      <c r="B38" s="753"/>
      <c r="C38" t="s" s="754">
        <f>IF(LEFT(RIGHT($B$1,2),1)=" ",RIGHT($B$1,1),RIGHT($B$1,2))</f>
        <v>2051</v>
      </c>
      <c r="D38" s="755">
        <f>IF(LEFT(F38,5)="Bonne",D36+1,D37)</f>
        <v>2</v>
      </c>
      <c r="E38" t="s" s="778">
        <f>C38&amp;D38&amp;RIGHT(F38,1)</f>
        <v>2067</v>
      </c>
      <c r="F38" t="s" s="779">
        <v>1778</v>
      </c>
      <c r="G38" t="s" s="780">
        <f>VLOOKUP(E38,'BDD'!$A$2:$N$567,MATCH(G$24,'BDD'!$A$1:$P$1,0),FALSE)</f>
        <v>797</v>
      </c>
      <c r="H38" t="s" s="799">
        <f>IF(VLOOKUP($E38,'BDD'!$A$2:$N$567,MATCH($H$23,'BDD'!$A$1:$P$1,0),FALSE)=H$24,H$24,"")</f>
      </c>
      <c r="I38" t="s" s="792">
        <f>IF(VLOOKUP($E38,'BDD'!$A$2:$N$567,MATCH($H$23,'BDD'!$A$1:$P$1,0),FALSE)=I$24,I$24,"")</f>
        <v>1969</v>
      </c>
      <c r="J38" t="s" s="792">
        <f>IF(VLOOKUP($E38,'BDD'!$A$2:$N$567,MATCH($H$23,'BDD'!$A$1:$P$1,0),FALSE)=J$24,J$24,"")</f>
      </c>
      <c r="K38" t="s" s="792">
        <f>IF(VLOOKUP($E38,'BDD'!$A$2:$N$567,MATCH($H$23,'BDD'!$A$1:$P$1,0),FALSE)=K$24,K$24,"")</f>
      </c>
      <c r="L38" t="s" s="783">
        <f>IF(VLOOKUP($E38,'BDD'!$A$2:$N$567,MATCH($H$23,'BDD'!$A$1:$P$1,0),FALSE)=L$24,L$24,"")</f>
      </c>
      <c r="M38" s="794">
        <f>IF(N38="Exigences partiellement respectées",1,IF(N38="Exigences respectées",2,0))</f>
        <v>0</v>
      </c>
      <c r="N38" t="s" s="780">
        <f>VLOOKUP(VLOOKUP(E38,'BDD'!$A$2:$P$428,15,FALSE),'Suppl'!$D$64:$E$68,2,FALSE)</f>
        <v>1751</v>
      </c>
      <c r="O38" s="795"/>
      <c r="P38" s="796"/>
      <c r="Q38" s="796"/>
      <c r="R38" s="796"/>
      <c r="S38" s="797">
        <f>IF(N38='Suppl'!$E$65,0,IF(N38='Suppl'!$E$66,1/2/(_xlfn.COUNTIFS($D1:$D100,D38,$N1:$N100,"Exigences"&amp;"*",G1:G100,"&lt;&gt;0")+_xlfn.COUNTIFS($D1:$D100,D38,$N1:$N100,"Non"&amp;"*",G1:G100,"&lt;&gt;0")),IF(N38='Suppl'!$E$67,1/(_xlfn.COUNTIFS($D1:$D100,D38,$N1:$N100,"Exigences"&amp;"*",G1:G100,"&lt;&gt;0")+_xlfn.COUNTIFS($D1:$D100,D38,$N1:$N100,"Non"&amp;"*",G1:G100,"&lt;&gt;0")),0)))</f>
        <v>0</v>
      </c>
      <c r="T38" s="797"/>
      <c r="U38" s="797"/>
      <c r="V38" s="798"/>
      <c r="W38" s="789">
        <f>_xlfn.IFERROR(IF(N38='Suppl'!$E$65,0,IF(N38='Suppl'!$E$66,1/2/(_xlfn.COUNTIFS($N1:$N100,"Exigences"&amp;"*")+_xlfn.COUNTIFS($N1:$N100,"Non"&amp;"*")),IF(N38='Suppl'!$E$67,1/(_xlfn.COUNTIFS($N1:$N100,"Exigences"&amp;"*")+_xlfn.COUNTIFS($N1:$N100,"Non"&amp;"*")),0))),0)</f>
        <v>0</v>
      </c>
      <c r="X38" s="586"/>
      <c r="Y38" s="586"/>
      <c r="Z38" s="586"/>
      <c r="AA38" s="586"/>
      <c r="AB38" s="586"/>
      <c r="AC38" s="586"/>
      <c r="AD38" s="586"/>
      <c r="AE38" s="586"/>
      <c r="AF38" s="586"/>
      <c r="AG38" s="586"/>
      <c r="AH38" s="888"/>
      <c r="AI38" s="585"/>
    </row>
    <row r="39" ht="30" customHeight="1">
      <c r="A39" s="887"/>
      <c r="B39" s="753"/>
      <c r="C39" t="s" s="754">
        <f>IF(LEFT(RIGHT($B$1,2),1)=" ",RIGHT($B$1,1),RIGHT($B$1,2))</f>
        <v>2051</v>
      </c>
      <c r="D39" s="755">
        <f>IF(LEFT(F39,5)="Bonne",D37+1,D38)</f>
        <v>2</v>
      </c>
      <c r="E39" t="s" s="778">
        <f>C39&amp;D39&amp;RIGHT(F39,1)</f>
        <v>2068</v>
      </c>
      <c r="F39" t="s" s="790">
        <v>1780</v>
      </c>
      <c r="G39" t="s" s="791">
        <f>VLOOKUP(E39,'BDD'!$A$2:$N$567,MATCH(G$24,'BDD'!$A$1:$P$1,0),FALSE)</f>
        <v>800</v>
      </c>
      <c r="H39" t="s" s="799">
        <f>IF(VLOOKUP($E39,'BDD'!$A$2:$N$567,MATCH($H$23,'BDD'!$A$1:$P$1,0),FALSE)=H$24,H$24,"")</f>
      </c>
      <c r="I39" t="s" s="792">
        <f>IF(VLOOKUP($E39,'BDD'!$A$2:$N$567,MATCH($H$23,'BDD'!$A$1:$P$1,0),FALSE)=I$24,I$24,"")</f>
      </c>
      <c r="J39" t="s" s="792">
        <f>IF(VLOOKUP($E39,'BDD'!$A$2:$N$567,MATCH($H$23,'BDD'!$A$1:$P$1,0),FALSE)=J$24,J$24,"")</f>
      </c>
      <c r="K39" t="s" s="792">
        <f>IF(VLOOKUP($E39,'BDD'!$A$2:$N$567,MATCH($H$23,'BDD'!$A$1:$P$1,0),FALSE)=K$24,K$24,"")</f>
        <v>1968</v>
      </c>
      <c r="L39" t="s" s="783">
        <f>IF(VLOOKUP($E39,'BDD'!$A$2:$N$567,MATCH($H$23,'BDD'!$A$1:$P$1,0),FALSE)=L$24,L$24,"")</f>
      </c>
      <c r="M39" s="794">
        <f>IF(N39="Exigences partiellement respectées",1,IF(N39="Exigences respectées",2,0))</f>
        <v>0</v>
      </c>
      <c r="N39" t="s" s="791">
        <f>VLOOKUP(VLOOKUP(E39,'BDD'!$A$2:$P$428,15,FALSE),'Suppl'!$D$64:$E$68,2,FALSE)</f>
        <v>1751</v>
      </c>
      <c r="O39" s="795"/>
      <c r="P39" s="796"/>
      <c r="Q39" s="796"/>
      <c r="R39" s="796"/>
      <c r="S39" s="797">
        <f>IF(N39='Suppl'!$E$65,0,IF(N39='Suppl'!$E$66,1/2/(_xlfn.COUNTIFS($D1:$D100,D39,$N1:$N100,"Exigences"&amp;"*",G1:G100,"&lt;&gt;0")+_xlfn.COUNTIFS($D1:$D100,D39,$N1:$N100,"Non"&amp;"*",G1:G100,"&lt;&gt;0")),IF(N39='Suppl'!$E$67,1/(_xlfn.COUNTIFS($D1:$D100,D39,$N1:$N100,"Exigences"&amp;"*",G1:G100,"&lt;&gt;0")+_xlfn.COUNTIFS($D1:$D100,D39,$N1:$N100,"Non"&amp;"*",G1:G100,"&lt;&gt;0")),0)))</f>
        <v>0</v>
      </c>
      <c r="T39" s="797"/>
      <c r="U39" s="797"/>
      <c r="V39" s="798"/>
      <c r="W39" s="789">
        <f>_xlfn.IFERROR(IF(N39='Suppl'!$E$65,0,IF(N39='Suppl'!$E$66,1/2/(_xlfn.COUNTIFS($N1:$N100,"Exigences"&amp;"*")+_xlfn.COUNTIFS($N1:$N100,"Non"&amp;"*")),IF(N39='Suppl'!$E$67,1/(_xlfn.COUNTIFS($N1:$N100,"Exigences"&amp;"*")+_xlfn.COUNTIFS($N1:$N100,"Non"&amp;"*")),0))),0)</f>
        <v>0</v>
      </c>
      <c r="X39" s="586"/>
      <c r="Y39" s="586"/>
      <c r="Z39" s="586"/>
      <c r="AA39" s="586"/>
      <c r="AB39" s="586"/>
      <c r="AC39" s="586"/>
      <c r="AD39" s="586"/>
      <c r="AE39" s="586"/>
      <c r="AF39" s="586"/>
      <c r="AG39" s="586"/>
      <c r="AH39" s="888"/>
      <c r="AI39" s="585"/>
    </row>
    <row r="40" ht="30" customHeight="1">
      <c r="A40" s="887"/>
      <c r="B40" s="753"/>
      <c r="C40" t="s" s="754">
        <f>IF(LEFT(RIGHT($B$1,2),1)=" ",RIGHT($B$1,1),RIGHT($B$1,2))</f>
        <v>2051</v>
      </c>
      <c r="D40" s="755">
        <f>IF(LEFT(F40,5)="Bonne",D38+1,D39)</f>
        <v>2</v>
      </c>
      <c r="E40" t="s" s="778">
        <f>C40&amp;D40&amp;RIGHT(F40,1)</f>
        <v>2069</v>
      </c>
      <c r="F40" t="s" s="779">
        <v>1782</v>
      </c>
      <c r="G40" t="s" s="780">
        <f>VLOOKUP(E40,'BDD'!$A$2:$N$567,MATCH(G$24,'BDD'!$A$1:$P$1,0),FALSE)</f>
        <v>803</v>
      </c>
      <c r="H40" t="s" s="799">
        <f>IF(VLOOKUP($E40,'BDD'!$A$2:$N$567,MATCH($H$23,'BDD'!$A$1:$P$1,0),FALSE)=H$24,H$24,"")</f>
      </c>
      <c r="I40" t="s" s="792">
        <f>IF(VLOOKUP($E40,'BDD'!$A$2:$N$567,MATCH($H$23,'BDD'!$A$1:$P$1,0),FALSE)=I$24,I$24,"")</f>
      </c>
      <c r="J40" t="s" s="792">
        <f>IF(VLOOKUP($E40,'BDD'!$A$2:$N$567,MATCH($H$23,'BDD'!$A$1:$P$1,0),FALSE)=J$24,J$24,"")</f>
      </c>
      <c r="K40" t="s" s="792">
        <f>IF(VLOOKUP($E40,'BDD'!$A$2:$N$567,MATCH($H$23,'BDD'!$A$1:$P$1,0),FALSE)=K$24,K$24,"")</f>
      </c>
      <c r="L40" t="s" s="783">
        <f>IF(VLOOKUP($E40,'BDD'!$A$2:$N$567,MATCH($H$23,'BDD'!$A$1:$P$1,0),FALSE)=L$24,L$24,"")</f>
        <v>1985</v>
      </c>
      <c r="M40" s="800">
        <f>IF(N40="Exigences partiellement respectées",1,IF(N40="Exigences respectées",2,0))</f>
        <v>0</v>
      </c>
      <c r="N40" t="s" s="780">
        <f>VLOOKUP(VLOOKUP(E40,'BDD'!$A$2:$P$428,15,FALSE),'Suppl'!$D$64:$E$68,2,FALSE)</f>
        <v>1751</v>
      </c>
      <c r="O40" s="801"/>
      <c r="P40" s="802"/>
      <c r="Q40" s="802"/>
      <c r="R40" s="802"/>
      <c r="S40" s="803">
        <f>IF(N40='Suppl'!$E$65,0,IF(N40='Suppl'!$E$66,1/2/(_xlfn.COUNTIFS($D1:$D100,D40,$N1:$N100,"Exigences"&amp;"*",G1:G100,"&lt;&gt;0")+_xlfn.COUNTIFS($D1:$D100,D40,$N1:$N100,"Non"&amp;"*",G1:G100,"&lt;&gt;0")),IF(N40='Suppl'!$E$67,1/(_xlfn.COUNTIFS($D1:$D100,D40,$N1:$N100,"Exigences"&amp;"*",G1:G100,"&lt;&gt;0")+_xlfn.COUNTIFS($D1:$D100,D40,$N1:$N100,"Non"&amp;"*",G1:G100,"&lt;&gt;0")),0)))</f>
        <v>0</v>
      </c>
      <c r="T40" s="803"/>
      <c r="U40" s="803"/>
      <c r="V40" s="804"/>
      <c r="W40" s="789">
        <f>_xlfn.IFERROR(IF(N40='Suppl'!$E$65,0,IF(N40='Suppl'!$E$66,1/2/(_xlfn.COUNTIFS($N1:$N100,"Exigences"&amp;"*")+_xlfn.COUNTIFS($N1:$N100,"Non"&amp;"*")),IF(N40='Suppl'!$E$67,1/(_xlfn.COUNTIFS($N1:$N100,"Exigences"&amp;"*")+_xlfn.COUNTIFS($N1:$N100,"Non"&amp;"*")),0))),0)</f>
        <v>0</v>
      </c>
      <c r="X40" s="586"/>
      <c r="Y40" s="586"/>
      <c r="Z40" s="586"/>
      <c r="AA40" s="586"/>
      <c r="AB40" s="586"/>
      <c r="AC40" s="586"/>
      <c r="AD40" s="586"/>
      <c r="AE40" s="586"/>
      <c r="AF40" s="586"/>
      <c r="AG40" s="586"/>
      <c r="AH40" s="888"/>
      <c r="AI40" s="585"/>
    </row>
    <row r="41" ht="30" customHeight="1">
      <c r="A41" s="887"/>
      <c r="B41" s="753"/>
      <c r="C41" t="s" s="754">
        <f>IF(LEFT(RIGHT($B$1,2),1)=" ",RIGHT($B$1,1),RIGHT($B$1,2))</f>
        <v>2051</v>
      </c>
      <c r="D41" s="755">
        <f>IF(LEFT(F41,5)="Bonne",D39+1,D40)</f>
        <v>3</v>
      </c>
      <c r="E41" t="s" s="778">
        <f>C41&amp;D41&amp;RIGHT(F41,1)</f>
        <v>2070</v>
      </c>
      <c r="F41" t="s" s="757">
        <v>1797</v>
      </c>
      <c r="G41" t="s" s="758">
        <f>VLOOKUP(E43,'BDD'!$A$2:$N$567,6,FALSE)</f>
        <v>804</v>
      </c>
      <c r="H41" s="759"/>
      <c r="I41" s="760"/>
      <c r="J41" s="760"/>
      <c r="K41" s="760"/>
      <c r="L41" s="761"/>
      <c r="M41" s="762"/>
      <c r="N41" s="763"/>
      <c r="O41" s="764">
        <v>0</v>
      </c>
      <c r="P41" s="764"/>
      <c r="Q41" s="764"/>
      <c r="R41" s="764"/>
      <c r="S41" s="765">
        <f>_xlfn.SUMIFS(S1:S100,$D1:$D100,D41,$N1:$N100,"Exigences"&amp;"*")</f>
      </c>
      <c r="T41" s="765"/>
      <c r="U41" s="765"/>
      <c r="V41" s="766"/>
      <c r="W41" s="789">
        <f>_xlfn.IFERROR(IF(N41='Suppl'!$E$65,0,IF(N41='Suppl'!$E$66,1/2/(_xlfn.COUNTIFS($N1:$N100,"Exigences"&amp;"*")+_xlfn.COUNTIFS($N1:$N100,"Non"&amp;"*")),IF(N41='Suppl'!$E$67,1/(_xlfn.COUNTIFS($N1:$N100,"Exigences"&amp;"*")+_xlfn.COUNTIFS($N1:$N100,"Non"&amp;"*")),0))),0)</f>
        <v>0</v>
      </c>
      <c r="X41" s="586"/>
      <c r="Y41" s="586"/>
      <c r="Z41" s="586"/>
      <c r="AA41" s="586"/>
      <c r="AB41" s="586"/>
      <c r="AC41" s="586"/>
      <c r="AD41" s="586"/>
      <c r="AE41" s="586"/>
      <c r="AF41" s="586"/>
      <c r="AG41" s="586"/>
      <c r="AH41" s="888"/>
      <c r="AI41" s="585"/>
    </row>
    <row r="42" ht="30" customHeight="1">
      <c r="A42" s="887"/>
      <c r="B42" s="753"/>
      <c r="C42" t="s" s="754">
        <f>IF(LEFT(RIGHT($B$1,2),1)=" ",RIGHT($B$1,1),RIGHT($B$1,2))</f>
        <v>2051</v>
      </c>
      <c r="D42" s="755">
        <f>IF(LEFT(F42,5)="Bonne",D40+1,D41)</f>
        <v>3</v>
      </c>
      <c r="E42" t="s" s="778">
        <f>C42&amp;D42&amp;RIGHT(F42,1)</f>
        <v>2072</v>
      </c>
      <c r="F42" t="s" s="769">
        <v>1835</v>
      </c>
      <c r="G42" t="s" s="770">
        <f>VLOOKUP(E44,'BDD'!$A$2:$N$567,7,FALSE)</f>
        <v>2089</v>
      </c>
      <c r="H42" s="771"/>
      <c r="I42" s="771"/>
      <c r="J42" s="771"/>
      <c r="K42" s="771"/>
      <c r="L42" s="772"/>
      <c r="M42" s="773"/>
      <c r="N42" s="774"/>
      <c r="O42" s="775"/>
      <c r="P42" s="775"/>
      <c r="Q42" s="775"/>
      <c r="R42" s="775"/>
      <c r="S42" s="776"/>
      <c r="T42" s="776"/>
      <c r="U42" s="776"/>
      <c r="V42" s="777"/>
      <c r="W42" s="789">
        <f>_xlfn.IFERROR(IF(N42='Suppl'!$E$65,0,IF(N42='Suppl'!$E$66,1/2/(_xlfn.COUNTIFS($N1:$N100,"Exigences"&amp;"*")+_xlfn.COUNTIFS($N1:$N100,"Non"&amp;"*")),IF(N42='Suppl'!$E$67,1/(_xlfn.COUNTIFS($N1:$N100,"Exigences"&amp;"*")+_xlfn.COUNTIFS($N1:$N100,"Non"&amp;"*")),0))),0)</f>
        <v>0</v>
      </c>
      <c r="X42" s="586"/>
      <c r="Y42" s="586"/>
      <c r="Z42" s="586"/>
      <c r="AA42" s="586"/>
      <c r="AB42" s="586"/>
      <c r="AC42" s="586"/>
      <c r="AD42" s="586"/>
      <c r="AE42" s="586"/>
      <c r="AF42" s="586"/>
      <c r="AG42" s="586"/>
      <c r="AH42" s="888"/>
      <c r="AI42" s="585"/>
    </row>
    <row r="43" ht="41.4" customHeight="1">
      <c r="A43" s="887"/>
      <c r="B43" s="753"/>
      <c r="C43" t="s" s="754">
        <f>IF(LEFT(RIGHT($B$1,2),1)=" ",RIGHT($B$1,1),RIGHT($B$1,2))</f>
        <v>2051</v>
      </c>
      <c r="D43" s="755">
        <f>IF(LEFT(F43,5)="Bonne",D41+1,D42)</f>
        <v>3</v>
      </c>
      <c r="E43" t="s" s="778">
        <f>C43&amp;D43&amp;RIGHT(F43,1)</f>
        <v>2072</v>
      </c>
      <c r="F43" t="s" s="779">
        <v>1769</v>
      </c>
      <c r="G43" t="s" s="780">
        <f>VLOOKUP(E43,'BDD'!$A$2:$N$567,MATCH(G$24,'BDD'!$A$1:$P$1,0),FALSE)</f>
        <v>806</v>
      </c>
      <c r="H43" t="s" s="799">
        <f>IF(VLOOKUP($E43,'BDD'!$A$2:$N$567,MATCH($H$23,'BDD'!$A$1:$P$1,0),FALSE)=H$24,H$24,"")</f>
      </c>
      <c r="I43" t="s" s="792">
        <f>IF(VLOOKUP($E43,'BDD'!$A$2:$N$567,MATCH($H$23,'BDD'!$A$1:$P$1,0),FALSE)=I$24,I$24,"")</f>
        <v>1969</v>
      </c>
      <c r="J43" t="s" s="792">
        <f>IF(VLOOKUP($E43,'BDD'!$A$2:$N$567,MATCH($H$23,'BDD'!$A$1:$P$1,0),FALSE)=J$24,J$24,"")</f>
      </c>
      <c r="K43" t="s" s="792">
        <f>IF(VLOOKUP($E43,'BDD'!$A$2:$N$567,MATCH($H$23,'BDD'!$A$1:$P$1,0),FALSE)=K$24,K$24,"")</f>
      </c>
      <c r="L43" t="s" s="783">
        <f>IF(VLOOKUP($E43,'BDD'!$A$2:$N$567,MATCH($H$23,'BDD'!$A$1:$P$1,0),FALSE)=L$24,L$24,"")</f>
      </c>
      <c r="M43" s="784">
        <f>IF(N43="Exigences partiellement respectées",1,IF(N43="Exigences respectées",2,0))</f>
        <v>0</v>
      </c>
      <c r="N43" t="s" s="780">
        <f>VLOOKUP(VLOOKUP(E43,'BDD'!$A$2:$P$428,15,FALSE),'Suppl'!$D$64:$E$68,2,FALSE)</f>
        <v>1751</v>
      </c>
      <c r="O43" s="785"/>
      <c r="P43" s="786"/>
      <c r="Q43" s="786"/>
      <c r="R43" s="786"/>
      <c r="S43" s="787">
        <f>IF(N43='Suppl'!$E$65,0,IF(N43='Suppl'!$E$66,1/2/(_xlfn.COUNTIFS($D1:$D100,D43,$N1:$N100,"Exigences"&amp;"*",G1:G100,"&lt;&gt;0")+_xlfn.COUNTIFS($D1:$D100,D43,$N1:$N100,"Non"&amp;"*",G1:G100,"&lt;&gt;0")),IF(N43='Suppl'!$E$67,1/(_xlfn.COUNTIFS($D1:$D100,D43,$N1:$N100,"Exigences"&amp;"*",G1:G100,"&lt;&gt;0")+_xlfn.COUNTIFS($D1:$D100,D43,$N1:$N100,"Non"&amp;"*",G1:G100,"&lt;&gt;0")),0)))</f>
        <v>0</v>
      </c>
      <c r="T43" s="787"/>
      <c r="U43" s="787"/>
      <c r="V43" s="788"/>
      <c r="W43" s="789">
        <f>_xlfn.IFERROR(IF(N43='Suppl'!$E$65,0,IF(N43='Suppl'!$E$66,1/2/(_xlfn.COUNTIFS($N1:$N100,"Exigences"&amp;"*")+_xlfn.COUNTIFS($N1:$N100,"Non"&amp;"*")),IF(N43='Suppl'!$E$67,1/(_xlfn.COUNTIFS($N1:$N100,"Exigences"&amp;"*")+_xlfn.COUNTIFS($N1:$N100,"Non"&amp;"*")),0))),0)</f>
        <v>0</v>
      </c>
      <c r="X43" s="586"/>
      <c r="Y43" s="586"/>
      <c r="Z43" s="586"/>
      <c r="AA43" s="586"/>
      <c r="AB43" s="586"/>
      <c r="AC43" s="586"/>
      <c r="AD43" s="586"/>
      <c r="AE43" s="586"/>
      <c r="AF43" s="586"/>
      <c r="AG43" s="586"/>
      <c r="AH43" s="888"/>
      <c r="AI43" s="585"/>
    </row>
    <row r="44" ht="30" customHeight="1">
      <c r="A44" s="887"/>
      <c r="B44" s="753"/>
      <c r="C44" t="s" s="754">
        <f>IF(LEFT(RIGHT($B$1,2),1)=" ",RIGHT($B$1,1),RIGHT($B$1,2))</f>
        <v>2051</v>
      </c>
      <c r="D44" s="755">
        <f>IF(LEFT(F44,5)="Bonne",D42+1,D43)</f>
        <v>3</v>
      </c>
      <c r="E44" t="s" s="778">
        <f>C44&amp;D44&amp;RIGHT(F44,1)</f>
        <v>2073</v>
      </c>
      <c r="F44" t="s" s="790">
        <v>1837</v>
      </c>
      <c r="G44" t="s" s="791">
        <f>VLOOKUP(E44,'BDD'!$A$2:$N$567,MATCH(G$24,'BDD'!$A$1:$P$1,0),FALSE)</f>
        <v>809</v>
      </c>
      <c r="H44" t="s" s="799">
        <f>IF(VLOOKUP($E44,'BDD'!$A$2:$N$567,MATCH($H$23,'BDD'!$A$1:$P$1,0),FALSE)=H$24,H$24,"")</f>
      </c>
      <c r="I44" t="s" s="792">
        <f>IF(VLOOKUP($E44,'BDD'!$A$2:$N$567,MATCH($H$23,'BDD'!$A$1:$P$1,0),FALSE)=I$24,I$24,"")</f>
      </c>
      <c r="J44" t="s" s="792">
        <f>IF(VLOOKUP($E44,'BDD'!$A$2:$N$567,MATCH($H$23,'BDD'!$A$1:$P$1,0),FALSE)=J$24,J$24,"")</f>
        <v>1967</v>
      </c>
      <c r="K44" t="s" s="792">
        <f>IF(VLOOKUP($E44,'BDD'!$A$2:$N$567,MATCH($H$23,'BDD'!$A$1:$P$1,0),FALSE)=K$24,K$24,"")</f>
      </c>
      <c r="L44" t="s" s="783">
        <f>IF(VLOOKUP($E44,'BDD'!$A$2:$N$567,MATCH($H$23,'BDD'!$A$1:$P$1,0),FALSE)=L$24,L$24,"")</f>
      </c>
      <c r="M44" s="794">
        <f>IF(N44="Exigences partiellement respectées",1,IF(N44="Exigences respectées",2,0))</f>
        <v>0</v>
      </c>
      <c r="N44" t="s" s="791">
        <f>VLOOKUP(VLOOKUP(E44,'BDD'!$A$2:$P$428,15,FALSE),'Suppl'!$D$64:$E$68,2,FALSE)</f>
        <v>1751</v>
      </c>
      <c r="O44" s="795"/>
      <c r="P44" s="796"/>
      <c r="Q44" s="796"/>
      <c r="R44" s="796"/>
      <c r="S44" s="797">
        <f>IF(N44='Suppl'!$E$65,0,IF(N44='Suppl'!$E$66,1/2/(_xlfn.COUNTIFS($D1:$D100,D44,$N1:$N100,"Exigences"&amp;"*",G1:G100,"&lt;&gt;0")+_xlfn.COUNTIFS($D1:$D100,D44,$N1:$N100,"Non"&amp;"*",G1:G100,"&lt;&gt;0")),IF(N44='Suppl'!$E$67,1/(_xlfn.COUNTIFS($D1:$D100,D44,$N1:$N100,"Exigences"&amp;"*",G1:G100,"&lt;&gt;0")+_xlfn.COUNTIFS($D1:$D100,D44,$N1:$N100,"Non"&amp;"*",G1:G100,"&lt;&gt;0")),0)))</f>
        <v>0</v>
      </c>
      <c r="T44" s="797"/>
      <c r="U44" s="797"/>
      <c r="V44" s="798"/>
      <c r="W44" s="789">
        <f>_xlfn.IFERROR(IF(N44='Suppl'!$E$65,0,IF(N44='Suppl'!$E$66,1/2/(_xlfn.COUNTIFS($N1:$N100,"Exigences"&amp;"*")+_xlfn.COUNTIFS($N1:$N100,"Non"&amp;"*")),IF(N44='Suppl'!$E$67,1/(_xlfn.COUNTIFS($N1:$N100,"Exigences"&amp;"*")+_xlfn.COUNTIFS($N1:$N100,"Non"&amp;"*")),0))),0)</f>
        <v>0</v>
      </c>
      <c r="X44" s="586"/>
      <c r="Y44" s="586"/>
      <c r="Z44" s="586"/>
      <c r="AA44" s="586"/>
      <c r="AB44" s="586"/>
      <c r="AC44" s="586"/>
      <c r="AD44" s="586"/>
      <c r="AE44" s="586"/>
      <c r="AF44" s="586"/>
      <c r="AG44" s="586"/>
      <c r="AH44" s="888"/>
      <c r="AI44" s="585"/>
    </row>
    <row r="45" ht="30" customHeight="1">
      <c r="A45" s="887"/>
      <c r="B45" s="753"/>
      <c r="C45" t="s" s="754">
        <f>IF(LEFT(RIGHT($B$1,2),1)=" ",RIGHT($B$1,1),RIGHT($B$1,2))</f>
        <v>2051</v>
      </c>
      <c r="D45" s="755">
        <f>IF(LEFT(F45,5)="Bonne",D43+1,D44)</f>
        <v>3</v>
      </c>
      <c r="E45" t="s" s="778">
        <f>C45&amp;D45&amp;RIGHT(F45,1)</f>
        <v>2070</v>
      </c>
      <c r="F45" t="s" s="779">
        <v>1774</v>
      </c>
      <c r="G45" t="s" s="780">
        <f>VLOOKUP(E45,'BDD'!$A$2:$N$567,MATCH(G$24,'BDD'!$A$1:$P$1,0),FALSE)</f>
        <v>812</v>
      </c>
      <c r="H45" t="s" s="799">
        <f>IF(VLOOKUP($E45,'BDD'!$A$2:$N$567,MATCH($H$23,'BDD'!$A$1:$P$1,0),FALSE)=H$24,H$24,"")</f>
      </c>
      <c r="I45" t="s" s="792">
        <f>IF(VLOOKUP($E45,'BDD'!$A$2:$N$567,MATCH($H$23,'BDD'!$A$1:$P$1,0),FALSE)=I$24,I$24,"")</f>
      </c>
      <c r="J45" t="s" s="792">
        <f>IF(VLOOKUP($E45,'BDD'!$A$2:$N$567,MATCH($H$23,'BDD'!$A$1:$P$1,0),FALSE)=J$24,J$24,"")</f>
        <v>1967</v>
      </c>
      <c r="K45" t="s" s="792">
        <f>IF(VLOOKUP($E45,'BDD'!$A$2:$N$567,MATCH($H$23,'BDD'!$A$1:$P$1,0),FALSE)=K$24,K$24,"")</f>
      </c>
      <c r="L45" t="s" s="783">
        <f>IF(VLOOKUP($E45,'BDD'!$A$2:$N$567,MATCH($H$23,'BDD'!$A$1:$P$1,0),FALSE)=L$24,L$24,"")</f>
      </c>
      <c r="M45" s="794">
        <f>IF(N45="Exigences partiellement respectées",1,IF(N45="Exigences respectées",2,0))</f>
        <v>0</v>
      </c>
      <c r="N45" t="s" s="780">
        <f>VLOOKUP(VLOOKUP(E45,'BDD'!$A$2:$P$428,15,FALSE),'Suppl'!$D$64:$E$68,2,FALSE)</f>
        <v>1751</v>
      </c>
      <c r="O45" s="795"/>
      <c r="P45" s="796"/>
      <c r="Q45" s="796"/>
      <c r="R45" s="796"/>
      <c r="S45" s="797">
        <f>IF(N45='Suppl'!$E$65,0,IF(N45='Suppl'!$E$66,1/2/(_xlfn.COUNTIFS($D1:$D100,D45,$N1:$N100,"Exigences"&amp;"*",G1:G100,"&lt;&gt;0")+_xlfn.COUNTIFS($D1:$D100,D45,$N1:$N100,"Non"&amp;"*",G1:G100,"&lt;&gt;0")),IF(N45='Suppl'!$E$67,1/(_xlfn.COUNTIFS($D1:$D100,D45,$N1:$N100,"Exigences"&amp;"*",G1:G100,"&lt;&gt;0")+_xlfn.COUNTIFS($D1:$D100,D45,$N1:$N100,"Non"&amp;"*",G1:G100,"&lt;&gt;0")),0)))</f>
        <v>0</v>
      </c>
      <c r="T45" s="797"/>
      <c r="U45" s="797"/>
      <c r="V45" s="798"/>
      <c r="W45" s="789">
        <f>_xlfn.IFERROR(IF(N45='Suppl'!$E$65,0,IF(N45='Suppl'!$E$66,1/2/(_xlfn.COUNTIFS($N1:$N100,"Exigences"&amp;"*")+_xlfn.COUNTIFS($N1:$N100,"Non"&amp;"*")),IF(N45='Suppl'!$E$67,1/(_xlfn.COUNTIFS($N1:$N100,"Exigences"&amp;"*")+_xlfn.COUNTIFS($N1:$N100,"Non"&amp;"*")),0))),0)</f>
        <v>0</v>
      </c>
      <c r="X45" s="586"/>
      <c r="Y45" s="586"/>
      <c r="Z45" s="586"/>
      <c r="AA45" s="586"/>
      <c r="AB45" s="586"/>
      <c r="AC45" s="586"/>
      <c r="AD45" s="586"/>
      <c r="AE45" s="586"/>
      <c r="AF45" s="586"/>
      <c r="AG45" s="586"/>
      <c r="AH45" s="888"/>
      <c r="AI45" s="585"/>
    </row>
    <row r="46" ht="30" customHeight="1">
      <c r="A46" s="887"/>
      <c r="B46" s="753"/>
      <c r="C46" t="s" s="754">
        <f>IF(LEFT(RIGHT($B$1,2),1)=" ",RIGHT($B$1,1),RIGHT($B$1,2))</f>
        <v>2051</v>
      </c>
      <c r="D46" s="755">
        <f>IF(LEFT(F46,5)="Bonne",D44+1,D45)</f>
        <v>3</v>
      </c>
      <c r="E46" t="s" s="778">
        <f>C46&amp;D46&amp;RIGHT(F46,1)</f>
        <v>2074</v>
      </c>
      <c r="F46" t="s" s="790">
        <v>1776</v>
      </c>
      <c r="G46" t="s" s="791">
        <f>VLOOKUP(E46,'BDD'!$A$2:$N$567,MATCH(G$24,'BDD'!$A$1:$P$1,0),FALSE)</f>
        <v>815</v>
      </c>
      <c r="H46" t="s" s="799">
        <f>IF(VLOOKUP($E46,'BDD'!$A$2:$N$567,MATCH($H$23,'BDD'!$A$1:$P$1,0),FALSE)=H$24,H$24,"")</f>
      </c>
      <c r="I46" t="s" s="792">
        <f>IF(VLOOKUP($E46,'BDD'!$A$2:$N$567,MATCH($H$23,'BDD'!$A$1:$P$1,0),FALSE)=I$24,I$24,"")</f>
      </c>
      <c r="J46" t="s" s="792">
        <f>IF(VLOOKUP($E46,'BDD'!$A$2:$N$567,MATCH($H$23,'BDD'!$A$1:$P$1,0),FALSE)=J$24,J$24,"")</f>
      </c>
      <c r="K46" t="s" s="792">
        <f>IF(VLOOKUP($E46,'BDD'!$A$2:$N$567,MATCH($H$23,'BDD'!$A$1:$P$1,0),FALSE)=K$24,K$24,"")</f>
      </c>
      <c r="L46" t="s" s="783">
        <f>IF(VLOOKUP($E46,'BDD'!$A$2:$N$567,MATCH($H$23,'BDD'!$A$1:$P$1,0),FALSE)=L$24,L$24,"")</f>
        <v>1985</v>
      </c>
      <c r="M46" s="794">
        <f>IF(N46="Exigences partiellement respectées",1,IF(N46="Exigences respectées",2,0))</f>
        <v>0</v>
      </c>
      <c r="N46" t="s" s="791">
        <f>VLOOKUP(VLOOKUP(E46,'BDD'!$A$2:$P$428,15,FALSE),'Suppl'!$D$64:$E$68,2,FALSE)</f>
        <v>1751</v>
      </c>
      <c r="O46" s="795"/>
      <c r="P46" s="796"/>
      <c r="Q46" s="796"/>
      <c r="R46" s="796"/>
      <c r="S46" s="797">
        <f>IF(N46='Suppl'!$E$65,0,IF(N46='Suppl'!$E$66,1/2/(_xlfn.COUNTIFS($D1:$D100,D46,$N1:$N100,"Exigences"&amp;"*",G1:G100,"&lt;&gt;0")+_xlfn.COUNTIFS($D1:$D100,D46,$N1:$N100,"Non"&amp;"*",G1:G100,"&lt;&gt;0")),IF(N46='Suppl'!$E$67,1/(_xlfn.COUNTIFS($D1:$D100,D46,$N1:$N100,"Exigences"&amp;"*",G1:G100,"&lt;&gt;0")+_xlfn.COUNTIFS($D1:$D100,D46,$N1:$N100,"Non"&amp;"*",G1:G100,"&lt;&gt;0")),0)))</f>
        <v>0</v>
      </c>
      <c r="T46" s="797"/>
      <c r="U46" s="797"/>
      <c r="V46" s="798"/>
      <c r="W46" s="789">
        <f>_xlfn.IFERROR(IF(N46='Suppl'!$E$65,0,IF(N46='Suppl'!$E$66,1/2/(_xlfn.COUNTIFS($N1:$N100,"Exigences"&amp;"*")+_xlfn.COUNTIFS($N1:$N100,"Non"&amp;"*")),IF(N46='Suppl'!$E$67,1/(_xlfn.COUNTIFS($N1:$N100,"Exigences"&amp;"*")+_xlfn.COUNTIFS($N1:$N100,"Non"&amp;"*")),0))),0)</f>
        <v>0</v>
      </c>
      <c r="X46" s="586"/>
      <c r="Y46" s="586"/>
      <c r="Z46" s="586"/>
      <c r="AA46" s="586"/>
      <c r="AB46" s="586"/>
      <c r="AC46" s="586"/>
      <c r="AD46" s="586"/>
      <c r="AE46" s="586"/>
      <c r="AF46" s="586"/>
      <c r="AG46" s="586"/>
      <c r="AH46" s="888"/>
      <c r="AI46" s="585"/>
    </row>
    <row r="47" ht="41.4" customHeight="1">
      <c r="A47" s="887"/>
      <c r="B47" s="753"/>
      <c r="C47" t="s" s="754">
        <f>IF(LEFT(RIGHT($B$1,2),1)=" ",RIGHT($B$1,1),RIGHT($B$1,2))</f>
        <v>2051</v>
      </c>
      <c r="D47" s="755">
        <f>IF(LEFT(F47,5)="Bonne",D45+1,D46)</f>
        <v>3</v>
      </c>
      <c r="E47" t="s" s="778">
        <f>C47&amp;D47&amp;RIGHT(F47,1)</f>
        <v>2075</v>
      </c>
      <c r="F47" t="s" s="779">
        <v>1778</v>
      </c>
      <c r="G47" t="s" s="780">
        <f>VLOOKUP(E47,'BDD'!$A$2:$N$567,MATCH(G$24,'BDD'!$A$1:$P$1,0),FALSE)</f>
        <v>818</v>
      </c>
      <c r="H47" t="s" s="799">
        <f>IF(VLOOKUP($E47,'BDD'!$A$2:$N$567,MATCH($H$23,'BDD'!$A$1:$P$1,0),FALSE)=H$24,H$24,"")</f>
      </c>
      <c r="I47" t="s" s="792">
        <f>IF(VLOOKUP($E47,'BDD'!$A$2:$N$567,MATCH($H$23,'BDD'!$A$1:$P$1,0),FALSE)=I$24,I$24,"")</f>
      </c>
      <c r="J47" t="s" s="792">
        <f>IF(VLOOKUP($E47,'BDD'!$A$2:$N$567,MATCH($H$23,'BDD'!$A$1:$P$1,0),FALSE)=J$24,J$24,"")</f>
        <v>1967</v>
      </c>
      <c r="K47" t="s" s="792">
        <f>IF(VLOOKUP($E47,'BDD'!$A$2:$N$567,MATCH($H$23,'BDD'!$A$1:$P$1,0),FALSE)=K$24,K$24,"")</f>
      </c>
      <c r="L47" t="s" s="783">
        <f>IF(VLOOKUP($E47,'BDD'!$A$2:$N$567,MATCH($H$23,'BDD'!$A$1:$P$1,0),FALSE)=L$24,L$24,"")</f>
      </c>
      <c r="M47" s="800">
        <f>IF(N47="Exigences partiellement respectées",1,IF(N47="Exigences respectées",2,0))</f>
        <v>0</v>
      </c>
      <c r="N47" t="s" s="780">
        <f>VLOOKUP(VLOOKUP(E47,'BDD'!$A$2:$P$428,15,FALSE),'Suppl'!$D$64:$E$68,2,FALSE)</f>
        <v>1751</v>
      </c>
      <c r="O47" s="801"/>
      <c r="P47" s="802"/>
      <c r="Q47" s="802"/>
      <c r="R47" s="802"/>
      <c r="S47" s="803">
        <f>IF(N47='Suppl'!$E$65,0,IF(N47='Suppl'!$E$66,1/2/(_xlfn.COUNTIFS($D1:$D100,D47,$N1:$N100,"Exigences"&amp;"*",G1:G100,"&lt;&gt;0")+_xlfn.COUNTIFS($D1:$D100,D47,$N1:$N100,"Non"&amp;"*",G1:G100,"&lt;&gt;0")),IF(N47='Suppl'!$E$67,1/(_xlfn.COUNTIFS($D1:$D100,D47,$N1:$N100,"Exigences"&amp;"*",G1:G100,"&lt;&gt;0")+_xlfn.COUNTIFS($D1:$D100,D47,$N1:$N100,"Non"&amp;"*",G1:G100,"&lt;&gt;0")),0)))</f>
        <v>0</v>
      </c>
      <c r="T47" s="803"/>
      <c r="U47" s="803"/>
      <c r="V47" s="804"/>
      <c r="W47" s="789">
        <f>_xlfn.IFERROR(IF(N47='Suppl'!$E$65,0,IF(N47='Suppl'!$E$66,1/2/(_xlfn.COUNTIFS($N1:$N100,"Exigences"&amp;"*")+_xlfn.COUNTIFS($N1:$N100,"Non"&amp;"*")),IF(N47='Suppl'!$E$67,1/(_xlfn.COUNTIFS($N1:$N100,"Exigences"&amp;"*")+_xlfn.COUNTIFS($N1:$N100,"Non"&amp;"*")),0))),0)</f>
        <v>0</v>
      </c>
      <c r="X47" s="586"/>
      <c r="Y47" s="586"/>
      <c r="Z47" s="586"/>
      <c r="AA47" s="586"/>
      <c r="AB47" s="586"/>
      <c r="AC47" s="586"/>
      <c r="AD47" s="586"/>
      <c r="AE47" s="586"/>
      <c r="AF47" s="586"/>
      <c r="AG47" s="586"/>
      <c r="AH47" s="888"/>
      <c r="AI47" s="585"/>
    </row>
    <row r="48" ht="30" customHeight="1">
      <c r="A48" s="887"/>
      <c r="B48" s="753"/>
      <c r="C48" t="s" s="754">
        <f>IF(LEFT(RIGHT($B$1,2),1)=" ",RIGHT($B$1,1),RIGHT($B$1,2))</f>
        <v>2051</v>
      </c>
      <c r="D48" s="755">
        <f>IF(LEFT(F48,5)="Bonne",D46+1,D47)</f>
        <v>4</v>
      </c>
      <c r="E48" t="s" s="778">
        <f>C48&amp;D48&amp;RIGHT(F48,1)</f>
        <v>2078</v>
      </c>
      <c r="F48" t="s" s="757">
        <v>1806</v>
      </c>
      <c r="G48" t="s" s="758">
        <f>VLOOKUP(E50,'BDD'!$A$2:$N$567,6,FALSE)</f>
        <v>822</v>
      </c>
      <c r="H48" s="759"/>
      <c r="I48" s="760"/>
      <c r="J48" s="760"/>
      <c r="K48" s="760"/>
      <c r="L48" s="761"/>
      <c r="M48" s="762"/>
      <c r="N48" s="763"/>
      <c r="O48" s="764">
        <v>0</v>
      </c>
      <c r="P48" s="764"/>
      <c r="Q48" s="764"/>
      <c r="R48" s="764"/>
      <c r="S48" s="765">
        <f>_xlfn.SUMIFS(S1:S100,$D1:$D100,D48,$N1:$N100,"Exigences"&amp;"*")</f>
      </c>
      <c r="T48" s="765"/>
      <c r="U48" s="765"/>
      <c r="V48" s="766"/>
      <c r="W48" s="789">
        <f>_xlfn.IFERROR(IF(N48='Suppl'!$E$65,0,IF(N48='Suppl'!$E$66,1/2/(_xlfn.COUNTIFS($N1:$N100,"Exigences"&amp;"*")+_xlfn.COUNTIFS($N1:$N100,"Non"&amp;"*")),IF(N48='Suppl'!$E$67,1/(_xlfn.COUNTIFS($N1:$N100,"Exigences"&amp;"*")+_xlfn.COUNTIFS($N1:$N100,"Non"&amp;"*")),0))),0)</f>
        <v>0</v>
      </c>
      <c r="X48" s="586"/>
      <c r="Y48" s="586"/>
      <c r="Z48" s="586"/>
      <c r="AA48" s="586"/>
      <c r="AB48" s="586"/>
      <c r="AC48" s="586"/>
      <c r="AD48" s="586"/>
      <c r="AE48" s="586"/>
      <c r="AF48" s="586"/>
      <c r="AG48" s="586"/>
      <c r="AH48" s="888"/>
      <c r="AI48" s="585"/>
    </row>
    <row r="49" ht="30" customHeight="1">
      <c r="A49" s="887"/>
      <c r="B49" s="753"/>
      <c r="C49" t="s" s="754">
        <f>IF(LEFT(RIGHT($B$1,2),1)=" ",RIGHT($B$1,1),RIGHT($B$1,2))</f>
        <v>2051</v>
      </c>
      <c r="D49" s="755">
        <f>IF(LEFT(F49,5)="Bonne",D47+1,D48)</f>
        <v>4</v>
      </c>
      <c r="E49" t="s" s="778">
        <f>C49&amp;D49&amp;RIGHT(F49,1)</f>
        <v>2080</v>
      </c>
      <c r="F49" t="s" s="769">
        <v>1835</v>
      </c>
      <c r="G49" t="s" s="770">
        <f>VLOOKUP(E51,'BDD'!$A$2:$N$567,7,FALSE)</f>
        <v>2090</v>
      </c>
      <c r="H49" s="771"/>
      <c r="I49" s="771"/>
      <c r="J49" s="771"/>
      <c r="K49" s="771"/>
      <c r="L49" s="772"/>
      <c r="M49" s="773"/>
      <c r="N49" s="774"/>
      <c r="O49" s="775"/>
      <c r="P49" s="775"/>
      <c r="Q49" s="775"/>
      <c r="R49" s="775"/>
      <c r="S49" s="776"/>
      <c r="T49" s="776"/>
      <c r="U49" s="776"/>
      <c r="V49" s="777"/>
      <c r="W49" s="789">
        <f>_xlfn.IFERROR(IF(N49='Suppl'!$E$65,0,IF(N49='Suppl'!$E$66,1/2/(_xlfn.COUNTIFS($N1:$N100,"Exigences"&amp;"*")+_xlfn.COUNTIFS($N1:$N100,"Non"&amp;"*")),IF(N49='Suppl'!$E$67,1/(_xlfn.COUNTIFS($N1:$N100,"Exigences"&amp;"*")+_xlfn.COUNTIFS($N1:$N100,"Non"&amp;"*")),0))),0)</f>
        <v>0</v>
      </c>
      <c r="X49" s="586"/>
      <c r="Y49" s="586"/>
      <c r="Z49" s="586"/>
      <c r="AA49" s="586"/>
      <c r="AB49" s="586"/>
      <c r="AC49" s="586"/>
      <c r="AD49" s="586"/>
      <c r="AE49" s="586"/>
      <c r="AF49" s="586"/>
      <c r="AG49" s="586"/>
      <c r="AH49" s="888"/>
      <c r="AI49" s="585"/>
    </row>
    <row r="50" ht="30" customHeight="1">
      <c r="A50" s="887"/>
      <c r="B50" s="753"/>
      <c r="C50" t="s" s="754">
        <f>IF(LEFT(RIGHT($B$1,2),1)=" ",RIGHT($B$1,1),RIGHT($B$1,2))</f>
        <v>2051</v>
      </c>
      <c r="D50" s="755">
        <f>IF(LEFT(F50,5)="Bonne",D48+1,D49)</f>
        <v>4</v>
      </c>
      <c r="E50" t="s" s="778">
        <f>C50&amp;D50&amp;RIGHT(F50,1)</f>
        <v>2080</v>
      </c>
      <c r="F50" t="s" s="779">
        <v>1769</v>
      </c>
      <c r="G50" t="s" s="780">
        <f>VLOOKUP(E50,'BDD'!$A$2:$N$567,MATCH(G$24,'BDD'!$A$1:$P$1,0),FALSE)</f>
        <v>825</v>
      </c>
      <c r="H50" t="s" s="799">
        <f>IF(VLOOKUP($E50,'BDD'!$A$2:$N$567,MATCH($H$23,'BDD'!$A$1:$P$1,0),FALSE)=H$24,H$24,"")</f>
      </c>
      <c r="I50" t="s" s="792">
        <f>IF(VLOOKUP($E50,'BDD'!$A$2:$N$567,MATCH($H$23,'BDD'!$A$1:$P$1,0),FALSE)=I$24,I$24,"")</f>
        <v>1969</v>
      </c>
      <c r="J50" t="s" s="792">
        <f>IF(VLOOKUP($E50,'BDD'!$A$2:$N$567,MATCH($H$23,'BDD'!$A$1:$P$1,0),FALSE)=J$24,J$24,"")</f>
      </c>
      <c r="K50" t="s" s="792">
        <f>IF(VLOOKUP($E50,'BDD'!$A$2:$N$567,MATCH($H$23,'BDD'!$A$1:$P$1,0),FALSE)=K$24,K$24,"")</f>
      </c>
      <c r="L50" t="s" s="783">
        <f>IF(VLOOKUP($E50,'BDD'!$A$2:$N$567,MATCH($H$23,'BDD'!$A$1:$P$1,0),FALSE)=L$24,L$24,"")</f>
      </c>
      <c r="M50" s="784">
        <f>IF(N50="Exigences partiellement respectées",1,IF(N50="Exigences respectées",2,0))</f>
        <v>0</v>
      </c>
      <c r="N50" t="s" s="780">
        <f>VLOOKUP(VLOOKUP(E50,'BDD'!$A$2:$P$428,15,FALSE),'Suppl'!$D$64:$E$68,2,FALSE)</f>
        <v>1751</v>
      </c>
      <c r="O50" s="785"/>
      <c r="P50" s="786"/>
      <c r="Q50" s="786"/>
      <c r="R50" s="786"/>
      <c r="S50" s="787">
        <f>IF(N50='Suppl'!$E$65,0,IF(N50='Suppl'!$E$66,1/2/(_xlfn.COUNTIFS($D1:$D100,D50,$N1:$N100,"Exigences"&amp;"*",G1:G100,"&lt;&gt;0")+_xlfn.COUNTIFS($D1:$D100,D50,$N1:$N100,"Non"&amp;"*",G1:G100,"&lt;&gt;0")),IF(N50='Suppl'!$E$67,1/(_xlfn.COUNTIFS($D1:$D100,D50,$N1:$N100,"Exigences"&amp;"*",G1:G100,"&lt;&gt;0")+_xlfn.COUNTIFS($D1:$D100,D50,$N1:$N100,"Non"&amp;"*",G1:G100,"&lt;&gt;0")),0)))</f>
        <v>0</v>
      </c>
      <c r="T50" s="787"/>
      <c r="U50" s="787"/>
      <c r="V50" s="788"/>
      <c r="W50" s="789">
        <f>_xlfn.IFERROR(IF(N50='Suppl'!$E$65,0,IF(N50='Suppl'!$E$66,1/2/(_xlfn.COUNTIFS($N1:$N100,"Exigences"&amp;"*")+_xlfn.COUNTIFS($N1:$N100,"Non"&amp;"*")),IF(N50='Suppl'!$E$67,1/(_xlfn.COUNTIFS($N1:$N100,"Exigences"&amp;"*")+_xlfn.COUNTIFS($N1:$N100,"Non"&amp;"*")),0))),0)</f>
        <v>0</v>
      </c>
      <c r="X50" s="586"/>
      <c r="Y50" s="586"/>
      <c r="Z50" s="586"/>
      <c r="AA50" s="586"/>
      <c r="AB50" s="586"/>
      <c r="AC50" s="586"/>
      <c r="AD50" s="586"/>
      <c r="AE50" s="586"/>
      <c r="AF50" s="586"/>
      <c r="AG50" s="586"/>
      <c r="AH50" s="888"/>
      <c r="AI50" s="585"/>
    </row>
    <row r="51" ht="41.4" customHeight="1">
      <c r="A51" s="887"/>
      <c r="B51" s="753"/>
      <c r="C51" t="s" s="754">
        <f>IF(LEFT(RIGHT($B$1,2),1)=" ",RIGHT($B$1,1),RIGHT($B$1,2))</f>
        <v>2051</v>
      </c>
      <c r="D51" s="755">
        <f>IF(LEFT(F51,5)="Bonne",D49+1,D50)</f>
        <v>4</v>
      </c>
      <c r="E51" t="s" s="778">
        <f>C51&amp;D51&amp;RIGHT(F51,1)</f>
        <v>2091</v>
      </c>
      <c r="F51" t="s" s="790">
        <v>1837</v>
      </c>
      <c r="G51" t="s" s="791">
        <f>VLOOKUP(E51,'BDD'!$A$2:$N$567,MATCH(G$24,'BDD'!$A$1:$P$1,0),FALSE)</f>
        <v>828</v>
      </c>
      <c r="H51" t="s" s="799">
        <f>IF(VLOOKUP($E51,'BDD'!$A$2:$N$567,MATCH($H$23,'BDD'!$A$1:$P$1,0),FALSE)=H$24,H$24,"")</f>
        <v>1966</v>
      </c>
      <c r="I51" t="s" s="792">
        <f>IF(VLOOKUP($E51,'BDD'!$A$2:$N$567,MATCH($H$23,'BDD'!$A$1:$P$1,0),FALSE)=I$24,I$24,"")</f>
      </c>
      <c r="J51" t="s" s="792">
        <f>IF(VLOOKUP($E51,'BDD'!$A$2:$N$567,MATCH($H$23,'BDD'!$A$1:$P$1,0),FALSE)=J$24,J$24,"")</f>
      </c>
      <c r="K51" t="s" s="792">
        <f>IF(VLOOKUP($E51,'BDD'!$A$2:$N$567,MATCH($H$23,'BDD'!$A$1:$P$1,0),FALSE)=K$24,K$24,"")</f>
      </c>
      <c r="L51" t="s" s="783">
        <f>IF(VLOOKUP($E51,'BDD'!$A$2:$N$567,MATCH($H$23,'BDD'!$A$1:$P$1,0),FALSE)=L$24,L$24,"")</f>
      </c>
      <c r="M51" s="794">
        <f>IF(N51="Exigences partiellement respectées",1,IF(N51="Exigences respectées",2,0))</f>
        <v>0</v>
      </c>
      <c r="N51" t="s" s="791">
        <f>VLOOKUP(VLOOKUP(E51,'BDD'!$A$2:$P$428,15,FALSE),'Suppl'!$D$64:$E$68,2,FALSE)</f>
        <v>1751</v>
      </c>
      <c r="O51" s="795"/>
      <c r="P51" s="796"/>
      <c r="Q51" s="796"/>
      <c r="R51" s="796"/>
      <c r="S51" s="797">
        <f>IF(N51='Suppl'!$E$65,0,IF(N51='Suppl'!$E$66,1/2/(_xlfn.COUNTIFS($D1:$D100,D51,$N1:$N100,"Exigences"&amp;"*",G1:G100,"&lt;&gt;0")+_xlfn.COUNTIFS($D1:$D100,D51,$N1:$N100,"Non"&amp;"*",G1:G100,"&lt;&gt;0")),IF(N51='Suppl'!$E$67,1/(_xlfn.COUNTIFS($D1:$D100,D51,$N1:$N100,"Exigences"&amp;"*",G1:G100,"&lt;&gt;0")+_xlfn.COUNTIFS($D1:$D100,D51,$N1:$N100,"Non"&amp;"*",G1:G100,"&lt;&gt;0")),0)))</f>
        <v>0</v>
      </c>
      <c r="T51" s="797"/>
      <c r="U51" s="797"/>
      <c r="V51" s="798"/>
      <c r="W51" s="789">
        <f>_xlfn.IFERROR(IF(N51='Suppl'!$E$65,0,IF(N51='Suppl'!$E$66,1/2/(_xlfn.COUNTIFS($N1:$N100,"Exigences"&amp;"*")+_xlfn.COUNTIFS($N1:$N100,"Non"&amp;"*")),IF(N51='Suppl'!$E$67,1/(_xlfn.COUNTIFS($N1:$N100,"Exigences"&amp;"*")+_xlfn.COUNTIFS($N1:$N100,"Non"&amp;"*")),0))),0)</f>
        <v>0</v>
      </c>
      <c r="X51" s="586"/>
      <c r="Y51" s="586"/>
      <c r="Z51" s="586"/>
      <c r="AA51" s="586"/>
      <c r="AB51" s="586"/>
      <c r="AC51" s="586"/>
      <c r="AD51" s="586"/>
      <c r="AE51" s="586"/>
      <c r="AF51" s="586"/>
      <c r="AG51" s="586"/>
      <c r="AH51" s="888"/>
      <c r="AI51" s="585"/>
    </row>
    <row r="52" ht="30" customHeight="1">
      <c r="A52" s="887"/>
      <c r="B52" s="753"/>
      <c r="C52" t="s" s="754">
        <f>IF(LEFT(RIGHT($B$1,2),1)=" ",RIGHT($B$1,1),RIGHT($B$1,2))</f>
        <v>2051</v>
      </c>
      <c r="D52" s="755">
        <f>IF(LEFT(F52,5)="Bonne",D50+1,D51)</f>
        <v>4</v>
      </c>
      <c r="E52" t="s" s="778">
        <f>C52&amp;D52&amp;RIGHT(F52,1)</f>
        <v>2092</v>
      </c>
      <c r="F52" t="s" s="779">
        <v>1774</v>
      </c>
      <c r="G52" t="s" s="780">
        <f>VLOOKUP(E52,'BDD'!$A$2:$N$567,MATCH(G$24,'BDD'!$A$1:$P$1,0),FALSE)</f>
        <v>830</v>
      </c>
      <c r="H52" t="s" s="799">
        <f>IF(VLOOKUP($E52,'BDD'!$A$2:$N$567,MATCH($H$23,'BDD'!$A$1:$P$1,0),FALSE)=H$24,H$24,"")</f>
      </c>
      <c r="I52" t="s" s="792">
        <f>IF(VLOOKUP($E52,'BDD'!$A$2:$N$567,MATCH($H$23,'BDD'!$A$1:$P$1,0),FALSE)=I$24,I$24,"")</f>
      </c>
      <c r="J52" t="s" s="792">
        <f>IF(VLOOKUP($E52,'BDD'!$A$2:$N$567,MATCH($H$23,'BDD'!$A$1:$P$1,0),FALSE)=J$24,J$24,"")</f>
        <v>1967</v>
      </c>
      <c r="K52" t="s" s="792">
        <f>IF(VLOOKUP($E52,'BDD'!$A$2:$N$567,MATCH($H$23,'BDD'!$A$1:$P$1,0),FALSE)=K$24,K$24,"")</f>
      </c>
      <c r="L52" t="s" s="783">
        <f>IF(VLOOKUP($E52,'BDD'!$A$2:$N$567,MATCH($H$23,'BDD'!$A$1:$P$1,0),FALSE)=L$24,L$24,"")</f>
      </c>
      <c r="M52" s="794">
        <f>IF(N52="Exigences partiellement respectées",1,IF(N52="Exigences respectées",2,0))</f>
        <v>0</v>
      </c>
      <c r="N52" t="s" s="780">
        <f>VLOOKUP(VLOOKUP(E52,'BDD'!$A$2:$P$428,15,FALSE),'Suppl'!$D$64:$E$68,2,FALSE)</f>
        <v>1751</v>
      </c>
      <c r="O52" s="795"/>
      <c r="P52" s="796"/>
      <c r="Q52" s="796"/>
      <c r="R52" s="796"/>
      <c r="S52" s="797">
        <f>IF(N52='Suppl'!$E$65,0,IF(N52='Suppl'!$E$66,1/2/(_xlfn.COUNTIFS($D1:$D100,D52,$N1:$N100,"Exigences"&amp;"*",G1:G100,"&lt;&gt;0")+_xlfn.COUNTIFS($D1:$D100,D52,$N1:$N100,"Non"&amp;"*",G1:G100,"&lt;&gt;0")),IF(N52='Suppl'!$E$67,1/(_xlfn.COUNTIFS($D1:$D100,D52,$N1:$N100,"Exigences"&amp;"*",G1:G100,"&lt;&gt;0")+_xlfn.COUNTIFS($D1:$D100,D52,$N1:$N100,"Non"&amp;"*",G1:G100,"&lt;&gt;0")),0)))</f>
        <v>0</v>
      </c>
      <c r="T52" s="797"/>
      <c r="U52" s="797"/>
      <c r="V52" s="798"/>
      <c r="W52" s="789">
        <f>_xlfn.IFERROR(IF(N52='Suppl'!$E$65,0,IF(N52='Suppl'!$E$66,1/2/(_xlfn.COUNTIFS($N1:$N100,"Exigences"&amp;"*")+_xlfn.COUNTIFS($N1:$N100,"Non"&amp;"*")),IF(N52='Suppl'!$E$67,1/(_xlfn.COUNTIFS($N1:$N100,"Exigences"&amp;"*")+_xlfn.COUNTIFS($N1:$N100,"Non"&amp;"*")),0))),0)</f>
        <v>0</v>
      </c>
      <c r="X52" s="586"/>
      <c r="Y52" s="586"/>
      <c r="Z52" s="586"/>
      <c r="AA52" s="586"/>
      <c r="AB52" s="586"/>
      <c r="AC52" s="586"/>
      <c r="AD52" s="586"/>
      <c r="AE52" s="586"/>
      <c r="AF52" s="586"/>
      <c r="AG52" s="586"/>
      <c r="AH52" s="888"/>
      <c r="AI52" s="585"/>
    </row>
    <row r="53" ht="30" customHeight="1">
      <c r="A53" s="887"/>
      <c r="B53" s="753"/>
      <c r="C53" t="s" s="754">
        <f>IF(LEFT(RIGHT($B$1,2),1)=" ",RIGHT($B$1,1),RIGHT($B$1,2))</f>
        <v>2051</v>
      </c>
      <c r="D53" s="755">
        <f>IF(LEFT(F53,5)="Bonne",D51+1,D52)</f>
        <v>4</v>
      </c>
      <c r="E53" t="s" s="778">
        <f>C53&amp;D53&amp;RIGHT(F53,1)</f>
        <v>2078</v>
      </c>
      <c r="F53" t="s" s="790">
        <v>1776</v>
      </c>
      <c r="G53" t="s" s="791">
        <f>VLOOKUP(E53,'BDD'!$A$2:$N$567,MATCH(G$24,'BDD'!$A$1:$P$1,0),FALSE)</f>
        <v>833</v>
      </c>
      <c r="H53" t="s" s="799">
        <f>IF(VLOOKUP($E53,'BDD'!$A$2:$N$567,MATCH($H$23,'BDD'!$A$1:$P$1,0),FALSE)=H$24,H$24,"")</f>
        <v>1966</v>
      </c>
      <c r="I53" t="s" s="792">
        <f>IF(VLOOKUP($E53,'BDD'!$A$2:$N$567,MATCH($H$23,'BDD'!$A$1:$P$1,0),FALSE)=I$24,I$24,"")</f>
      </c>
      <c r="J53" t="s" s="792">
        <f>IF(VLOOKUP($E53,'BDD'!$A$2:$N$567,MATCH($H$23,'BDD'!$A$1:$P$1,0),FALSE)=J$24,J$24,"")</f>
      </c>
      <c r="K53" t="s" s="792">
        <f>IF(VLOOKUP($E53,'BDD'!$A$2:$N$567,MATCH($H$23,'BDD'!$A$1:$P$1,0),FALSE)=K$24,K$24,"")</f>
      </c>
      <c r="L53" t="s" s="783">
        <f>IF(VLOOKUP($E53,'BDD'!$A$2:$N$567,MATCH($H$23,'BDD'!$A$1:$P$1,0),FALSE)=L$24,L$24,"")</f>
      </c>
      <c r="M53" s="794">
        <f>IF(N53="Exigences partiellement respectées",1,IF(N53="Exigences respectées",2,0))</f>
        <v>0</v>
      </c>
      <c r="N53" t="s" s="791">
        <f>VLOOKUP(VLOOKUP(E53,'BDD'!$A$2:$P$428,15,FALSE),'Suppl'!$D$64:$E$68,2,FALSE)</f>
        <v>1751</v>
      </c>
      <c r="O53" s="795"/>
      <c r="P53" s="796"/>
      <c r="Q53" s="796"/>
      <c r="R53" s="796"/>
      <c r="S53" s="797">
        <f>IF(N53='Suppl'!$E$65,0,IF(N53='Suppl'!$E$66,1/2/(_xlfn.COUNTIFS($D1:$D100,D53,$N1:$N100,"Exigences"&amp;"*",G1:G100,"&lt;&gt;0")+_xlfn.COUNTIFS($D1:$D100,D53,$N1:$N100,"Non"&amp;"*",G1:G100,"&lt;&gt;0")),IF(N53='Suppl'!$E$67,1/(_xlfn.COUNTIFS($D1:$D100,D53,$N1:$N100,"Exigences"&amp;"*",G1:G100,"&lt;&gt;0")+_xlfn.COUNTIFS($D1:$D100,D53,$N1:$N100,"Non"&amp;"*",G1:G100,"&lt;&gt;0")),0)))</f>
        <v>0</v>
      </c>
      <c r="T53" s="797"/>
      <c r="U53" s="797"/>
      <c r="V53" s="798"/>
      <c r="W53" s="789">
        <f>_xlfn.IFERROR(IF(N53='Suppl'!$E$65,0,IF(N53='Suppl'!$E$66,1/2/(_xlfn.COUNTIFS($N1:$N100,"Exigences"&amp;"*")+_xlfn.COUNTIFS($N1:$N100,"Non"&amp;"*")),IF(N53='Suppl'!$E$67,1/(_xlfn.COUNTIFS($N1:$N100,"Exigences"&amp;"*")+_xlfn.COUNTIFS($N1:$N100,"Non"&amp;"*")),0))),0)</f>
        <v>0</v>
      </c>
      <c r="X53" s="586"/>
      <c r="Y53" s="586"/>
      <c r="Z53" s="586"/>
      <c r="AA53" s="586"/>
      <c r="AB53" s="586"/>
      <c r="AC53" s="586"/>
      <c r="AD53" s="586"/>
      <c r="AE53" s="586"/>
      <c r="AF53" s="586"/>
      <c r="AG53" s="586"/>
      <c r="AH53" s="888"/>
      <c r="AI53" s="585"/>
    </row>
    <row r="54" ht="55.2" customHeight="1">
      <c r="A54" s="887"/>
      <c r="B54" s="753"/>
      <c r="C54" t="s" s="754">
        <f>IF(LEFT(RIGHT($B$1,2),1)=" ",RIGHT($B$1,1),RIGHT($B$1,2))</f>
        <v>2051</v>
      </c>
      <c r="D54" s="755">
        <f>IF(LEFT(F54,5)="Bonne",D52+1,D53)</f>
        <v>4</v>
      </c>
      <c r="E54" t="s" s="778">
        <f>C54&amp;D54&amp;RIGHT(F54,1)</f>
        <v>2093</v>
      </c>
      <c r="F54" t="s" s="779">
        <v>1778</v>
      </c>
      <c r="G54" t="s" s="780">
        <f>VLOOKUP(E54,'BDD'!$A$2:$N$567,MATCH(G$24,'BDD'!$A$1:$P$1,0),FALSE)</f>
        <v>836</v>
      </c>
      <c r="H54" t="s" s="799">
        <f>IF(VLOOKUP($E54,'BDD'!$A$2:$N$567,MATCH($H$23,'BDD'!$A$1:$P$1,0),FALSE)=H$24,H$24,"")</f>
        <v>1966</v>
      </c>
      <c r="I54" t="s" s="792">
        <f>IF(VLOOKUP($E54,'BDD'!$A$2:$N$567,MATCH($H$23,'BDD'!$A$1:$P$1,0),FALSE)=I$24,I$24,"")</f>
      </c>
      <c r="J54" t="s" s="792">
        <f>IF(VLOOKUP($E54,'BDD'!$A$2:$N$567,MATCH($H$23,'BDD'!$A$1:$P$1,0),FALSE)=J$24,J$24,"")</f>
      </c>
      <c r="K54" t="s" s="792">
        <f>IF(VLOOKUP($E54,'BDD'!$A$2:$N$567,MATCH($H$23,'BDD'!$A$1:$P$1,0),FALSE)=K$24,K$24,"")</f>
      </c>
      <c r="L54" t="s" s="783">
        <f>IF(VLOOKUP($E54,'BDD'!$A$2:$N$567,MATCH($H$23,'BDD'!$A$1:$P$1,0),FALSE)=L$24,L$24,"")</f>
      </c>
      <c r="M54" s="800">
        <f>IF(N54="Exigences partiellement respectées",1,IF(N54="Exigences respectées",2,0))</f>
        <v>0</v>
      </c>
      <c r="N54" t="s" s="780">
        <f>VLOOKUP(VLOOKUP(E54,'BDD'!$A$2:$P$428,15,FALSE),'Suppl'!$D$64:$E$68,2,FALSE)</f>
        <v>1751</v>
      </c>
      <c r="O54" s="801"/>
      <c r="P54" s="802"/>
      <c r="Q54" s="802"/>
      <c r="R54" s="802"/>
      <c r="S54" s="803">
        <f>IF(N54='Suppl'!$E$65,0,IF(N54='Suppl'!$E$66,1/2/(_xlfn.COUNTIFS($D1:$D100,D54,$N1:$N100,"Exigences"&amp;"*",G1:G100,"&lt;&gt;0")+_xlfn.COUNTIFS($D1:$D100,D54,$N1:$N100,"Non"&amp;"*",G1:G100,"&lt;&gt;0")),IF(N54='Suppl'!$E$67,1/(_xlfn.COUNTIFS($D1:$D100,D54,$N1:$N100,"Exigences"&amp;"*",G1:G100,"&lt;&gt;0")+_xlfn.COUNTIFS($D1:$D100,D54,$N1:$N100,"Non"&amp;"*",G1:G100,"&lt;&gt;0")),0)))</f>
        <v>0</v>
      </c>
      <c r="T54" s="803"/>
      <c r="U54" s="803"/>
      <c r="V54" s="804"/>
      <c r="W54" s="789">
        <f>_xlfn.IFERROR(IF(N54='Suppl'!$E$65,0,IF(N54='Suppl'!$E$66,1/2/(_xlfn.COUNTIFS($N1:$N100,"Exigences"&amp;"*")+_xlfn.COUNTIFS($N1:$N100,"Non"&amp;"*")),IF(N54='Suppl'!$E$67,1/(_xlfn.COUNTIFS($N1:$N100,"Exigences"&amp;"*")+_xlfn.COUNTIFS($N1:$N100,"Non"&amp;"*")),0))),0)</f>
        <v>0</v>
      </c>
      <c r="X54" s="586"/>
      <c r="Y54" s="586"/>
      <c r="Z54" s="586"/>
      <c r="AA54" s="586"/>
      <c r="AB54" s="586"/>
      <c r="AC54" s="586"/>
      <c r="AD54" s="586"/>
      <c r="AE54" s="586"/>
      <c r="AF54" s="586"/>
      <c r="AG54" s="586"/>
      <c r="AH54" s="888"/>
      <c r="AI54" s="585"/>
    </row>
    <row r="55" ht="30" customHeight="1">
      <c r="A55" s="887"/>
      <c r="B55" s="753"/>
      <c r="C55" t="s" s="754">
        <f>IF(LEFT(RIGHT($B$1,2),1)=" ",RIGHT($B$1,1),RIGHT($B$1,2))</f>
        <v>2051</v>
      </c>
      <c r="D55" s="755">
        <f>IF(LEFT(F55,5)="Bonne",D53+1,D54)</f>
        <v>5</v>
      </c>
      <c r="E55" t="s" s="778">
        <f>C55&amp;D55&amp;RIGHT(F55,1)</f>
        <v>2094</v>
      </c>
      <c r="F55" t="s" s="757">
        <v>1814</v>
      </c>
      <c r="G55" t="s" s="758">
        <f>VLOOKUP(E57,'BDD'!$A$2:$N$567,6,FALSE)</f>
        <v>839</v>
      </c>
      <c r="H55" s="759"/>
      <c r="I55" s="760"/>
      <c r="J55" s="760"/>
      <c r="K55" s="760"/>
      <c r="L55" s="761"/>
      <c r="M55" s="762"/>
      <c r="N55" s="763"/>
      <c r="O55" s="764">
        <v>0</v>
      </c>
      <c r="P55" s="764"/>
      <c r="Q55" s="764"/>
      <c r="R55" s="764"/>
      <c r="S55" s="765">
        <f>_xlfn.SUMIFS(S1:S100,$D1:$D100,D55,$N1:$N100,"Exigences"&amp;"*")</f>
      </c>
      <c r="T55" s="765"/>
      <c r="U55" s="765"/>
      <c r="V55" s="766"/>
      <c r="W55" s="789">
        <f>_xlfn.IFERROR(IF(N55='Suppl'!$E$65,0,IF(N55='Suppl'!$E$66,1/2/(_xlfn.COUNTIFS($N1:$N100,"Exigences"&amp;"*")+_xlfn.COUNTIFS($N1:$N100,"Non"&amp;"*")),IF(N55='Suppl'!$E$67,1/(_xlfn.COUNTIFS($N1:$N100,"Exigences"&amp;"*")+_xlfn.COUNTIFS($N1:$N100,"Non"&amp;"*")),0))),0)</f>
        <v>0</v>
      </c>
      <c r="X55" s="586"/>
      <c r="Y55" s="586"/>
      <c r="Z55" s="586"/>
      <c r="AA55" s="586"/>
      <c r="AB55" s="586"/>
      <c r="AC55" s="586"/>
      <c r="AD55" s="586"/>
      <c r="AE55" s="586"/>
      <c r="AF55" s="586"/>
      <c r="AG55" s="586"/>
      <c r="AH55" s="888"/>
      <c r="AI55" s="585"/>
    </row>
    <row r="56" ht="30" customHeight="1">
      <c r="A56" s="887"/>
      <c r="B56" s="753"/>
      <c r="C56" t="s" s="754">
        <f>IF(LEFT(RIGHT($B$1,2),1)=" ",RIGHT($B$1,1),RIGHT($B$1,2))</f>
        <v>2051</v>
      </c>
      <c r="D56" s="755">
        <f>IF(LEFT(F56,5)="Bonne",D54+1,D55)</f>
        <v>5</v>
      </c>
      <c r="E56" t="s" s="778">
        <f>C56&amp;D56&amp;RIGHT(F56,1)</f>
        <v>2095</v>
      </c>
      <c r="F56" t="s" s="769">
        <v>1835</v>
      </c>
      <c r="G56" t="s" s="770">
        <f>VLOOKUP(E58,'BDD'!$A$2:$N$567,7,FALSE)</f>
        <v>2096</v>
      </c>
      <c r="H56" s="771"/>
      <c r="I56" s="771"/>
      <c r="J56" s="771"/>
      <c r="K56" s="771"/>
      <c r="L56" s="772"/>
      <c r="M56" s="773"/>
      <c r="N56" s="774"/>
      <c r="O56" s="775"/>
      <c r="P56" s="775"/>
      <c r="Q56" s="775"/>
      <c r="R56" s="775"/>
      <c r="S56" s="776"/>
      <c r="T56" s="776"/>
      <c r="U56" s="776"/>
      <c r="V56" s="777"/>
      <c r="W56" s="789">
        <f>_xlfn.IFERROR(IF(N56='Suppl'!$E$65,0,IF(N56='Suppl'!$E$66,1/2/(_xlfn.COUNTIFS($N1:$N100,"Exigences"&amp;"*")+_xlfn.COUNTIFS($N1:$N100,"Non"&amp;"*")),IF(N56='Suppl'!$E$67,1/(_xlfn.COUNTIFS($N1:$N100,"Exigences"&amp;"*")+_xlfn.COUNTIFS($N1:$N100,"Non"&amp;"*")),0))),0)</f>
        <v>0</v>
      </c>
      <c r="X56" s="586"/>
      <c r="Y56" s="586"/>
      <c r="Z56" s="586"/>
      <c r="AA56" s="586"/>
      <c r="AB56" s="586"/>
      <c r="AC56" s="586"/>
      <c r="AD56" s="586"/>
      <c r="AE56" s="586"/>
      <c r="AF56" s="586"/>
      <c r="AG56" s="586"/>
      <c r="AH56" s="888"/>
      <c r="AI56" s="585"/>
    </row>
    <row r="57" ht="41.4" customHeight="1">
      <c r="A57" s="887"/>
      <c r="B57" s="753"/>
      <c r="C57" t="s" s="754">
        <f>IF(LEFT(RIGHT($B$1,2),1)=" ",RIGHT($B$1,1),RIGHT($B$1,2))</f>
        <v>2051</v>
      </c>
      <c r="D57" s="755">
        <f>IF(LEFT(F57,5)="Bonne",D55+1,D56)</f>
        <v>5</v>
      </c>
      <c r="E57" t="s" s="778">
        <f>C57&amp;D57&amp;RIGHT(F57,1)</f>
        <v>2095</v>
      </c>
      <c r="F57" t="s" s="779">
        <v>1769</v>
      </c>
      <c r="G57" t="s" s="780">
        <f>VLOOKUP(E57,'BDD'!$A$2:$N$567,MATCH(G$24,'BDD'!$A$1:$P$1,0),FALSE)</f>
        <v>841</v>
      </c>
      <c r="H57" t="s" s="799">
        <f>IF(VLOOKUP($E57,'BDD'!$A$2:$N$567,MATCH($H$23,'BDD'!$A$1:$P$1,0),FALSE)=H$24,H$24,"")</f>
      </c>
      <c r="I57" t="s" s="792">
        <f>IF(VLOOKUP($E57,'BDD'!$A$2:$N$567,MATCH($H$23,'BDD'!$A$1:$P$1,0),FALSE)=I$24,I$24,"")</f>
      </c>
      <c r="J57" t="s" s="792">
        <f>IF(VLOOKUP($E57,'BDD'!$A$2:$N$567,MATCH($H$23,'BDD'!$A$1:$P$1,0),FALSE)=J$24,J$24,"")</f>
        <v>1967</v>
      </c>
      <c r="K57" t="s" s="792">
        <f>IF(VLOOKUP($E57,'BDD'!$A$2:$N$567,MATCH($H$23,'BDD'!$A$1:$P$1,0),FALSE)=K$24,K$24,"")</f>
      </c>
      <c r="L57" t="s" s="783">
        <f>IF(VLOOKUP($E57,'BDD'!$A$2:$N$567,MATCH($H$23,'BDD'!$A$1:$P$1,0),FALSE)=L$24,L$24,"")</f>
      </c>
      <c r="M57" s="784">
        <f>IF(N57="Exigences partiellement respectées",1,IF(N57="Exigences respectées",2,0))</f>
        <v>0</v>
      </c>
      <c r="N57" t="s" s="780">
        <f>VLOOKUP(VLOOKUP(E57,'BDD'!$A$2:$P$428,15,FALSE),'Suppl'!$D$64:$E$68,2,FALSE)</f>
        <v>1751</v>
      </c>
      <c r="O57" s="785"/>
      <c r="P57" s="786"/>
      <c r="Q57" s="786"/>
      <c r="R57" s="786"/>
      <c r="S57" s="787">
        <f>IF(N57='Suppl'!$E$65,0,IF(N57='Suppl'!$E$66,1/2/(_xlfn.COUNTIFS($D1:$D100,D57,$N1:$N100,"Exigences"&amp;"*",G1:G100,"&lt;&gt;0")+_xlfn.COUNTIFS($D1:$D100,D57,$N1:$N100,"Non"&amp;"*",G1:G100,"&lt;&gt;0")),IF(N57='Suppl'!$E$67,1/(_xlfn.COUNTIFS($D1:$D100,D57,$N1:$N100,"Exigences"&amp;"*",G1:G100,"&lt;&gt;0")+_xlfn.COUNTIFS($D1:$D100,D57,$N1:$N100,"Non"&amp;"*",G1:G100,"&lt;&gt;0")),0)))</f>
        <v>0</v>
      </c>
      <c r="T57" s="787"/>
      <c r="U57" s="787"/>
      <c r="V57" s="788"/>
      <c r="W57" s="789">
        <f>_xlfn.IFERROR(IF(N57='Suppl'!$E$65,0,IF(N57='Suppl'!$E$66,1/2/(_xlfn.COUNTIFS($N1:$N100,"Exigences"&amp;"*")+_xlfn.COUNTIFS($N1:$N100,"Non"&amp;"*")),IF(N57='Suppl'!$E$67,1/(_xlfn.COUNTIFS($N1:$N100,"Exigences"&amp;"*")+_xlfn.COUNTIFS($N1:$N100,"Non"&amp;"*")),0))),0)</f>
        <v>0</v>
      </c>
      <c r="X57" s="586"/>
      <c r="Y57" s="586"/>
      <c r="Z57" s="586"/>
      <c r="AA57" s="586"/>
      <c r="AB57" s="586"/>
      <c r="AC57" s="586"/>
      <c r="AD57" s="586"/>
      <c r="AE57" s="586"/>
      <c r="AF57" s="586"/>
      <c r="AG57" s="586"/>
      <c r="AH57" s="888"/>
      <c r="AI57" s="585"/>
    </row>
    <row r="58" ht="30" customHeight="1">
      <c r="A58" s="887"/>
      <c r="B58" s="753"/>
      <c r="C58" t="s" s="754">
        <f>IF(LEFT(RIGHT($B$1,2),1)=" ",RIGHT($B$1,1),RIGHT($B$1,2))</f>
        <v>2051</v>
      </c>
      <c r="D58" s="755">
        <f>IF(LEFT(F58,5)="Bonne",D56+1,D57)</f>
        <v>5</v>
      </c>
      <c r="E58" t="s" s="778">
        <f>C58&amp;D58&amp;RIGHT(F58,1)</f>
        <v>2097</v>
      </c>
      <c r="F58" t="s" s="790">
        <v>1837</v>
      </c>
      <c r="G58" t="s" s="791">
        <f>VLOOKUP(E58,'BDD'!$A$2:$N$567,MATCH(G$24,'BDD'!$A$1:$P$1,0),FALSE)</f>
        <v>843</v>
      </c>
      <c r="H58" t="s" s="799">
        <f>IF(VLOOKUP($E58,'BDD'!$A$2:$N$567,MATCH($H$23,'BDD'!$A$1:$P$1,0),FALSE)=H$24,H$24,"")</f>
      </c>
      <c r="I58" t="s" s="792">
        <f>IF(VLOOKUP($E58,'BDD'!$A$2:$N$567,MATCH($H$23,'BDD'!$A$1:$P$1,0),FALSE)=I$24,I$24,"")</f>
      </c>
      <c r="J58" t="s" s="792">
        <f>IF(VLOOKUP($E58,'BDD'!$A$2:$N$567,MATCH($H$23,'BDD'!$A$1:$P$1,0),FALSE)=J$24,J$24,"")</f>
        <v>1967</v>
      </c>
      <c r="K58" t="s" s="792">
        <f>IF(VLOOKUP($E58,'BDD'!$A$2:$N$567,MATCH($H$23,'BDD'!$A$1:$P$1,0),FALSE)=K$24,K$24,"")</f>
      </c>
      <c r="L58" t="s" s="783">
        <f>IF(VLOOKUP($E58,'BDD'!$A$2:$N$567,MATCH($H$23,'BDD'!$A$1:$P$1,0),FALSE)=L$24,L$24,"")</f>
      </c>
      <c r="M58" s="794">
        <f>IF(N58="Exigences partiellement respectées",1,IF(N58="Exigences respectées",2,0))</f>
        <v>0</v>
      </c>
      <c r="N58" t="s" s="791">
        <f>VLOOKUP(VLOOKUP(E58,'BDD'!$A$2:$P$428,15,FALSE),'Suppl'!$D$64:$E$68,2,FALSE)</f>
        <v>1751</v>
      </c>
      <c r="O58" s="795"/>
      <c r="P58" s="796"/>
      <c r="Q58" s="796"/>
      <c r="R58" s="796"/>
      <c r="S58" s="797">
        <f>IF(N58='Suppl'!$E$65,0,IF(N58='Suppl'!$E$66,1/2/(_xlfn.COUNTIFS($D1:$D100,D58,$N1:$N100,"Exigences"&amp;"*",G1:G100,"&lt;&gt;0")+_xlfn.COUNTIFS($D1:$D100,D58,$N1:$N100,"Non"&amp;"*",G1:G100,"&lt;&gt;0")),IF(N58='Suppl'!$E$67,1/(_xlfn.COUNTIFS($D1:$D100,D58,$N1:$N100,"Exigences"&amp;"*",G1:G100,"&lt;&gt;0")+_xlfn.COUNTIFS($D1:$D100,D58,$N1:$N100,"Non"&amp;"*",G1:G100,"&lt;&gt;0")),0)))</f>
        <v>0</v>
      </c>
      <c r="T58" s="797"/>
      <c r="U58" s="797"/>
      <c r="V58" s="798"/>
      <c r="W58" s="789">
        <f>_xlfn.IFERROR(IF(N58='Suppl'!$E$65,0,IF(N58='Suppl'!$E$66,1/2/(_xlfn.COUNTIFS($N1:$N100,"Exigences"&amp;"*")+_xlfn.COUNTIFS($N1:$N100,"Non"&amp;"*")),IF(N58='Suppl'!$E$67,1/(_xlfn.COUNTIFS($N1:$N100,"Exigences"&amp;"*")+_xlfn.COUNTIFS($N1:$N100,"Non"&amp;"*")),0))),0)</f>
        <v>0</v>
      </c>
      <c r="X58" s="586"/>
      <c r="Y58" s="586"/>
      <c r="Z58" s="586"/>
      <c r="AA58" s="586"/>
      <c r="AB58" s="586"/>
      <c r="AC58" s="586"/>
      <c r="AD58" s="586"/>
      <c r="AE58" s="586"/>
      <c r="AF58" s="586"/>
      <c r="AG58" s="586"/>
      <c r="AH58" s="888"/>
      <c r="AI58" s="585"/>
    </row>
    <row r="59" ht="30" customHeight="1">
      <c r="A59" s="887"/>
      <c r="B59" s="753"/>
      <c r="C59" t="s" s="754">
        <f>IF(LEFT(RIGHT($B$1,2),1)=" ",RIGHT($B$1,1),RIGHT($B$1,2))</f>
        <v>2051</v>
      </c>
      <c r="D59" s="755">
        <f>IF(LEFT(F59,5)="Bonne",D57+1,D58)</f>
        <v>5</v>
      </c>
      <c r="E59" t="s" s="778">
        <f>C59&amp;D59&amp;RIGHT(F59,1)</f>
        <v>2098</v>
      </c>
      <c r="F59" t="s" s="779">
        <v>1774</v>
      </c>
      <c r="G59" t="s" s="780">
        <f>VLOOKUP(E59,'BDD'!$A$2:$N$567,MATCH(G$24,'BDD'!$A$1:$P$1,0),FALSE)</f>
        <v>845</v>
      </c>
      <c r="H59" t="s" s="799">
        <f>IF(VLOOKUP($E59,'BDD'!$A$2:$N$567,MATCH($H$23,'BDD'!$A$1:$P$1,0),FALSE)=H$24,H$24,"")</f>
      </c>
      <c r="I59" t="s" s="792">
        <f>IF(VLOOKUP($E59,'BDD'!$A$2:$N$567,MATCH($H$23,'BDD'!$A$1:$P$1,0),FALSE)=I$24,I$24,"")</f>
      </c>
      <c r="J59" t="s" s="792">
        <f>IF(VLOOKUP($E59,'BDD'!$A$2:$N$567,MATCH($H$23,'BDD'!$A$1:$P$1,0),FALSE)=J$24,J$24,"")</f>
      </c>
      <c r="K59" t="s" s="792">
        <f>IF(VLOOKUP($E59,'BDD'!$A$2:$N$567,MATCH($H$23,'BDD'!$A$1:$P$1,0),FALSE)=K$24,K$24,"")</f>
        <v>1968</v>
      </c>
      <c r="L59" t="s" s="783">
        <f>IF(VLOOKUP($E59,'BDD'!$A$2:$N$567,MATCH($H$23,'BDD'!$A$1:$P$1,0),FALSE)=L$24,L$24,"")</f>
      </c>
      <c r="M59" s="794">
        <f>IF(N59="Exigences partiellement respectées",1,IF(N59="Exigences respectées",2,0))</f>
        <v>0</v>
      </c>
      <c r="N59" t="s" s="780">
        <f>VLOOKUP(VLOOKUP(E59,'BDD'!$A$2:$P$428,15,FALSE),'Suppl'!$D$64:$E$68,2,FALSE)</f>
        <v>1751</v>
      </c>
      <c r="O59" s="795"/>
      <c r="P59" s="796"/>
      <c r="Q59" s="796"/>
      <c r="R59" s="796"/>
      <c r="S59" s="797">
        <f>IF(N59='Suppl'!$E$65,0,IF(N59='Suppl'!$E$66,1/2/(_xlfn.COUNTIFS($D1:$D100,D59,$N1:$N100,"Exigences"&amp;"*",G1:G100,"&lt;&gt;0")+_xlfn.COUNTIFS($D1:$D100,D59,$N1:$N100,"Non"&amp;"*",G1:G100,"&lt;&gt;0")),IF(N59='Suppl'!$E$67,1/(_xlfn.COUNTIFS($D1:$D100,D59,$N1:$N100,"Exigences"&amp;"*",G1:G100,"&lt;&gt;0")+_xlfn.COUNTIFS($D1:$D100,D59,$N1:$N100,"Non"&amp;"*",G1:G100,"&lt;&gt;0")),0)))</f>
        <v>0</v>
      </c>
      <c r="T59" s="797"/>
      <c r="U59" s="797"/>
      <c r="V59" s="798"/>
      <c r="W59" s="789">
        <f>_xlfn.IFERROR(IF(N59='Suppl'!$E$65,0,IF(N59='Suppl'!$E$66,1/2/(_xlfn.COUNTIFS($N1:$N100,"Exigences"&amp;"*")+_xlfn.COUNTIFS($N1:$N100,"Non"&amp;"*")),IF(N59='Suppl'!$E$67,1/(_xlfn.COUNTIFS($N1:$N100,"Exigences"&amp;"*")+_xlfn.COUNTIFS($N1:$N100,"Non"&amp;"*")),0))),0)</f>
        <v>0</v>
      </c>
      <c r="X59" s="586"/>
      <c r="Y59" s="586"/>
      <c r="Z59" s="586"/>
      <c r="AA59" s="586"/>
      <c r="AB59" s="586"/>
      <c r="AC59" s="586"/>
      <c r="AD59" s="586"/>
      <c r="AE59" s="586"/>
      <c r="AF59" s="586"/>
      <c r="AG59" s="586"/>
      <c r="AH59" s="888"/>
      <c r="AI59" s="585"/>
    </row>
    <row r="60" ht="30" customHeight="1">
      <c r="A60" s="887"/>
      <c r="B60" s="753"/>
      <c r="C60" t="s" s="754">
        <f>IF(LEFT(RIGHT($B$1,2),1)=" ",RIGHT($B$1,1),RIGHT($B$1,2))</f>
        <v>2051</v>
      </c>
      <c r="D60" s="755">
        <f>IF(LEFT(F60,5)="Bonne",D58+1,D59)</f>
        <v>5</v>
      </c>
      <c r="E60" t="s" s="778">
        <f>C60&amp;D60&amp;RIGHT(F60,1)</f>
        <v>2099</v>
      </c>
      <c r="F60" t="s" s="790">
        <v>1776</v>
      </c>
      <c r="G60" t="s" s="791">
        <f>VLOOKUP(E60,'BDD'!$A$2:$N$567,MATCH(G$24,'BDD'!$A$1:$P$1,0),FALSE)</f>
        <v>847</v>
      </c>
      <c r="H60" t="s" s="799">
        <f>IF(VLOOKUP($E60,'BDD'!$A$2:$N$567,MATCH($H$23,'BDD'!$A$1:$P$1,0),FALSE)=H$24,H$24,"")</f>
      </c>
      <c r="I60" t="s" s="792">
        <f>IF(VLOOKUP($E60,'BDD'!$A$2:$N$567,MATCH($H$23,'BDD'!$A$1:$P$1,0),FALSE)=I$24,I$24,"")</f>
      </c>
      <c r="J60" t="s" s="792">
        <f>IF(VLOOKUP($E60,'BDD'!$A$2:$N$567,MATCH($H$23,'BDD'!$A$1:$P$1,0),FALSE)=J$24,J$24,"")</f>
      </c>
      <c r="K60" t="s" s="792">
        <f>IF(VLOOKUP($E60,'BDD'!$A$2:$N$567,MATCH($H$23,'BDD'!$A$1:$P$1,0),FALSE)=K$24,K$24,"")</f>
        <v>1968</v>
      </c>
      <c r="L60" t="s" s="783">
        <f>IF(VLOOKUP($E60,'BDD'!$A$2:$N$567,MATCH($H$23,'BDD'!$A$1:$P$1,0),FALSE)=L$24,L$24,"")</f>
      </c>
      <c r="M60" s="794">
        <f>IF(N60="Exigences partiellement respectées",1,IF(N60="Exigences respectées",2,0))</f>
        <v>0</v>
      </c>
      <c r="N60" t="s" s="791">
        <f>VLOOKUP(VLOOKUP(E60,'BDD'!$A$2:$P$428,15,FALSE),'Suppl'!$D$64:$E$68,2,FALSE)</f>
        <v>1751</v>
      </c>
      <c r="O60" s="795"/>
      <c r="P60" s="796"/>
      <c r="Q60" s="796"/>
      <c r="R60" s="796"/>
      <c r="S60" s="797">
        <f>IF(N60='Suppl'!$E$65,0,IF(N60='Suppl'!$E$66,1/2/(_xlfn.COUNTIFS($D1:$D100,D60,$N1:$N100,"Exigences"&amp;"*",G1:G100,"&lt;&gt;0")+_xlfn.COUNTIFS($D1:$D100,D60,$N1:$N100,"Non"&amp;"*",G1:G100,"&lt;&gt;0")),IF(N60='Suppl'!$E$67,1/(_xlfn.COUNTIFS($D1:$D100,D60,$N1:$N100,"Exigences"&amp;"*",G1:G100,"&lt;&gt;0")+_xlfn.COUNTIFS($D1:$D100,D60,$N1:$N100,"Non"&amp;"*",G1:G100,"&lt;&gt;0")),0)))</f>
        <v>0</v>
      </c>
      <c r="T60" s="797"/>
      <c r="U60" s="797"/>
      <c r="V60" s="798"/>
      <c r="W60" s="789">
        <f>_xlfn.IFERROR(IF(N60='Suppl'!$E$65,0,IF(N60='Suppl'!$E$66,1/2/(_xlfn.COUNTIFS($N1:$N100,"Exigences"&amp;"*")+_xlfn.COUNTIFS($N1:$N100,"Non"&amp;"*")),IF(N60='Suppl'!$E$67,1/(_xlfn.COUNTIFS($N1:$N100,"Exigences"&amp;"*")+_xlfn.COUNTIFS($N1:$N100,"Non"&amp;"*")),0))),0)</f>
        <v>0</v>
      </c>
      <c r="X60" s="586"/>
      <c r="Y60" s="586"/>
      <c r="Z60" s="586"/>
      <c r="AA60" s="586"/>
      <c r="AB60" s="586"/>
      <c r="AC60" s="586"/>
      <c r="AD60" s="586"/>
      <c r="AE60" s="586"/>
      <c r="AF60" s="586"/>
      <c r="AG60" s="586"/>
      <c r="AH60" s="888"/>
      <c r="AI60" s="585"/>
    </row>
    <row r="61" ht="47.4" customHeight="1">
      <c r="A61" s="887"/>
      <c r="B61" s="753"/>
      <c r="C61" t="s" s="754">
        <f>IF(LEFT(RIGHT($B$1,2),1)=" ",RIGHT($B$1,1),RIGHT($B$1,2))</f>
        <v>2051</v>
      </c>
      <c r="D61" s="755">
        <f>IF(LEFT(F61,5)="Bonne",D59+1,D60)</f>
        <v>5</v>
      </c>
      <c r="E61" t="s" s="778">
        <f>C61&amp;D61&amp;RIGHT(F61,1)</f>
        <v>2094</v>
      </c>
      <c r="F61" t="s" s="779">
        <v>1778</v>
      </c>
      <c r="G61" t="s" s="780">
        <f>VLOOKUP(E61,'BDD'!$A$2:$N$567,MATCH(G$24,'BDD'!$A$1:$P$1,0),FALSE)</f>
        <v>849</v>
      </c>
      <c r="H61" t="s" s="799">
        <f>IF(VLOOKUP($E61,'BDD'!$A$2:$N$567,MATCH($H$23,'BDD'!$A$1:$P$1,0),FALSE)=H$24,H$24,"")</f>
      </c>
      <c r="I61" t="s" s="792">
        <f>IF(VLOOKUP($E61,'BDD'!$A$2:$N$567,MATCH($H$23,'BDD'!$A$1:$P$1,0),FALSE)=I$24,I$24,"")</f>
      </c>
      <c r="J61" t="s" s="792">
        <f>IF(VLOOKUP($E61,'BDD'!$A$2:$N$567,MATCH($H$23,'BDD'!$A$1:$P$1,0),FALSE)=J$24,J$24,"")</f>
      </c>
      <c r="K61" t="s" s="792">
        <f>IF(VLOOKUP($E61,'BDD'!$A$2:$N$567,MATCH($H$23,'BDD'!$A$1:$P$1,0),FALSE)=K$24,K$24,"")</f>
        <v>1968</v>
      </c>
      <c r="L61" t="s" s="783">
        <f>IF(VLOOKUP($E61,'BDD'!$A$2:$N$567,MATCH($H$23,'BDD'!$A$1:$P$1,0),FALSE)=L$24,L$24,"")</f>
      </c>
      <c r="M61" s="794">
        <f>IF(N61="Exigences partiellement respectées",1,IF(N61="Exigences respectées",2,0))</f>
        <v>0</v>
      </c>
      <c r="N61" t="s" s="780">
        <f>VLOOKUP(VLOOKUP(E61,'BDD'!$A$2:$P$428,15,FALSE),'Suppl'!$D$64:$E$68,2,FALSE)</f>
        <v>1751</v>
      </c>
      <c r="O61" s="795"/>
      <c r="P61" s="796"/>
      <c r="Q61" s="796"/>
      <c r="R61" s="796"/>
      <c r="S61" s="797">
        <f>IF(N61='Suppl'!$E$65,0,IF(N61='Suppl'!$E$66,1/2/(_xlfn.COUNTIFS($D1:$D100,D61,$N1:$N100,"Exigences"&amp;"*",G1:G100,"&lt;&gt;0")+_xlfn.COUNTIFS($D1:$D100,D61,$N1:$N100,"Non"&amp;"*",G1:G100,"&lt;&gt;0")),IF(N61='Suppl'!$E$67,1/(_xlfn.COUNTIFS($D1:$D100,D61,$N1:$N100,"Exigences"&amp;"*",G1:G100,"&lt;&gt;0")+_xlfn.COUNTIFS($D1:$D100,D61,$N1:$N100,"Non"&amp;"*",G1:G100,"&lt;&gt;0")),0)))</f>
        <v>0</v>
      </c>
      <c r="T61" s="797"/>
      <c r="U61" s="797"/>
      <c r="V61" s="798"/>
      <c r="W61" s="789">
        <f>_xlfn.IFERROR(IF(N61='Suppl'!$E$65,0,IF(N61='Suppl'!$E$66,1/2/(_xlfn.COUNTIFS($N1:$N100,"Exigences"&amp;"*")+_xlfn.COUNTIFS($N1:$N100,"Non"&amp;"*")),IF(N61='Suppl'!$E$67,1/(_xlfn.COUNTIFS($N1:$N100,"Exigences"&amp;"*")+_xlfn.COUNTIFS($N1:$N100,"Non"&amp;"*")),0))),0)</f>
        <v>0</v>
      </c>
      <c r="X61" s="586"/>
      <c r="Y61" s="586"/>
      <c r="Z61" s="586"/>
      <c r="AA61" s="586"/>
      <c r="AB61" s="586"/>
      <c r="AC61" s="586"/>
      <c r="AD61" s="586"/>
      <c r="AE61" s="586"/>
      <c r="AF61" s="586"/>
      <c r="AG61" s="586"/>
      <c r="AH61" s="888"/>
      <c r="AI61" s="585"/>
    </row>
    <row r="62" ht="30" customHeight="1">
      <c r="A62" s="887"/>
      <c r="B62" s="753"/>
      <c r="C62" t="s" s="754">
        <f>IF(LEFT(RIGHT($B$1,2),1)=" ",RIGHT($B$1,1),RIGHT($B$1,2))</f>
        <v>2051</v>
      </c>
      <c r="D62" s="755">
        <f>IF(LEFT(F62,5)="Bonne",D60+1,D61)</f>
        <v>5</v>
      </c>
      <c r="E62" t="s" s="778">
        <f>C62&amp;D62&amp;RIGHT(F62,1)</f>
        <v>2100</v>
      </c>
      <c r="F62" t="s" s="790">
        <v>1780</v>
      </c>
      <c r="G62" t="s" s="791">
        <f>VLOOKUP(E62,'BDD'!$A$2:$N$567,MATCH(G$24,'BDD'!$A$1:$P$1,0),FALSE)</f>
        <v>851</v>
      </c>
      <c r="H62" t="s" s="799">
        <f>IF(VLOOKUP($E62,'BDD'!$A$2:$N$567,MATCH($H$23,'BDD'!$A$1:$P$1,0),FALSE)=H$24,H$24,"")</f>
      </c>
      <c r="I62" t="s" s="792">
        <f>IF(VLOOKUP($E62,'BDD'!$A$2:$N$567,MATCH($H$23,'BDD'!$A$1:$P$1,0),FALSE)=I$24,I$24,"")</f>
        <v>1969</v>
      </c>
      <c r="J62" t="s" s="792">
        <f>IF(VLOOKUP($E62,'BDD'!$A$2:$N$567,MATCH($H$23,'BDD'!$A$1:$P$1,0),FALSE)=J$24,J$24,"")</f>
      </c>
      <c r="K62" t="s" s="792">
        <f>IF(VLOOKUP($E62,'BDD'!$A$2:$N$567,MATCH($H$23,'BDD'!$A$1:$P$1,0),FALSE)=K$24,K$24,"")</f>
      </c>
      <c r="L62" t="s" s="783">
        <f>IF(VLOOKUP($E62,'BDD'!$A$2:$N$567,MATCH($H$23,'BDD'!$A$1:$P$1,0),FALSE)=L$24,L$24,"")</f>
      </c>
      <c r="M62" s="794">
        <f>IF(N62="Exigences partiellement respectées",1,IF(N62="Exigences respectées",2,0))</f>
        <v>0</v>
      </c>
      <c r="N62" t="s" s="980">
        <f>VLOOKUP(VLOOKUP(E62,'BDD'!$A$2:$P$428,15,FALSE),'Suppl'!$D$64:$E$68,2,FALSE)</f>
        <v>1751</v>
      </c>
      <c r="O62" s="795"/>
      <c r="P62" s="796"/>
      <c r="Q62" s="796"/>
      <c r="R62" s="796"/>
      <c r="S62" s="797">
        <f>IF(N62='Suppl'!$E$65,0,IF(N62='Suppl'!$E$66,1/2/(_xlfn.COUNTIFS($D1:$D100,D62,$N1:$N100,"Exigences"&amp;"*",G1:G100,"&lt;&gt;0")+_xlfn.COUNTIFS($D1:$D100,D62,$N1:$N100,"Non"&amp;"*",G1:G100,"&lt;&gt;0")),IF(N62='Suppl'!$E$67,1/(_xlfn.COUNTIFS($D1:$D100,D62,$N1:$N100,"Exigences"&amp;"*",G1:G100,"&lt;&gt;0")+_xlfn.COUNTIFS($D1:$D100,D62,$N1:$N100,"Non"&amp;"*",G1:G100,"&lt;&gt;0")),0)))</f>
        <v>0</v>
      </c>
      <c r="T62" s="797"/>
      <c r="U62" s="797"/>
      <c r="V62" s="798"/>
      <c r="W62" s="789">
        <f>_xlfn.IFERROR(IF(N62='Suppl'!$E$65,0,IF(N62='Suppl'!$E$66,1/2/(_xlfn.COUNTIFS($N1:$N100,"Exigences"&amp;"*")+_xlfn.COUNTIFS($N1:$N100,"Non"&amp;"*")),IF(N62='Suppl'!$E$67,1/(_xlfn.COUNTIFS($N1:$N100,"Exigences"&amp;"*")+_xlfn.COUNTIFS($N1:$N100,"Non"&amp;"*")),0))),0)</f>
        <v>0</v>
      </c>
      <c r="X62" s="586"/>
      <c r="Y62" s="586"/>
      <c r="Z62" s="586"/>
      <c r="AA62" s="586"/>
      <c r="AB62" s="586"/>
      <c r="AC62" s="586"/>
      <c r="AD62" s="586"/>
      <c r="AE62" s="586"/>
      <c r="AF62" s="586"/>
      <c r="AG62" s="586"/>
      <c r="AH62" s="888"/>
      <c r="AI62" s="585"/>
    </row>
    <row r="63" ht="30" customHeight="1">
      <c r="A63" s="887"/>
      <c r="B63" s="753"/>
      <c r="C63" t="s" s="754">
        <f>IF(LEFT(RIGHT($B$1,2),1)=" ",RIGHT($B$1,1),RIGHT($B$1,2))</f>
        <v>2051</v>
      </c>
      <c r="D63" s="755">
        <f>IF(LEFT(F63,5)="Bonne",D61+1,D62)</f>
        <v>5</v>
      </c>
      <c r="E63" t="s" s="778">
        <f>C63&amp;D63&amp;RIGHT(F63,1)</f>
        <v>2101</v>
      </c>
      <c r="F63" t="s" s="779">
        <v>1782</v>
      </c>
      <c r="G63" t="s" s="780">
        <f>VLOOKUP(E63,'BDD'!$A$2:$N$567,MATCH(G$24,'BDD'!$A$1:$P$1,0),FALSE)</f>
        <v>853</v>
      </c>
      <c r="H63" t="s" s="799">
        <f>IF(VLOOKUP($E63,'BDD'!$A$2:$N$567,MATCH($H$23,'BDD'!$A$1:$P$1,0),FALSE)=H$24,H$24,"")</f>
      </c>
      <c r="I63" t="s" s="792">
        <f>IF(VLOOKUP($E63,'BDD'!$A$2:$N$567,MATCH($H$23,'BDD'!$A$1:$P$1,0),FALSE)=I$24,I$24,"")</f>
      </c>
      <c r="J63" t="s" s="792">
        <f>IF(VLOOKUP($E63,'BDD'!$A$2:$N$567,MATCH($H$23,'BDD'!$A$1:$P$1,0),FALSE)=J$24,J$24,"")</f>
      </c>
      <c r="K63" t="s" s="792">
        <f>IF(VLOOKUP($E63,'BDD'!$A$2:$N$567,MATCH($H$23,'BDD'!$A$1:$P$1,0),FALSE)=K$24,K$24,"")</f>
      </c>
      <c r="L63" t="s" s="783">
        <f>IF(VLOOKUP($E63,'BDD'!$A$2:$N$567,MATCH($H$23,'BDD'!$A$1:$P$1,0),FALSE)=L$24,L$24,"")</f>
        <v>1985</v>
      </c>
      <c r="M63" s="794">
        <f>IF(N63="Exigences partiellement respectées",1,IF(N63="Exigences respectées",2,0))</f>
        <v>0</v>
      </c>
      <c r="N63" t="s" s="780">
        <f>VLOOKUP(VLOOKUP(E63,'BDD'!$A$2:$P$428,15,FALSE),'Suppl'!$D$64:$E$68,2,FALSE)</f>
        <v>1751</v>
      </c>
      <c r="O63" s="863"/>
      <c r="P63" s="864"/>
      <c r="Q63" s="864"/>
      <c r="R63" s="864"/>
      <c r="S63" s="815">
        <f>IF(N63='Suppl'!$E$65,0,IF(N63='Suppl'!$E$66,1/2/(_xlfn.COUNTIFS($D1:$D100,D63,$N1:$N100,"Exigences"&amp;"*",G1:G100,"&lt;&gt;0")+_xlfn.COUNTIFS($D1:$D100,D63,$N1:$N100,"Non"&amp;"*",G1:G100,"&lt;&gt;0")),IF(N63='Suppl'!$E$67,1/(_xlfn.COUNTIFS($D1:$D100,D63,$N1:$N100,"Exigences"&amp;"*",G1:G100,"&lt;&gt;0")+_xlfn.COUNTIFS($D1:$D100,D63,$N1:$N100,"Non"&amp;"*",G1:G100,"&lt;&gt;0")),0)))</f>
        <v>0</v>
      </c>
      <c r="T63" s="815"/>
      <c r="U63" s="815"/>
      <c r="V63" s="816"/>
      <c r="W63" s="789">
        <f>_xlfn.IFERROR(IF(N63='Suppl'!$E$65,0,IF(N63='Suppl'!$E$66,1/2/(_xlfn.COUNTIFS($N1:$N100,"Exigences"&amp;"*")+_xlfn.COUNTIFS($N1:$N100,"Non"&amp;"*")),IF(N63='Suppl'!$E$67,1/(_xlfn.COUNTIFS($N1:$N100,"Exigences"&amp;"*")+_xlfn.COUNTIFS($N1:$N100,"Non"&amp;"*")),0))),0)</f>
        <v>0</v>
      </c>
      <c r="X63" s="586"/>
      <c r="Y63" s="586"/>
      <c r="Z63" s="586"/>
      <c r="AA63" s="586"/>
      <c r="AB63" s="586"/>
      <c r="AC63" s="586"/>
      <c r="AD63" s="586"/>
      <c r="AE63" s="586"/>
      <c r="AF63" s="586"/>
      <c r="AG63" s="586"/>
      <c r="AH63" s="888"/>
      <c r="AI63" s="585"/>
    </row>
    <row r="64" ht="30" customHeight="1">
      <c r="A64" s="887"/>
      <c r="B64" s="586"/>
      <c r="C64" s="586"/>
      <c r="D64" s="587"/>
      <c r="E64" s="587"/>
      <c r="F64" s="817"/>
      <c r="G64" s="818"/>
      <c r="H64" s="818"/>
      <c r="I64" s="818"/>
      <c r="J64" s="818"/>
      <c r="K64" s="818"/>
      <c r="L64" s="818"/>
      <c r="M64" s="102"/>
      <c r="N64" s="817"/>
      <c r="O64" s="819"/>
      <c r="P64" s="819"/>
      <c r="Q64" s="819"/>
      <c r="R64" s="819"/>
      <c r="S64" s="819"/>
      <c r="T64" s="819"/>
      <c r="U64" s="819"/>
      <c r="V64" s="819"/>
      <c r="W64" s="588"/>
      <c r="X64" s="586"/>
      <c r="Y64" s="586"/>
      <c r="Z64" s="586"/>
      <c r="AA64" s="586"/>
      <c r="AB64" s="586"/>
      <c r="AC64" s="586"/>
      <c r="AD64" s="586"/>
      <c r="AE64" s="586"/>
      <c r="AF64" s="586"/>
      <c r="AG64" s="586"/>
      <c r="AH64" s="888"/>
      <c r="AI64" s="585"/>
    </row>
    <row r="65" ht="30" customHeight="1">
      <c r="A65" t="s" s="981">
        <v>171</v>
      </c>
      <c r="B65" s="888"/>
      <c r="C65" s="888"/>
      <c r="D65" s="888"/>
      <c r="E65" s="888"/>
      <c r="F65" s="888"/>
      <c r="G65" s="923"/>
      <c r="H65" s="923"/>
      <c r="I65" s="923"/>
      <c r="J65" s="923"/>
      <c r="K65" s="923"/>
      <c r="L65" s="923"/>
      <c r="M65" s="923"/>
      <c r="N65" s="888"/>
      <c r="O65" s="888"/>
      <c r="P65" s="888"/>
      <c r="Q65" s="888"/>
      <c r="R65" s="888"/>
      <c r="S65" s="888"/>
      <c r="T65" s="888"/>
      <c r="U65" s="888"/>
      <c r="V65" s="888"/>
      <c r="W65" s="982"/>
      <c r="X65" s="888"/>
      <c r="Y65" s="888"/>
      <c r="Z65" s="888"/>
      <c r="AA65" s="888"/>
      <c r="AB65" s="888"/>
      <c r="AC65" s="888"/>
      <c r="AD65" s="888"/>
      <c r="AE65" s="888"/>
      <c r="AF65" s="888"/>
      <c r="AG65" s="888"/>
      <c r="AH65" t="s" s="983">
        <v>171</v>
      </c>
      <c r="AI65" s="585"/>
    </row>
    <row r="66" ht="14.4" customHeight="1">
      <c r="A66" s="822"/>
      <c r="B66" s="25"/>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823"/>
    </row>
    <row r="67" ht="14.4" customHeight="1">
      <c r="A67" s="822"/>
      <c r="B67" s="25"/>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823"/>
    </row>
    <row r="68" ht="14.4" customHeight="1">
      <c r="A68" s="822"/>
      <c r="B68" s="25"/>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823"/>
    </row>
    <row r="69" ht="14.4" customHeight="1">
      <c r="A69" s="822"/>
      <c r="B69" s="25"/>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823"/>
    </row>
    <row r="70" ht="14.4" customHeight="1">
      <c r="A70" s="822"/>
      <c r="B70" s="25"/>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823"/>
    </row>
    <row r="71" ht="14.4" customHeight="1">
      <c r="A71" s="822"/>
      <c r="B71" s="25"/>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823"/>
    </row>
    <row r="72" ht="14.4" customHeight="1">
      <c r="A72" s="822"/>
      <c r="B72" s="25"/>
      <c r="C72" s="25"/>
      <c r="D72" s="25"/>
      <c r="E72" s="25"/>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823"/>
    </row>
    <row r="73" ht="14.4" customHeight="1">
      <c r="A73" s="822"/>
      <c r="B73" s="25"/>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823"/>
    </row>
    <row r="74" ht="14.4" customHeight="1">
      <c r="A74" s="822"/>
      <c r="B74" s="25"/>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823"/>
    </row>
    <row r="75" ht="14.4" customHeight="1">
      <c r="A75" s="822"/>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823"/>
    </row>
    <row r="76" ht="14.4" customHeight="1">
      <c r="A76" s="822"/>
      <c r="B76" s="25"/>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823"/>
    </row>
    <row r="77" ht="14.4" customHeight="1">
      <c r="A77" s="822"/>
      <c r="B77" s="25"/>
      <c r="C77" s="25"/>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823"/>
    </row>
    <row r="78" ht="14.4" customHeight="1">
      <c r="A78" s="822"/>
      <c r="B78" s="25"/>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823"/>
    </row>
    <row r="79" ht="14.4" customHeight="1">
      <c r="A79" s="822"/>
      <c r="B79" s="25"/>
      <c r="C79" s="25"/>
      <c r="D79" s="25"/>
      <c r="E79" s="25"/>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823"/>
    </row>
    <row r="80" ht="14.4" customHeight="1">
      <c r="A80" s="822"/>
      <c r="B80" s="25"/>
      <c r="C80" s="25"/>
      <c r="D80" s="25"/>
      <c r="E80" s="25"/>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823"/>
    </row>
    <row r="81" ht="14.4" customHeight="1">
      <c r="A81" s="822"/>
      <c r="B81" s="25"/>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823"/>
    </row>
    <row r="82" ht="14.4" customHeight="1">
      <c r="A82" s="822"/>
      <c r="B82" s="25"/>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823"/>
    </row>
    <row r="83" ht="14.4" customHeight="1">
      <c r="A83" s="822"/>
      <c r="B83" s="25"/>
      <c r="C83" s="25"/>
      <c r="D83" s="25"/>
      <c r="E83" s="25"/>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c r="AH83" s="25"/>
      <c r="AI83" s="823"/>
    </row>
    <row r="84" ht="14.4" customHeight="1">
      <c r="A84" s="822"/>
      <c r="B84" s="25"/>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823"/>
    </row>
    <row r="85" ht="14.4" customHeight="1">
      <c r="A85" s="822"/>
      <c r="B85" s="25"/>
      <c r="C85" s="25"/>
      <c r="D85" s="25"/>
      <c r="E85" s="25"/>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823"/>
    </row>
    <row r="86" ht="14.4" customHeight="1">
      <c r="A86" s="822"/>
      <c r="B86" s="25"/>
      <c r="C86" s="25"/>
      <c r="D86" s="25"/>
      <c r="E86" s="25"/>
      <c r="F86" s="2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823"/>
    </row>
    <row r="87" ht="14.4" customHeight="1">
      <c r="A87" s="822"/>
      <c r="B87" s="25"/>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823"/>
    </row>
    <row r="88" ht="14.4" customHeight="1">
      <c r="A88" s="822"/>
      <c r="B88" s="25"/>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823"/>
    </row>
    <row r="89" ht="14.4" customHeight="1">
      <c r="A89" s="822"/>
      <c r="B89" s="25"/>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823"/>
    </row>
    <row r="90" ht="14.4" customHeight="1">
      <c r="A90" s="822"/>
      <c r="B90" s="25"/>
      <c r="C90" s="25"/>
      <c r="D90" s="25"/>
      <c r="E90" s="25"/>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823"/>
    </row>
    <row r="91" ht="14.4" customHeight="1">
      <c r="A91" s="822"/>
      <c r="B91" s="25"/>
      <c r="C91" s="25"/>
      <c r="D91" s="25"/>
      <c r="E91" s="25"/>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823"/>
    </row>
    <row r="92" ht="14.4" customHeight="1">
      <c r="A92" s="822"/>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823"/>
    </row>
    <row r="93" ht="14.4" customHeight="1">
      <c r="A93" s="822"/>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823"/>
    </row>
    <row r="94" ht="14.4" customHeight="1">
      <c r="A94" s="822"/>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823"/>
    </row>
    <row r="95" ht="14.4" customHeight="1">
      <c r="A95" s="822"/>
      <c r="B95" s="25"/>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823"/>
    </row>
    <row r="96" ht="14.4" customHeight="1">
      <c r="A96" s="822"/>
      <c r="B96" s="25"/>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823"/>
    </row>
    <row r="97" ht="14.4" customHeight="1">
      <c r="A97" s="822"/>
      <c r="B97" s="25"/>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823"/>
    </row>
    <row r="98" ht="14.4" customHeight="1">
      <c r="A98" s="822"/>
      <c r="B98" s="25"/>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823"/>
    </row>
    <row r="99" ht="14.4" customHeight="1">
      <c r="A99" s="822"/>
      <c r="B99" s="25"/>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823"/>
    </row>
    <row r="100" ht="14.4" customHeight="1">
      <c r="A100" s="824"/>
      <c r="B100" s="825"/>
      <c r="C100" s="825"/>
      <c r="D100" s="825"/>
      <c r="E100" s="825"/>
      <c r="F100" s="825"/>
      <c r="G100" s="825"/>
      <c r="H100" s="825"/>
      <c r="I100" s="825"/>
      <c r="J100" s="825"/>
      <c r="K100" s="825"/>
      <c r="L100" s="825"/>
      <c r="M100" s="825"/>
      <c r="N100" s="825"/>
      <c r="O100" s="825"/>
      <c r="P100" s="825"/>
      <c r="Q100" s="825"/>
      <c r="R100" s="825"/>
      <c r="S100" s="825"/>
      <c r="T100" s="825"/>
      <c r="U100" s="825"/>
      <c r="V100" s="825"/>
      <c r="W100" s="825"/>
      <c r="X100" s="825"/>
      <c r="Y100" s="825"/>
      <c r="Z100" s="825"/>
      <c r="AA100" s="825"/>
      <c r="AB100" s="825"/>
      <c r="AC100" s="825"/>
      <c r="AD100" s="825"/>
      <c r="AE100" s="825"/>
      <c r="AF100" s="825"/>
      <c r="AG100" s="825"/>
      <c r="AH100" s="825"/>
      <c r="AI100" s="826"/>
    </row>
  </sheetData>
  <mergeCells count="75">
    <mergeCell ref="G26:N26"/>
    <mergeCell ref="O61:R61"/>
    <mergeCell ref="S61:V61"/>
    <mergeCell ref="O62:R62"/>
    <mergeCell ref="S62:V62"/>
    <mergeCell ref="O55:R56"/>
    <mergeCell ref="S55:V56"/>
    <mergeCell ref="O57:R57"/>
    <mergeCell ref="S57:V57"/>
    <mergeCell ref="O53:R53"/>
    <mergeCell ref="S53:V53"/>
    <mergeCell ref="O54:R54"/>
    <mergeCell ref="S54:V54"/>
    <mergeCell ref="O50:R50"/>
    <mergeCell ref="S50:V50"/>
    <mergeCell ref="O51:R51"/>
    <mergeCell ref="O63:R63"/>
    <mergeCell ref="S63:V63"/>
    <mergeCell ref="O58:R58"/>
    <mergeCell ref="S58:V58"/>
    <mergeCell ref="O59:R59"/>
    <mergeCell ref="S59:V59"/>
    <mergeCell ref="O60:R60"/>
    <mergeCell ref="S60:V60"/>
    <mergeCell ref="S51:V51"/>
    <mergeCell ref="O52:R52"/>
    <mergeCell ref="S52:V52"/>
    <mergeCell ref="O48:R49"/>
    <mergeCell ref="S48:V49"/>
    <mergeCell ref="O45:R45"/>
    <mergeCell ref="S45:V45"/>
    <mergeCell ref="O46:R46"/>
    <mergeCell ref="S46:V46"/>
    <mergeCell ref="O47:R47"/>
    <mergeCell ref="S47:V47"/>
    <mergeCell ref="O41:R42"/>
    <mergeCell ref="S41:V42"/>
    <mergeCell ref="O43:R43"/>
    <mergeCell ref="S43:V43"/>
    <mergeCell ref="O44:R44"/>
    <mergeCell ref="S44:V44"/>
    <mergeCell ref="O38:R38"/>
    <mergeCell ref="S38:V38"/>
    <mergeCell ref="O39:R39"/>
    <mergeCell ref="S39:V39"/>
    <mergeCell ref="O40:R40"/>
    <mergeCell ref="S40:V40"/>
    <mergeCell ref="O35:R35"/>
    <mergeCell ref="S35:V35"/>
    <mergeCell ref="O36:R36"/>
    <mergeCell ref="S36:V36"/>
    <mergeCell ref="O37:R37"/>
    <mergeCell ref="S37:V37"/>
    <mergeCell ref="O32:R33"/>
    <mergeCell ref="S32:V33"/>
    <mergeCell ref="O34:R34"/>
    <mergeCell ref="S34:V34"/>
    <mergeCell ref="O30:R30"/>
    <mergeCell ref="S30:V30"/>
    <mergeCell ref="O31:R31"/>
    <mergeCell ref="S31:V31"/>
    <mergeCell ref="O27:R27"/>
    <mergeCell ref="S27:V27"/>
    <mergeCell ref="O28:R28"/>
    <mergeCell ref="S28:V28"/>
    <mergeCell ref="O29:R29"/>
    <mergeCell ref="S29:V29"/>
    <mergeCell ref="O25:R26"/>
    <mergeCell ref="S25:V26"/>
    <mergeCell ref="AD7:AD10"/>
    <mergeCell ref="O21:R21"/>
    <mergeCell ref="O22:R22"/>
    <mergeCell ref="O24:R24"/>
    <mergeCell ref="S24:V24"/>
    <mergeCell ref="O20:R20"/>
  </mergeCells>
  <conditionalFormatting sqref="O8:U12">
    <cfRule type="cellIs" dxfId="15" priority="1" operator="equal" stopIfTrue="1">
      <formula>3</formula>
    </cfRule>
    <cfRule type="cellIs" dxfId="16" priority="2" operator="equal" stopIfTrue="1">
      <formula>2</formula>
    </cfRule>
    <cfRule type="cellIs" dxfId="17" priority="3" operator="equal" stopIfTrue="1">
      <formula>1</formula>
    </cfRule>
  </conditionalFormatting>
  <dataValidations count="1">
    <dataValidation type="list" allowBlank="1" showInputMessage="1" showErrorMessage="1" sqref="W8:W12 W15">
      <formula1>"Exigences non respectées,Exigences partiellement respectées,Exigences respectées,Non évalué,N/A"</formula1>
    </dataValidation>
  </dataValidations>
  <pageMargins left="0.7" right="0.7" top="0.75" bottom="0.75" header="0.3" footer="0.3"/>
  <pageSetup firstPageNumber="1" fitToHeight="1" fitToWidth="1" scale="100" useFirstPageNumber="0" orientation="portrait" pageOrder="downThenOver"/>
  <headerFooter>
    <oddFooter>&amp;C&amp;"Helvetica Neue,Regular"&amp;12&amp;K000000&amp;P</oddFooter>
  </headerFooter>
  <drawing r:id="rId1"/>
</worksheet>
</file>

<file path=xl/worksheets/sheet18.xml><?xml version="1.0" encoding="utf-8"?>
<worksheet xmlns:r="http://schemas.openxmlformats.org/officeDocument/2006/relationships" xmlns="http://schemas.openxmlformats.org/spreadsheetml/2006/main">
  <dimension ref="A1:P118"/>
  <sheetViews>
    <sheetView workbookViewId="0" showGridLines="0" defaultGridColor="1"/>
  </sheetViews>
  <sheetFormatPr defaultColWidth="10.8333" defaultRowHeight="14.4" customHeight="1" outlineLevelRow="0" outlineLevelCol="0"/>
  <cols>
    <col min="1" max="1" width="2.85156" style="984" customWidth="1"/>
    <col min="2" max="2" width="4" style="984" customWidth="1"/>
    <col min="3" max="5" hidden="1" width="10.8333" style="984" customWidth="1"/>
    <col min="6" max="6" width="10.8516" style="984" customWidth="1"/>
    <col min="7" max="7" width="36.1719" style="984" customWidth="1"/>
    <col min="8" max="8" width="28.5" style="984" customWidth="1"/>
    <col min="9" max="9" width="17.6719" style="984" customWidth="1"/>
    <col min="10" max="10" width="66.8516" style="984" customWidth="1"/>
    <col min="11" max="11" width="80.8516" style="984" customWidth="1"/>
    <col min="12" max="12" width="10.8516" style="984" customWidth="1"/>
    <col min="13" max="13" width="28" style="984" customWidth="1"/>
    <col min="14" max="14" width="16.5" style="984" customWidth="1"/>
    <col min="15" max="16" width="4" style="984" customWidth="1"/>
    <col min="17" max="16384" width="10.8516" style="984" customWidth="1"/>
  </cols>
  <sheetData>
    <row r="1" ht="45" customHeight="1">
      <c r="A1" s="880"/>
      <c r="B1" t="s" s="881">
        <v>2102</v>
      </c>
      <c r="C1" s="882"/>
      <c r="D1" s="882"/>
      <c r="E1" s="882"/>
      <c r="F1" s="882"/>
      <c r="G1" s="883"/>
      <c r="H1" s="884"/>
      <c r="I1" s="884"/>
      <c r="J1" t="s" s="885">
        <f>VLOOKUP($E$12,'BDD'!$A$2:$N$567,3,FALSE)</f>
        <v>229</v>
      </c>
      <c r="K1" s="884"/>
      <c r="L1" s="883"/>
      <c r="M1" s="883"/>
      <c r="N1" s="883"/>
      <c r="O1" s="883"/>
      <c r="P1" s="886"/>
    </row>
    <row r="2" ht="45" customHeight="1">
      <c r="A2" s="887"/>
      <c r="B2" s="888"/>
      <c r="C2" s="888"/>
      <c r="D2" s="888"/>
      <c r="E2" s="888"/>
      <c r="F2" s="888"/>
      <c r="G2" s="888"/>
      <c r="H2" s="888"/>
      <c r="I2" s="888"/>
      <c r="J2" t="s" s="889">
        <f>VLOOKUP($E$12,'BDD'!$A$2:$N$567,4,FALSE)</f>
        <v>854</v>
      </c>
      <c r="K2" s="888"/>
      <c r="L2" s="888"/>
      <c r="M2" s="888"/>
      <c r="N2" s="888"/>
      <c r="O2" s="888"/>
      <c r="P2" s="890"/>
    </row>
    <row r="3" ht="18" customHeight="1">
      <c r="A3" s="887"/>
      <c r="B3" s="61"/>
      <c r="C3" s="61"/>
      <c r="D3" s="61"/>
      <c r="E3" s="61"/>
      <c r="F3" s="61"/>
      <c r="G3" t="s" s="508">
        <f>IF('Suppl'!B64=2,"Le vecteur n'est pas utilisé","")</f>
      </c>
      <c r="H3" s="509"/>
      <c r="I3" s="509"/>
      <c r="J3" s="509"/>
      <c r="K3" s="509"/>
      <c r="L3" s="510"/>
      <c r="M3" s="61"/>
      <c r="N3" s="61"/>
      <c r="O3" s="61"/>
      <c r="P3" s="890"/>
    </row>
    <row r="4" ht="14.4" customHeight="1">
      <c r="A4" s="887"/>
      <c r="B4" s="61"/>
      <c r="C4" s="61"/>
      <c r="D4" s="61"/>
      <c r="E4" s="61"/>
      <c r="F4" s="61"/>
      <c r="G4" s="61"/>
      <c r="H4" s="61"/>
      <c r="I4" s="61"/>
      <c r="J4" s="61"/>
      <c r="K4" s="61"/>
      <c r="L4" s="61"/>
      <c r="M4" s="61"/>
      <c r="N4" s="61"/>
      <c r="O4" s="61"/>
      <c r="P4" s="890"/>
    </row>
    <row r="5" ht="25.8" customHeight="1">
      <c r="A5" s="891"/>
      <c r="B5" s="512"/>
      <c r="C5" t="s" s="513">
        <f>IF(LEFT(RIGHT($B$1,2),1)=" ",RIGHT($B$1,1),RIGHT($B$1,2))</f>
        <v>2103</v>
      </c>
      <c r="D5" s="514">
        <f>IF(LEFT(F5,14)="Bonne pratique",D4+1,D4)</f>
        <v>1</v>
      </c>
      <c r="E5" s="515"/>
      <c r="F5" t="s" s="516">
        <v>1762</v>
      </c>
      <c r="G5" s="517"/>
      <c r="H5" s="518"/>
      <c r="I5" s="519"/>
      <c r="J5" t="s" s="520">
        <f>VLOOKUP(E12,'BDD'!$A$2:$N$567,6,FALSE)</f>
        <v>855</v>
      </c>
      <c r="K5" s="521"/>
      <c r="L5" s="517"/>
      <c r="M5" s="517"/>
      <c r="N5" s="517"/>
      <c r="O5" s="512"/>
      <c r="P5" s="892"/>
    </row>
    <row r="6" ht="14.4" customHeight="1">
      <c r="A6" s="887"/>
      <c r="B6" s="61"/>
      <c r="C6" t="s" s="513">
        <f>IF(LEFT(RIGHT($B$1,2),1)=" ",RIGHT($B$1,1),RIGHT($B$1,2))</f>
        <v>2103</v>
      </c>
      <c r="D6" s="514">
        <f>IF(LEFT(F6,14)="Bonne pratique",D5+1,D5)</f>
        <v>1</v>
      </c>
      <c r="E6" s="61"/>
      <c r="F6" s="61"/>
      <c r="G6" s="61"/>
      <c r="H6" s="61"/>
      <c r="I6" s="61"/>
      <c r="J6" s="61"/>
      <c r="K6" s="61"/>
      <c r="L6" s="61"/>
      <c r="M6" s="61"/>
      <c r="N6" s="61"/>
      <c r="O6" s="61"/>
      <c r="P6" s="890"/>
    </row>
    <row r="7" ht="23.4" customHeight="1">
      <c r="A7" s="893"/>
      <c r="B7" s="524"/>
      <c r="C7" t="s" s="513">
        <f>IF(LEFT(RIGHT($B$1,2),1)=" ",RIGHT($B$1,1),RIGHT($B$1,2))</f>
        <v>2103</v>
      </c>
      <c r="D7" s="514">
        <f>IF(LEFT(F7,14)="Bonne pratique",D6+1,D6)</f>
        <v>1</v>
      </c>
      <c r="E7" s="524"/>
      <c r="F7" s="524"/>
      <c r="G7" s="524"/>
      <c r="H7" s="524"/>
      <c r="I7" s="525"/>
      <c r="J7" t="s" s="526">
        <v>2104</v>
      </c>
      <c r="K7" s="525"/>
      <c r="L7" s="524"/>
      <c r="M7" s="524"/>
      <c r="N7" s="524"/>
      <c r="O7" s="524"/>
      <c r="P7" s="894"/>
    </row>
    <row r="8" ht="18" customHeight="1">
      <c r="A8" s="887"/>
      <c r="B8" s="61"/>
      <c r="C8" t="s" s="513">
        <f>IF(LEFT(RIGHT($B$1,2),1)=" ",RIGHT($B$1,1),RIGHT($B$1,2))</f>
        <v>2103</v>
      </c>
      <c r="D8" s="514">
        <f>IF(LEFT(F8,14)="Bonne pratique",D7+1,D7)</f>
        <v>1</v>
      </c>
      <c r="E8" s="61"/>
      <c r="F8" s="61"/>
      <c r="G8" s="61"/>
      <c r="H8" s="61"/>
      <c r="I8" s="61"/>
      <c r="J8" t="s" s="526">
        <v>2105</v>
      </c>
      <c r="K8" s="61"/>
      <c r="L8" s="61"/>
      <c r="M8" s="529"/>
      <c r="N8" s="529"/>
      <c r="O8" s="61"/>
      <c r="P8" s="890"/>
    </row>
    <row r="9" ht="14.4" customHeight="1">
      <c r="A9" s="887"/>
      <c r="B9" s="61"/>
      <c r="C9" t="s" s="513">
        <f>IF(LEFT(RIGHT($B$1,2),1)=" ",RIGHT($B$1,1),RIGHT($B$1,2))</f>
        <v>2103</v>
      </c>
      <c r="D9" s="514">
        <f>IF(LEFT(F9,14)="Bonne pratique",D8+1,D8)</f>
        <v>1</v>
      </c>
      <c r="E9" s="61"/>
      <c r="F9" s="61"/>
      <c r="G9" s="530"/>
      <c r="H9" s="530"/>
      <c r="I9" s="530"/>
      <c r="J9" s="530"/>
      <c r="K9" s="530"/>
      <c r="L9" s="531"/>
      <c r="M9" t="s" s="532">
        <v>1763</v>
      </c>
      <c r="N9" s="533"/>
      <c r="O9" s="534"/>
      <c r="P9" s="890"/>
    </row>
    <row r="10" ht="33" customHeight="1">
      <c r="A10" s="887"/>
      <c r="B10" s="61"/>
      <c r="C10" t="s" s="513">
        <f>IF(LEFT(RIGHT($B$1,2),1)=" ",RIGHT($B$1,1),RIGHT($B$1,2))</f>
        <v>2103</v>
      </c>
      <c r="D10" s="514">
        <f>IF(LEFT(F10,14)="Bonne pratique",D9+1,D9)</f>
        <v>1</v>
      </c>
      <c r="E10" s="61"/>
      <c r="F10" s="535"/>
      <c r="G10" t="s" s="536">
        <v>244</v>
      </c>
      <c r="H10" t="s" s="536">
        <v>1764</v>
      </c>
      <c r="I10" t="s" s="537">
        <v>245</v>
      </c>
      <c r="J10" t="s" s="536">
        <v>1765</v>
      </c>
      <c r="K10" t="s" s="536">
        <v>246</v>
      </c>
      <c r="L10" s="538"/>
      <c r="M10" t="s" s="539">
        <v>1766</v>
      </c>
      <c r="N10" t="s" s="540">
        <v>1767</v>
      </c>
      <c r="O10" s="534"/>
      <c r="P10" s="890"/>
    </row>
    <row r="11" ht="14.4" customHeight="1">
      <c r="A11" s="887"/>
      <c r="B11" s="61"/>
      <c r="C11" t="s" s="513">
        <f>IF(LEFT(RIGHT($B$1,2),1)=" ",RIGHT($B$1,1),RIGHT($B$1,2))</f>
        <v>2103</v>
      </c>
      <c r="D11" s="514">
        <f>IF(LEFT(F11,14)="Bonne pratique",D10+1,D10)</f>
        <v>1</v>
      </c>
      <c r="E11" s="61"/>
      <c r="F11" s="529"/>
      <c r="G11" s="541"/>
      <c r="H11" s="541"/>
      <c r="I11" s="541"/>
      <c r="J11" s="541"/>
      <c r="K11" s="541"/>
      <c r="L11" s="61"/>
      <c r="M11" s="541"/>
      <c r="N11" s="541"/>
      <c r="O11" s="61"/>
      <c r="P11" s="890"/>
    </row>
    <row r="12" ht="159" customHeight="1">
      <c r="A12" s="887"/>
      <c r="B12" s="542"/>
      <c r="C12" t="s" s="543">
        <f>IF(LEFT(RIGHT($B$1,2),1)=" ",RIGHT($B$1,1),RIGHT($B$1,2))</f>
        <v>2103</v>
      </c>
      <c r="D12" s="544">
        <f>IF(LEFT(F12,14)="Bonne pratique",D11+1,D11)</f>
        <v>1</v>
      </c>
      <c r="E12" t="s" s="545">
        <f>C12&amp;D12&amp;RIGHT(F12,1)</f>
        <v>2106</v>
      </c>
      <c r="F12" t="s" s="546">
        <v>1769</v>
      </c>
      <c r="G12" t="s" s="547">
        <f>_xlfn.IFERROR(IF(VLOOKUP($E12,'BDD'!$A$1:$S$567,MATCH(G$10,'BDD'!$A$1:$P$1,0),FALSE)=0,"",VLOOKUP($E12,'BDD'!$A$1:$S$567,MATCH(G$10,'BDD'!$A$1:$P$1,0),FALSE)),"")</f>
        <v>858</v>
      </c>
      <c r="H12" t="s" s="548">
        <f>IF(VLOOKUP(E12,'BDD'!$A$1:$S$567,15,FALSE)=0,"Critère non évalué","")</f>
        <v>1770</v>
      </c>
      <c r="I12" t="s" s="546">
        <f>_xlfn.IFERROR(IF(VLOOKUP($E12,'BDD'!$A$1:$S$567,MATCH(I$10,'BDD'!$A$1:$P$1,0),FALSE)=0,"",VLOOKUP($E12,'BDD'!$A$1:$S$567,MATCH(I$10,'BDD'!$A$1:$P$1,0),FALSE)),"")</f>
        <v>283</v>
      </c>
      <c r="J12" s="549"/>
      <c r="K12" t="s" s="547">
        <f>_xlfn.IFERROR(IF(VLOOKUP($E12,'BDD'!$A$1:$S$567,MATCH(K$10,'BDD'!$A$1:$P$1,0),FALSE)=0,"",VLOOKUP($E12,'BDD'!$A$1:$S$567,MATCH(K$10,'BDD'!$A$1:$P$1,0),FALSE)),"")</f>
        <v>859</v>
      </c>
      <c r="L12" s="550"/>
      <c r="M12" s="551"/>
      <c r="N12" s="551"/>
      <c r="O12" s="534"/>
      <c r="P12" s="890"/>
    </row>
    <row r="13" ht="186.6" customHeight="1">
      <c r="A13" s="887"/>
      <c r="B13" s="542"/>
      <c r="C13" t="s" s="543">
        <f>IF(LEFT(RIGHT($B$1,2),1)=" ",RIGHT($B$1,1),RIGHT($B$1,2))</f>
        <v>2103</v>
      </c>
      <c r="D13" s="544">
        <f>IF(LEFT(F13,14)="Bonne pratique",D12+1,D12)</f>
        <v>1</v>
      </c>
      <c r="E13" t="s" s="545">
        <f>C13&amp;D13&amp;RIGHT(F13,1)</f>
        <v>2107</v>
      </c>
      <c r="F13" t="s" s="552">
        <v>1772</v>
      </c>
      <c r="G13" t="s" s="540">
        <f>_xlfn.IFERROR(IF(VLOOKUP($E13,'BDD'!$A$1:$S$567,MATCH(G$10,'BDD'!$A$1:$P$1,0),FALSE)=0,"",VLOOKUP($E13,'BDD'!$A$1:$S$567,MATCH(G$10,'BDD'!$A$1:$P$1,0),FALSE)),"")</f>
        <v>863</v>
      </c>
      <c r="H13" t="s" s="553">
        <f>IF(VLOOKUP(E13,'BDD'!$A$1:$S$567,15,FALSE)=0,"Critère non évalué","")</f>
        <v>1770</v>
      </c>
      <c r="I13" t="s" s="552">
        <f>_xlfn.IFERROR(IF(VLOOKUP($E13,'BDD'!$A$1:$S$567,MATCH(I$10,'BDD'!$A$1:$P$1,0),FALSE)=0,"",VLOOKUP($E13,'BDD'!$A$1:$S$567,MATCH(I$10,'BDD'!$A$1:$P$1,0),FALSE)),"")</f>
        <v>263</v>
      </c>
      <c r="J13" s="554"/>
      <c r="K13" t="s" s="540">
        <f>_xlfn.IFERROR(IF(VLOOKUP($E13,'BDD'!$A$1:$S$567,MATCH(K$10,'BDD'!$A$1:$P$1,0),FALSE)=0,"",VLOOKUP($E13,'BDD'!$A$1:$S$567,MATCH(K$10,'BDD'!$A$1:$P$1,0),FALSE)),"")</f>
        <v>864</v>
      </c>
      <c r="L13" s="550"/>
      <c r="M13" s="555"/>
      <c r="N13" s="555"/>
      <c r="O13" s="534"/>
      <c r="P13" s="890"/>
    </row>
    <row r="14" ht="130.05" customHeight="1">
      <c r="A14" s="887"/>
      <c r="B14" s="542"/>
      <c r="C14" t="s" s="543">
        <f>IF(LEFT(RIGHT($B$1,2),1)=" ",RIGHT($B$1,1),RIGHT($B$1,2))</f>
        <v>2103</v>
      </c>
      <c r="D14" s="544">
        <f>IF(LEFT(F14,14)="Bonne pratique",D13+1,D13)</f>
        <v>1</v>
      </c>
      <c r="E14" t="s" s="545">
        <f>C14&amp;D14&amp;RIGHT(F14,1)</f>
        <v>2108</v>
      </c>
      <c r="F14" t="s" s="546">
        <v>1774</v>
      </c>
      <c r="G14" t="s" s="547">
        <f>_xlfn.IFERROR(IF(VLOOKUP($E14,'BDD'!$A$1:$S$567,MATCH(G$10,'BDD'!$A$1:$P$1,0),FALSE)=0,"",VLOOKUP($E14,'BDD'!$A$1:$S$567,MATCH(G$10,'BDD'!$A$1:$P$1,0),FALSE)),"")</f>
        <v>869</v>
      </c>
      <c r="H14" t="s" s="548">
        <f>IF(VLOOKUP(E14,'BDD'!$A$1:$S$567,15,FALSE)=0,"Critère non évalué","")</f>
        <v>1770</v>
      </c>
      <c r="I14" t="s" s="546">
        <f>_xlfn.IFERROR(IF(VLOOKUP($E14,'BDD'!$A$1:$S$567,MATCH(I$10,'BDD'!$A$1:$P$1,0),FALSE)=0,"",VLOOKUP($E14,'BDD'!$A$1:$S$567,MATCH(I$10,'BDD'!$A$1:$P$1,0),FALSE)),"")</f>
        <v>291</v>
      </c>
      <c r="J14" s="549"/>
      <c r="K14" t="s" s="547">
        <f>_xlfn.IFERROR(IF(VLOOKUP($E14,'BDD'!$A$1:$S$567,MATCH(K$10,'BDD'!$A$1:$P$1,0),FALSE)=0,"",VLOOKUP($E14,'BDD'!$A$1:$S$567,MATCH(K$10,'BDD'!$A$1:$P$1,0),FALSE)),"")</f>
        <v>870</v>
      </c>
      <c r="L14" s="550"/>
      <c r="M14" s="551"/>
      <c r="N14" s="551"/>
      <c r="O14" s="534"/>
      <c r="P14" s="890"/>
    </row>
    <row r="15" ht="130.05" customHeight="1">
      <c r="A15" s="887"/>
      <c r="B15" s="542"/>
      <c r="C15" t="s" s="543">
        <f>IF(LEFT(RIGHT($B$1,2),1)=" ",RIGHT($B$1,1),RIGHT($B$1,2))</f>
        <v>2103</v>
      </c>
      <c r="D15" s="544">
        <f>IF(LEFT(F15,14)="Bonne pratique",D14+1,D14)</f>
        <v>1</v>
      </c>
      <c r="E15" t="s" s="545">
        <f>C15&amp;D15&amp;RIGHT(F15,1)</f>
        <v>2109</v>
      </c>
      <c r="F15" t="s" s="552">
        <v>1776</v>
      </c>
      <c r="G15" t="s" s="540">
        <f>_xlfn.IFERROR(IF(VLOOKUP($E15,'BDD'!$A$1:$S$567,MATCH(G$10,'BDD'!$A$1:$P$1,0),FALSE)=0,"",VLOOKUP($E15,'BDD'!$A$1:$S$567,MATCH(G$10,'BDD'!$A$1:$P$1,0),FALSE)),"")</f>
        <v>874</v>
      </c>
      <c r="H15" t="s" s="553">
        <f>IF(VLOOKUP(E15,'BDD'!$A$1:$S$567,15,FALSE)=0,"Critère non évalué","")</f>
        <v>1770</v>
      </c>
      <c r="I15" t="s" s="552">
        <f>_xlfn.IFERROR(IF(VLOOKUP($E15,'BDD'!$A$1:$S$567,MATCH(I$10,'BDD'!$A$1:$P$1,0),FALSE)=0,"",VLOOKUP($E15,'BDD'!$A$1:$S$567,MATCH(I$10,'BDD'!$A$1:$P$1,0),FALSE)),"")</f>
        <v>271</v>
      </c>
      <c r="J15" s="556"/>
      <c r="K15" t="s" s="540">
        <f>_xlfn.IFERROR(IF(VLOOKUP($E15,'BDD'!$A$1:$S$567,MATCH(K$10,'BDD'!$A$1:$P$1,0),FALSE)=0,"",VLOOKUP($E15,'BDD'!$A$1:$S$567,MATCH(K$10,'BDD'!$A$1:$P$1,0),FALSE)),"")</f>
        <v>875</v>
      </c>
      <c r="L15" s="550"/>
      <c r="M15" s="555"/>
      <c r="N15" s="555"/>
      <c r="O15" s="534"/>
      <c r="P15" s="890"/>
    </row>
    <row r="16" ht="130.05" customHeight="1" hidden="1">
      <c r="A16" s="887"/>
      <c r="B16" s="542"/>
      <c r="C16" t="s" s="543">
        <f>IF(LEFT(RIGHT($B$1,2),1)=" ",RIGHT($B$1,1),RIGHT($B$1,2))</f>
        <v>2103</v>
      </c>
      <c r="D16" s="544">
        <f>IF(LEFT(F16,14)="Bonne pratique",D15+1,D15)</f>
        <v>1</v>
      </c>
      <c r="E16" t="s" s="545">
        <f>C16&amp;D16&amp;RIGHT(F16,1)</f>
        <v>2110</v>
      </c>
      <c r="F16" t="s" s="546">
        <v>1778</v>
      </c>
      <c r="G16" t="s" s="547">
        <f>_xlfn.IFERROR(IF(VLOOKUP($E16,'BDD'!$A$1:$S$567,MATCH(G$10,'BDD'!$A$1:$P$1,0),FALSE)=0,"",VLOOKUP($E16,'BDD'!$A$1:$S$567,MATCH(G$10,'BDD'!$A$1:$P$1,0),FALSE)),"")</f>
      </c>
      <c r="H16" t="s" s="548">
        <f>IF(VLOOKUP(E16,'BDD'!$A$1:$S$567,15,FALSE)=0,"Critère non évalué","")</f>
        <v>1770</v>
      </c>
      <c r="I16" t="s" s="546">
        <f>_xlfn.IFERROR(IF(VLOOKUP($E16,'BDD'!$A$1:$S$567,MATCH(I$10,'BDD'!$A$1:$P$1,0),FALSE)=0,"",VLOOKUP($E16,'BDD'!$A$1:$S$567,MATCH(I$10,'BDD'!$A$1:$P$1,0),FALSE)),"")</f>
        <v>171</v>
      </c>
      <c r="J16" s="549"/>
      <c r="K16" t="s" s="547">
        <f>_xlfn.IFERROR(IF(VLOOKUP($E16,'BDD'!$A$1:$S$567,MATCH(K$10,'BDD'!$A$1:$P$1,0),FALSE)=0,"",VLOOKUP($E16,'BDD'!$A$1:$S$567,MATCH(K$10,'BDD'!$A$1:$P$1,0),FALSE)),"")</f>
      </c>
      <c r="L16" s="550"/>
      <c r="M16" s="557"/>
      <c r="N16" s="557"/>
      <c r="O16" s="534"/>
      <c r="P16" s="890"/>
    </row>
    <row r="17" ht="130.05" customHeight="1" hidden="1">
      <c r="A17" s="887"/>
      <c r="B17" s="542"/>
      <c r="C17" t="s" s="543">
        <f>IF(LEFT(RIGHT($B$1,2),1)=" ",RIGHT($B$1,1),RIGHT($B$1,2))</f>
        <v>2103</v>
      </c>
      <c r="D17" s="544">
        <f>IF(LEFT(F17,14)="Bonne pratique",D16+1,D16)</f>
        <v>1</v>
      </c>
      <c r="E17" t="s" s="545">
        <f>C17&amp;D17&amp;RIGHT(F17,1)</f>
        <v>2111</v>
      </c>
      <c r="F17" t="s" s="552">
        <v>1780</v>
      </c>
      <c r="G17" t="s" s="540">
        <f>_xlfn.IFERROR(IF(VLOOKUP($E17,'BDD'!$A$1:$S$567,MATCH(G$10,'BDD'!$A$1:$P$1,0),FALSE)=0,"",VLOOKUP($E17,'BDD'!$A$1:$S$567,MATCH(G$10,'BDD'!$A$1:$P$1,0),FALSE)),"")</f>
      </c>
      <c r="H17" t="s" s="553">
        <f>IF(VLOOKUP(E17,'BDD'!$A$1:$S$567,15,FALSE)=0,"Critère non évalué","")</f>
        <v>1770</v>
      </c>
      <c r="I17" t="s" s="552">
        <f>_xlfn.IFERROR(IF(VLOOKUP($E17,'BDD'!$A$1:$S$567,MATCH(I$10,'BDD'!$A$1:$P$1,0),FALSE)=0,"",VLOOKUP($E17,'BDD'!$A$1:$S$567,MATCH(I$10,'BDD'!$A$1:$P$1,0),FALSE)),"")</f>
        <v>171</v>
      </c>
      <c r="J17" s="554"/>
      <c r="K17" t="s" s="540">
        <f>_xlfn.IFERROR(IF(VLOOKUP($E17,'BDD'!$A$1:$S$567,MATCH(K$10,'BDD'!$A$1:$P$1,0),FALSE)=0,"",VLOOKUP($E17,'BDD'!$A$1:$S$567,MATCH(K$10,'BDD'!$A$1:$P$1,0),FALSE)),"")</f>
      </c>
      <c r="L17" s="550"/>
      <c r="M17" s="555"/>
      <c r="N17" s="555"/>
      <c r="O17" s="534"/>
      <c r="P17" s="890"/>
    </row>
    <row r="18" ht="130.05" customHeight="1" hidden="1">
      <c r="A18" s="887"/>
      <c r="B18" s="542"/>
      <c r="C18" t="s" s="543">
        <f>IF(LEFT(RIGHT($B$1,2),1)=" ",RIGHT($B$1,1),RIGHT($B$1,2))</f>
        <v>2103</v>
      </c>
      <c r="D18" s="544">
        <f>IF(LEFT(F18,14)="Bonne pratique",D17+1,D17)</f>
        <v>1</v>
      </c>
      <c r="E18" t="s" s="545">
        <f>C18&amp;D18&amp;RIGHT(F18,1)</f>
        <v>2112</v>
      </c>
      <c r="F18" t="s" s="546">
        <v>1782</v>
      </c>
      <c r="G18" t="s" s="547">
        <f>_xlfn.IFERROR(IF(VLOOKUP($E18,'BDD'!$A$1:$S$567,MATCH(G$10,'BDD'!$A$1:$P$1,0),FALSE)=0,"",VLOOKUP($E18,'BDD'!$A$1:$S$567,MATCH(G$10,'BDD'!$A$1:$P$1,0),FALSE)),"")</f>
      </c>
      <c r="H18" t="s" s="548">
        <f>IF(VLOOKUP(E18,'BDD'!$A$1:$S$567,15,FALSE)=0,"Critère non évalué","")</f>
        <v>1770</v>
      </c>
      <c r="I18" t="s" s="546">
        <f>_xlfn.IFERROR(IF(VLOOKUP($E18,'BDD'!$A$1:$S$567,MATCH(I$10,'BDD'!$A$1:$P$1,0),FALSE)=0,"",VLOOKUP($E18,'BDD'!$A$1:$S$567,MATCH(I$10,'BDD'!$A$1:$P$1,0),FALSE)),"")</f>
        <v>171</v>
      </c>
      <c r="J18" s="549"/>
      <c r="K18" t="s" s="547">
        <f>_xlfn.IFERROR(IF(VLOOKUP($E18,'BDD'!$A$1:$S$567,MATCH(K$10,'BDD'!$A$1:$P$1,0),FALSE)=0,"",VLOOKUP($E18,'BDD'!$A$1:$S$567,MATCH(K$10,'BDD'!$A$1:$P$1,0),FALSE)),"")</f>
      </c>
      <c r="L18" s="550"/>
      <c r="M18" s="557"/>
      <c r="N18" s="557"/>
      <c r="O18" s="534"/>
      <c r="P18" s="890"/>
    </row>
    <row r="19" ht="18" customHeight="1">
      <c r="A19" s="887"/>
      <c r="B19" s="61"/>
      <c r="C19" t="s" s="513">
        <f>IF(LEFT(RIGHT($B$1,2),1)=" ",RIGHT($B$1,1),RIGHT($B$1,2))</f>
        <v>2103</v>
      </c>
      <c r="D19" s="514">
        <f>IF(LEFT(F19,14)="Bonne pratique",D18+1,D18)</f>
        <v>1</v>
      </c>
      <c r="E19" t="s" s="558">
        <f>C19&amp;D19&amp;RIGHT(F19,1)</f>
        <v>2113</v>
      </c>
      <c r="F19" s="559"/>
      <c r="G19" t="s" s="560">
        <f>IF('Suppl'!B80=2,"Le vecteur n'est pas utilisé","")</f>
      </c>
      <c r="H19" s="561"/>
      <c r="I19" s="561"/>
      <c r="J19" s="561"/>
      <c r="K19" s="561"/>
      <c r="L19" s="510"/>
      <c r="M19" s="559"/>
      <c r="N19" s="559"/>
      <c r="O19" s="61"/>
      <c r="P19" s="890"/>
    </row>
    <row r="20" ht="15" customHeight="1">
      <c r="A20" s="887"/>
      <c r="B20" s="61"/>
      <c r="C20" t="s" s="513">
        <f>IF(LEFT(RIGHT($B$1,2),1)=" ",RIGHT($B$1,1),RIGHT($B$1,2))</f>
        <v>2103</v>
      </c>
      <c r="D20" s="514">
        <f>IF(LEFT(F20,14)="Bonne pratique",D19+1,D19)</f>
        <v>1</v>
      </c>
      <c r="E20" t="s" s="558">
        <f>C20&amp;D20&amp;RIGHT(F20,1)</f>
        <v>2113</v>
      </c>
      <c r="F20" s="61"/>
      <c r="G20" s="61"/>
      <c r="H20" s="61"/>
      <c r="I20" s="61"/>
      <c r="J20" s="61"/>
      <c r="K20" s="61"/>
      <c r="L20" s="61"/>
      <c r="M20" s="61"/>
      <c r="N20" s="61"/>
      <c r="O20" s="61"/>
      <c r="P20" s="890"/>
    </row>
    <row r="21" ht="25.8" customHeight="1">
      <c r="A21" s="891"/>
      <c r="B21" s="512"/>
      <c r="C21" t="s" s="513">
        <f>IF(LEFT(RIGHT($B$1,2),1)=" ",RIGHT($B$1,1),RIGHT($B$1,2))</f>
        <v>2103</v>
      </c>
      <c r="D21" s="514">
        <f>IF(LEFT(F21,14)="Bonne pratique",D20+1,D20)</f>
        <v>2</v>
      </c>
      <c r="E21" t="s" s="558">
        <f>C21&amp;D21&amp;RIGHT(F21,1)</f>
        <v>2114</v>
      </c>
      <c r="F21" t="s" s="516">
        <v>1785</v>
      </c>
      <c r="G21" s="517"/>
      <c r="H21" s="518"/>
      <c r="I21" s="519"/>
      <c r="J21" t="s" s="520">
        <f>VLOOKUP(E28,'BDD'!$A$2:$N$567,6,FALSE)</f>
        <v>885</v>
      </c>
      <c r="K21" s="521"/>
      <c r="L21" s="517"/>
      <c r="M21" s="517"/>
      <c r="N21" s="517"/>
      <c r="O21" s="512"/>
      <c r="P21" s="892"/>
    </row>
    <row r="22" ht="15" customHeight="1">
      <c r="A22" s="887"/>
      <c r="B22" s="61"/>
      <c r="C22" t="s" s="513">
        <f>IF(LEFT(RIGHT($B$1,2),1)=" ",RIGHT($B$1,1),RIGHT($B$1,2))</f>
        <v>2103</v>
      </c>
      <c r="D22" s="514">
        <f>IF(LEFT(F22,14)="Bonne pratique",D21+1,D21)</f>
        <v>2</v>
      </c>
      <c r="E22" t="s" s="558">
        <f>C22&amp;D22&amp;RIGHT(F22,1)</f>
        <v>2115</v>
      </c>
      <c r="F22" s="61"/>
      <c r="G22" s="61"/>
      <c r="H22" s="61"/>
      <c r="I22" s="61"/>
      <c r="J22" s="61"/>
      <c r="K22" s="61"/>
      <c r="L22" s="61"/>
      <c r="M22" s="61"/>
      <c r="N22" s="61"/>
      <c r="O22" s="61"/>
      <c r="P22" s="890"/>
    </row>
    <row r="23" ht="18" customHeight="1">
      <c r="A23" s="893"/>
      <c r="B23" s="524"/>
      <c r="C23" t="s" s="513">
        <f>IF(LEFT(RIGHT($B$1,2),1)=" ",RIGHT($B$1,1),RIGHT($B$1,2))</f>
        <v>2103</v>
      </c>
      <c r="D23" s="514">
        <f>IF(LEFT(F23,14)="Bonne pratique",D22+1,D22)</f>
        <v>2</v>
      </c>
      <c r="E23" t="s" s="558">
        <f>C23&amp;D23&amp;RIGHT(F23,1)</f>
        <v>2115</v>
      </c>
      <c r="F23" s="524"/>
      <c r="G23" s="524"/>
      <c r="H23" s="524"/>
      <c r="I23" s="525"/>
      <c r="J23" t="s" s="526">
        <v>2116</v>
      </c>
      <c r="K23" s="525"/>
      <c r="L23" s="524"/>
      <c r="M23" s="524"/>
      <c r="N23" s="524"/>
      <c r="O23" s="524"/>
      <c r="P23" s="894"/>
    </row>
    <row r="24" ht="18" customHeight="1">
      <c r="A24" s="887"/>
      <c r="B24" s="61"/>
      <c r="C24" t="s" s="513">
        <f>IF(LEFT(RIGHT($B$1,2),1)=" ",RIGHT($B$1,1),RIGHT($B$1,2))</f>
        <v>2103</v>
      </c>
      <c r="D24" s="514">
        <f>IF(LEFT(F24,14)="Bonne pratique",D23+1,D23)</f>
        <v>2</v>
      </c>
      <c r="E24" t="s" s="558">
        <f>C24&amp;D24&amp;RIGHT(F24,1)</f>
        <v>2115</v>
      </c>
      <c r="F24" s="61"/>
      <c r="G24" s="61"/>
      <c r="H24" s="61"/>
      <c r="I24" s="61"/>
      <c r="J24" t="s" s="526">
        <v>2117</v>
      </c>
      <c r="K24" s="61"/>
      <c r="L24" s="61"/>
      <c r="M24" s="529"/>
      <c r="N24" s="529"/>
      <c r="O24" s="61"/>
      <c r="P24" s="890"/>
    </row>
    <row r="25" ht="15" customHeight="1">
      <c r="A25" s="887"/>
      <c r="B25" s="61"/>
      <c r="C25" t="s" s="513">
        <f>IF(LEFT(RIGHT($B$1,2),1)=" ",RIGHT($B$1,1),RIGHT($B$1,2))</f>
        <v>2103</v>
      </c>
      <c r="D25" s="514">
        <f>IF(LEFT(F25,14)="Bonne pratique",D24+1,D24)</f>
        <v>2</v>
      </c>
      <c r="E25" t="s" s="558">
        <f>C25&amp;D25&amp;RIGHT(F25,1)</f>
        <v>2115</v>
      </c>
      <c r="F25" s="61"/>
      <c r="G25" s="529"/>
      <c r="H25" s="529"/>
      <c r="I25" s="529"/>
      <c r="J25" s="530"/>
      <c r="K25" s="529"/>
      <c r="L25" s="542"/>
      <c r="M25" t="s" s="562">
        <v>1763</v>
      </c>
      <c r="N25" s="563"/>
      <c r="O25" s="534"/>
      <c r="P25" s="890"/>
    </row>
    <row r="26" ht="33" customHeight="1">
      <c r="A26" s="887"/>
      <c r="B26" s="61"/>
      <c r="C26" t="s" s="513">
        <f>IF(LEFT(RIGHT($B$1,2),1)=" ",RIGHT($B$1,1),RIGHT($B$1,2))</f>
        <v>2103</v>
      </c>
      <c r="D26" s="514">
        <f>IF(LEFT(F26,14)="Bonne pratique",D25+1,D25)</f>
        <v>2</v>
      </c>
      <c r="E26" t="s" s="558">
        <f>C26&amp;D26&amp;RIGHT(F26,1)</f>
        <v>2115</v>
      </c>
      <c r="F26" s="564"/>
      <c r="G26" t="s" s="536">
        <v>244</v>
      </c>
      <c r="H26" t="s" s="536">
        <v>1764</v>
      </c>
      <c r="I26" t="s" s="536">
        <v>1787</v>
      </c>
      <c r="J26" t="s" s="536">
        <v>1765</v>
      </c>
      <c r="K26" t="s" s="536">
        <v>1788</v>
      </c>
      <c r="L26" s="538"/>
      <c r="M26" t="s" s="539">
        <v>1766</v>
      </c>
      <c r="N26" t="s" s="540">
        <v>1767</v>
      </c>
      <c r="O26" s="534"/>
      <c r="P26" s="890"/>
    </row>
    <row r="27" ht="15" customHeight="1">
      <c r="A27" s="887"/>
      <c r="B27" s="61"/>
      <c r="C27" t="s" s="513">
        <f>IF(LEFT(RIGHT($B$1,2),1)=" ",RIGHT($B$1,1),RIGHT($B$1,2))</f>
        <v>2103</v>
      </c>
      <c r="D27" s="514">
        <f>IF(LEFT(F27,14)="Bonne pratique",D26+1,D26)</f>
        <v>2</v>
      </c>
      <c r="E27" t="s" s="558">
        <f>C27&amp;D27&amp;RIGHT(F27,1)</f>
        <v>2115</v>
      </c>
      <c r="F27" s="529"/>
      <c r="G27" s="541"/>
      <c r="H27" s="541"/>
      <c r="I27" s="541"/>
      <c r="J27" s="541"/>
      <c r="K27" s="541"/>
      <c r="L27" s="61"/>
      <c r="M27" s="541"/>
      <c r="N27" s="541"/>
      <c r="O27" s="61"/>
      <c r="P27" s="890"/>
    </row>
    <row r="28" ht="130.05" customHeight="1">
      <c r="A28" s="887"/>
      <c r="B28" s="542"/>
      <c r="C28" t="s" s="543">
        <f>IF(LEFT(RIGHT($B$1,2),1)=" ",RIGHT($B$1,1),RIGHT($B$1,2))</f>
        <v>2103</v>
      </c>
      <c r="D28" s="544">
        <f>IF(LEFT(F28,14)="Bonne pratique",D27+1,D27)</f>
        <v>2</v>
      </c>
      <c r="E28" t="s" s="545">
        <f>C28&amp;D28&amp;RIGHT(F28,1)</f>
        <v>2118</v>
      </c>
      <c r="F28" t="s" s="546">
        <v>1769</v>
      </c>
      <c r="G28" t="s" s="547">
        <f>_xlfn.IFERROR(IF(VLOOKUP($E28,'BDD'!$A$1:$S$567,MATCH(G$10,'BDD'!$A$1:$P$1,0),FALSE)=0,"",VLOOKUP($E28,'BDD'!$A$1:$S$567,MATCH(G$10,'BDD'!$A$1:$P$1,0),FALSE)),"")</f>
        <v>888</v>
      </c>
      <c r="H28" t="s" s="548">
        <f>IF(VLOOKUP(E28,'BDD'!$A$1:$S$567,15,FALSE)=0,"Critère non évalué","")</f>
        <v>1770</v>
      </c>
      <c r="I28" t="s" s="546">
        <f>_xlfn.IFERROR(IF(VLOOKUP($E28,'BDD'!$A$1:$S$567,MATCH(I$10,'BDD'!$A$1:$P$1,0),FALSE)=0,"",VLOOKUP($E28,'BDD'!$A$1:$S$567,MATCH(I$10,'BDD'!$A$1:$P$1,0),FALSE)),"")</f>
        <v>263</v>
      </c>
      <c r="J28" s="549"/>
      <c r="K28" t="s" s="547">
        <f>_xlfn.IFERROR(IF(VLOOKUP($E28,'BDD'!$A$1:$S$567,MATCH(K$10,'BDD'!$A$1:$P$1,0),FALSE)=0,"",VLOOKUP($E28,'BDD'!$A$1:$S$567,MATCH(K$10,'BDD'!$A$1:$P$1,0),FALSE)),"")</f>
        <v>889</v>
      </c>
      <c r="L28" s="550"/>
      <c r="M28" s="551"/>
      <c r="N28" s="551"/>
      <c r="O28" s="534"/>
      <c r="P28" s="890"/>
    </row>
    <row r="29" ht="130.05" customHeight="1">
      <c r="A29" s="887"/>
      <c r="B29" s="542"/>
      <c r="C29" t="s" s="543">
        <f>IF(LEFT(RIGHT($B$1,2),1)=" ",RIGHT($B$1,1),RIGHT($B$1,2))</f>
        <v>2103</v>
      </c>
      <c r="D29" s="544">
        <f>IF(LEFT(F29,14)="Bonne pratique",D28+1,D28)</f>
        <v>2</v>
      </c>
      <c r="E29" t="s" s="545">
        <f>C29&amp;D29&amp;RIGHT(F29,1)</f>
        <v>2114</v>
      </c>
      <c r="F29" t="s" s="552">
        <v>1772</v>
      </c>
      <c r="G29" t="s" s="540">
        <f>_xlfn.IFERROR(IF(VLOOKUP($E29,'BDD'!$A$1:$S$567,MATCH(G$10,'BDD'!$A$1:$P$1,0),FALSE)=0,"",VLOOKUP($E29,'BDD'!$A$1:$S$567,MATCH(G$10,'BDD'!$A$1:$P$1,0),FALSE)),"")</f>
        <v>891</v>
      </c>
      <c r="H29" t="s" s="553">
        <f>IF(VLOOKUP(E29,'BDD'!$A$1:$S$567,15,FALSE)=0,"Critère non évalué","")</f>
        <v>1770</v>
      </c>
      <c r="I29" t="s" s="552">
        <f>_xlfn.IFERROR(IF(VLOOKUP($E29,'BDD'!$A$1:$S$567,MATCH(I$10,'BDD'!$A$1:$P$1,0),FALSE)=0,"",VLOOKUP($E29,'BDD'!$A$1:$S$567,MATCH(I$10,'BDD'!$A$1:$P$1,0),FALSE)),"")</f>
        <v>283</v>
      </c>
      <c r="J29" s="554"/>
      <c r="K29" t="s" s="540">
        <f>_xlfn.IFERROR(IF(VLOOKUP($E29,'BDD'!$A$1:$S$567,MATCH(K$10,'BDD'!$A$1:$P$1,0),FALSE)=0,"",VLOOKUP($E29,'BDD'!$A$1:$S$567,MATCH(K$10,'BDD'!$A$1:$P$1,0),FALSE)),"")</f>
        <v>892</v>
      </c>
      <c r="L29" s="550"/>
      <c r="M29" s="555"/>
      <c r="N29" s="555"/>
      <c r="O29" s="534"/>
      <c r="P29" s="890"/>
    </row>
    <row r="30" ht="130.05" customHeight="1">
      <c r="A30" s="887"/>
      <c r="B30" s="542"/>
      <c r="C30" t="s" s="543">
        <f>IF(LEFT(RIGHT($B$1,2),1)=" ",RIGHT($B$1,1),RIGHT($B$1,2))</f>
        <v>2103</v>
      </c>
      <c r="D30" s="544">
        <f>IF(LEFT(F30,14)="Bonne pratique",D29+1,D29)</f>
        <v>2</v>
      </c>
      <c r="E30" t="s" s="545">
        <f>C30&amp;D30&amp;RIGHT(F30,1)</f>
        <v>2119</v>
      </c>
      <c r="F30" t="s" s="546">
        <v>1774</v>
      </c>
      <c r="G30" t="s" s="547">
        <f>_xlfn.IFERROR(IF(VLOOKUP($E30,'BDD'!$A$1:$S$567,MATCH(G$10,'BDD'!$A$1:$P$1,0),FALSE)=0,"",VLOOKUP($E30,'BDD'!$A$1:$S$567,MATCH(G$10,'BDD'!$A$1:$P$1,0),FALSE)),"")</f>
        <v>894</v>
      </c>
      <c r="H30" t="s" s="548">
        <f>IF(VLOOKUP(E30,'BDD'!$A$1:$S$567,15,FALSE)=0,"Critère non évalué","")</f>
        <v>1770</v>
      </c>
      <c r="I30" t="s" s="546">
        <f>_xlfn.IFERROR(IF(VLOOKUP($E30,'BDD'!$A$1:$S$567,MATCH(I$10,'BDD'!$A$1:$P$1,0),FALSE)=0,"",VLOOKUP($E30,'BDD'!$A$1:$S$567,MATCH(I$10,'BDD'!$A$1:$P$1,0),FALSE)),"")</f>
        <v>271</v>
      </c>
      <c r="J30" s="549"/>
      <c r="K30" t="s" s="547">
        <f>_xlfn.IFERROR(IF(VLOOKUP($E30,'BDD'!$A$1:$S$567,MATCH(K$10,'BDD'!$A$1:$P$1,0),FALSE)=0,"",VLOOKUP($E30,'BDD'!$A$1:$S$567,MATCH(K$10,'BDD'!$A$1:$P$1,0),FALSE)),"")</f>
        <v>895</v>
      </c>
      <c r="L30" s="550"/>
      <c r="M30" s="551"/>
      <c r="N30" s="551"/>
      <c r="O30" s="534"/>
      <c r="P30" s="890"/>
    </row>
    <row r="31" ht="130.05" customHeight="1">
      <c r="A31" s="887"/>
      <c r="B31" s="542"/>
      <c r="C31" t="s" s="543">
        <f>IF(LEFT(RIGHT($B$1,2),1)=" ",RIGHT($B$1,1),RIGHT($B$1,2))</f>
        <v>2103</v>
      </c>
      <c r="D31" s="544">
        <f>IF(LEFT(F31,14)="Bonne pratique",D30+1,D30)</f>
        <v>2</v>
      </c>
      <c r="E31" t="s" s="545">
        <f>C31&amp;D31&amp;RIGHT(F31,1)</f>
        <v>2120</v>
      </c>
      <c r="F31" t="s" s="552">
        <v>1776</v>
      </c>
      <c r="G31" t="s" s="540">
        <f>_xlfn.IFERROR(IF(VLOOKUP($E31,'BDD'!$A$1:$S$567,MATCH(G$10,'BDD'!$A$1:$P$1,0),FALSE)=0,"",VLOOKUP($E31,'BDD'!$A$1:$S$567,MATCH(G$10,'BDD'!$A$1:$P$1,0),FALSE)),"")</f>
        <v>897</v>
      </c>
      <c r="H31" t="s" s="553">
        <f>IF(VLOOKUP(E31,'BDD'!$A$1:$S$567,15,FALSE)=0,"Critère non évalué","")</f>
        <v>1770</v>
      </c>
      <c r="I31" t="s" s="552">
        <f>_xlfn.IFERROR(IF(VLOOKUP($E31,'BDD'!$A$1:$S$567,MATCH(I$10,'BDD'!$A$1:$P$1,0),FALSE)=0,"",VLOOKUP($E31,'BDD'!$A$1:$S$567,MATCH(I$10,'BDD'!$A$1:$P$1,0),FALSE)),"")</f>
        <v>291</v>
      </c>
      <c r="J31" s="556"/>
      <c r="K31" t="s" s="540">
        <f>_xlfn.IFERROR(IF(VLOOKUP($E31,'BDD'!$A$1:$S$567,MATCH(K$10,'BDD'!$A$1:$P$1,0),FALSE)=0,"",VLOOKUP($E31,'BDD'!$A$1:$S$567,MATCH(K$10,'BDD'!$A$1:$P$1,0),FALSE)),"")</f>
        <v>898</v>
      </c>
      <c r="L31" s="550"/>
      <c r="M31" s="555"/>
      <c r="N31" s="555"/>
      <c r="O31" s="534"/>
      <c r="P31" s="890"/>
    </row>
    <row r="32" ht="130.05" customHeight="1" hidden="1">
      <c r="A32" s="887"/>
      <c r="B32" s="542"/>
      <c r="C32" t="s" s="543">
        <f>IF(LEFT(RIGHT($B$1,2),1)=" ",RIGHT($B$1,1),RIGHT($B$1,2))</f>
        <v>2103</v>
      </c>
      <c r="D32" s="544">
        <f>IF(LEFT(F32,14)="Bonne pratique",D31+1,D31)</f>
        <v>2</v>
      </c>
      <c r="E32" t="s" s="545">
        <f>C32&amp;D32&amp;RIGHT(F32,1)</f>
        <v>2121</v>
      </c>
      <c r="F32" t="s" s="546">
        <v>1778</v>
      </c>
      <c r="G32" t="s" s="547">
        <f>_xlfn.IFERROR(IF(VLOOKUP($E32,'BDD'!$A$1:$S$567,MATCH(G$10,'BDD'!$A$1:$P$1,0),FALSE)=0,"",VLOOKUP($E32,'BDD'!$A$1:$S$567,MATCH(G$10,'BDD'!$A$1:$P$1,0),FALSE)),"")</f>
      </c>
      <c r="H32" t="s" s="548">
        <f>IF(VLOOKUP(E32,'BDD'!$A$1:$S$567,15,FALSE)=0,"Critère non évalué","")</f>
        <v>1770</v>
      </c>
      <c r="I32" t="s" s="546">
        <f>_xlfn.IFERROR(IF(VLOOKUP($E32,'BDD'!$A$1:$S$567,MATCH(I$10,'BDD'!$A$1:$P$1,0),FALSE)=0,"",VLOOKUP($E32,'BDD'!$A$1:$S$567,MATCH(I$10,'BDD'!$A$1:$P$1,0),FALSE)),"")</f>
        <v>171</v>
      </c>
      <c r="J32" s="549"/>
      <c r="K32" t="s" s="547">
        <f>_xlfn.IFERROR(IF(VLOOKUP($E32,'BDD'!$A$1:$S$567,MATCH(K$10,'BDD'!$A$1:$P$1,0),FALSE)=0,"",VLOOKUP($E32,'BDD'!$A$1:$S$567,MATCH(K$10,'BDD'!$A$1:$P$1,0),FALSE)),"")</f>
      </c>
      <c r="L32" s="550"/>
      <c r="M32" s="557"/>
      <c r="N32" s="557"/>
      <c r="O32" s="534"/>
      <c r="P32" s="890"/>
    </row>
    <row r="33" ht="130.05" customHeight="1" hidden="1">
      <c r="A33" s="887"/>
      <c r="B33" s="542"/>
      <c r="C33" t="s" s="543">
        <f>IF(LEFT(RIGHT($B$1,2),1)=" ",RIGHT($B$1,1),RIGHT($B$1,2))</f>
        <v>2103</v>
      </c>
      <c r="D33" s="544">
        <f>IF(LEFT(F33,14)="Bonne pratique",D32+1,D32)</f>
        <v>2</v>
      </c>
      <c r="E33" t="s" s="545">
        <f>C33&amp;D33&amp;RIGHT(F33,1)</f>
        <v>2122</v>
      </c>
      <c r="F33" t="s" s="552">
        <v>1780</v>
      </c>
      <c r="G33" t="s" s="540">
        <f>_xlfn.IFERROR(IF(VLOOKUP($E33,'BDD'!$A$1:$S$567,MATCH(G$10,'BDD'!$A$1:$P$1,0),FALSE)=0,"",VLOOKUP($E33,'BDD'!$A$1:$S$567,MATCH(G$10,'BDD'!$A$1:$P$1,0),FALSE)),"")</f>
      </c>
      <c r="H33" t="s" s="553">
        <f>IF(VLOOKUP(E33,'BDD'!$A$1:$S$567,15,FALSE)=0,"Critère non évalué","")</f>
        <v>1770</v>
      </c>
      <c r="I33" t="s" s="552">
        <f>_xlfn.IFERROR(IF(VLOOKUP($E33,'BDD'!$A$1:$S$567,MATCH(I$10,'BDD'!$A$1:$P$1,0),FALSE)=0,"",VLOOKUP($E33,'BDD'!$A$1:$S$567,MATCH(I$10,'BDD'!$A$1:$P$1,0),FALSE)),"")</f>
        <v>171</v>
      </c>
      <c r="J33" s="554"/>
      <c r="K33" t="s" s="540">
        <f>_xlfn.IFERROR(IF(VLOOKUP($E33,'BDD'!$A$1:$S$567,MATCH(K$10,'BDD'!$A$1:$P$1,0),FALSE)=0,"",VLOOKUP($E33,'BDD'!$A$1:$S$567,MATCH(K$10,'BDD'!$A$1:$P$1,0),FALSE)),"")</f>
      </c>
      <c r="L33" s="550"/>
      <c r="M33" s="555"/>
      <c r="N33" s="555"/>
      <c r="O33" s="534"/>
      <c r="P33" s="890"/>
    </row>
    <row r="34" ht="130.05" customHeight="1" hidden="1">
      <c r="A34" s="887"/>
      <c r="B34" s="542"/>
      <c r="C34" t="s" s="543">
        <f>IF(LEFT(RIGHT($B$1,2),1)=" ",RIGHT($B$1,1),RIGHT($B$1,2))</f>
        <v>2103</v>
      </c>
      <c r="D34" s="544">
        <f>IF(LEFT(F34,14)="Bonne pratique",D33+1,D33)</f>
        <v>2</v>
      </c>
      <c r="E34" t="s" s="545">
        <f>C34&amp;D34&amp;RIGHT(F34,1)</f>
        <v>2123</v>
      </c>
      <c r="F34" t="s" s="546">
        <v>1782</v>
      </c>
      <c r="G34" t="s" s="547">
        <f>_xlfn.IFERROR(IF(VLOOKUP($E34,'BDD'!$A$1:$S$567,MATCH(G$10,'BDD'!$A$1:$P$1,0),FALSE)=0,"",VLOOKUP($E34,'BDD'!$A$1:$S$567,MATCH(G$10,'BDD'!$A$1:$P$1,0),FALSE)),"")</f>
      </c>
      <c r="H34" t="s" s="548">
        <f>IF(VLOOKUP(E34,'BDD'!$A$1:$S$567,15,FALSE)=0,"Critère non évalué","")</f>
        <v>1770</v>
      </c>
      <c r="I34" t="s" s="546">
        <f>_xlfn.IFERROR(IF(VLOOKUP($E34,'BDD'!$A$1:$S$567,MATCH(I$10,'BDD'!$A$1:$P$1,0),FALSE)=0,"",VLOOKUP($E34,'BDD'!$A$1:$S$567,MATCH(I$10,'BDD'!$A$1:$P$1,0),FALSE)),"")</f>
        <v>171</v>
      </c>
      <c r="J34" s="549"/>
      <c r="K34" t="s" s="547">
        <f>_xlfn.IFERROR(IF(VLOOKUP($E34,'BDD'!$A$1:$S$567,MATCH(K$10,'BDD'!$A$1:$P$1,0),FALSE)=0,"",VLOOKUP($E34,'BDD'!$A$1:$S$567,MATCH(K$10,'BDD'!$A$1:$P$1,0),FALSE)),"")</f>
      </c>
      <c r="L34" s="550"/>
      <c r="M34" s="557"/>
      <c r="N34" s="557"/>
      <c r="O34" s="534"/>
      <c r="P34" s="890"/>
    </row>
    <row r="35" ht="18" customHeight="1">
      <c r="A35" s="887"/>
      <c r="B35" s="61"/>
      <c r="C35" t="s" s="513">
        <f>IF(LEFT(RIGHT($B$1,2),1)=" ",RIGHT($B$1,1),RIGHT($B$1,2))</f>
        <v>2103</v>
      </c>
      <c r="D35" s="514">
        <f>IF(LEFT(F35,14)="Bonne pratique",D34+1,D34)</f>
        <v>2</v>
      </c>
      <c r="E35" t="s" s="558">
        <f>C35&amp;D35&amp;RIGHT(F35,1)</f>
        <v>2115</v>
      </c>
      <c r="F35" s="559"/>
      <c r="G35" t="s" s="560">
        <f>IF('Suppl'!B96=2,"Le vecteur n'est pas utilisé","")</f>
      </c>
      <c r="H35" s="561"/>
      <c r="I35" s="559"/>
      <c r="J35" s="561"/>
      <c r="K35" s="561"/>
      <c r="L35" s="510"/>
      <c r="M35" s="559"/>
      <c r="N35" s="559"/>
      <c r="O35" s="61"/>
      <c r="P35" s="890"/>
    </row>
    <row r="36" ht="15" customHeight="1">
      <c r="A36" s="887"/>
      <c r="B36" s="61"/>
      <c r="C36" t="s" s="513">
        <f>IF(LEFT(RIGHT($B$1,2),1)=" ",RIGHT($B$1,1),RIGHT($B$1,2))</f>
        <v>2103</v>
      </c>
      <c r="D36" s="514">
        <f>IF(LEFT(F36,14)="Bonne pratique",D35+1,D35)</f>
        <v>2</v>
      </c>
      <c r="E36" t="s" s="558">
        <f>C36&amp;D36&amp;RIGHT(F36,1)</f>
        <v>2115</v>
      </c>
      <c r="F36" s="61"/>
      <c r="G36" s="61"/>
      <c r="H36" s="61"/>
      <c r="I36" s="61"/>
      <c r="J36" s="61"/>
      <c r="K36" s="61"/>
      <c r="L36" s="61"/>
      <c r="M36" s="61"/>
      <c r="N36" s="61"/>
      <c r="O36" s="61"/>
      <c r="P36" s="890"/>
    </row>
    <row r="37" ht="25.8" customHeight="1">
      <c r="A37" s="891"/>
      <c r="B37" s="512"/>
      <c r="C37" t="s" s="513">
        <f>IF(LEFT(RIGHT($B$1,2),1)=" ",RIGHT($B$1,1),RIGHT($B$1,2))</f>
        <v>2103</v>
      </c>
      <c r="D37" s="514">
        <f>IF(LEFT(F37,14)="Bonne pratique",D36+1,D36)</f>
        <v>3</v>
      </c>
      <c r="E37" t="s" s="558">
        <f>C37&amp;D37&amp;RIGHT(F37,1)</f>
        <v>2124</v>
      </c>
      <c r="F37" t="s" s="516">
        <v>1797</v>
      </c>
      <c r="G37" s="517"/>
      <c r="H37" s="518"/>
      <c r="I37" s="519"/>
      <c r="J37" t="s" s="520">
        <f>VLOOKUP(E44,'BDD'!$A$2:$N$567,6,FALSE)</f>
        <v>902</v>
      </c>
      <c r="K37" s="521"/>
      <c r="L37" s="517"/>
      <c r="M37" s="517"/>
      <c r="N37" s="517"/>
      <c r="O37" s="512"/>
      <c r="P37" s="892"/>
    </row>
    <row r="38" ht="15" customHeight="1">
      <c r="A38" s="887"/>
      <c r="B38" s="61"/>
      <c r="C38" t="s" s="513">
        <f>IF(LEFT(RIGHT($B$1,2),1)=" ",RIGHT($B$1,1),RIGHT($B$1,2))</f>
        <v>2103</v>
      </c>
      <c r="D38" s="514">
        <f>IF(LEFT(F38,14)="Bonne pratique",D37+1,D37)</f>
        <v>3</v>
      </c>
      <c r="E38" t="s" s="558">
        <f>C38&amp;D38&amp;RIGHT(F38,1)</f>
        <v>2125</v>
      </c>
      <c r="F38" s="61"/>
      <c r="G38" s="61"/>
      <c r="H38" s="61"/>
      <c r="I38" s="61"/>
      <c r="J38" s="61"/>
      <c r="K38" s="61"/>
      <c r="L38" s="61"/>
      <c r="M38" s="61"/>
      <c r="N38" s="61"/>
      <c r="O38" s="61"/>
      <c r="P38" s="890"/>
    </row>
    <row r="39" ht="18" customHeight="1">
      <c r="A39" s="893"/>
      <c r="B39" s="524"/>
      <c r="C39" t="s" s="513">
        <f>IF(LEFT(RIGHT($B$1,2),1)=" ",RIGHT($B$1,1),RIGHT($B$1,2))</f>
        <v>2103</v>
      </c>
      <c r="D39" s="514">
        <f>IF(LEFT(F39,14)="Bonne pratique",D38+1,D38)</f>
        <v>3</v>
      </c>
      <c r="E39" t="s" s="558">
        <f>C39&amp;D39&amp;RIGHT(F39,1)</f>
        <v>2125</v>
      </c>
      <c r="F39" s="524"/>
      <c r="G39" s="524"/>
      <c r="H39" s="524"/>
      <c r="I39" s="525"/>
      <c r="J39" t="s" s="526">
        <v>903</v>
      </c>
      <c r="K39" s="525"/>
      <c r="L39" s="524"/>
      <c r="M39" s="524"/>
      <c r="N39" s="524"/>
      <c r="O39" s="524"/>
      <c r="P39" s="894"/>
    </row>
    <row r="40" ht="18" customHeight="1">
      <c r="A40" s="887"/>
      <c r="B40" s="61"/>
      <c r="C40" t="s" s="513">
        <f>IF(LEFT(RIGHT($B$1,2),1)=" ",RIGHT($B$1,1),RIGHT($B$1,2))</f>
        <v>2103</v>
      </c>
      <c r="D40" s="514">
        <f>IF(LEFT(F40,14)="Bonne pratique",D39+1,D39)</f>
        <v>3</v>
      </c>
      <c r="E40" t="s" s="558">
        <f>C40&amp;D40&amp;RIGHT(F40,1)</f>
        <v>2125</v>
      </c>
      <c r="F40" s="61"/>
      <c r="G40" s="61"/>
      <c r="H40" s="61"/>
      <c r="I40" s="61"/>
      <c r="J40" s="528"/>
      <c r="K40" s="61"/>
      <c r="L40" s="61"/>
      <c r="M40" s="529"/>
      <c r="N40" s="529"/>
      <c r="O40" s="61"/>
      <c r="P40" s="890"/>
    </row>
    <row r="41" ht="15" customHeight="1">
      <c r="A41" s="887"/>
      <c r="B41" s="61"/>
      <c r="C41" t="s" s="513">
        <f>IF(LEFT(RIGHT($B$1,2),1)=" ",RIGHT($B$1,1),RIGHT($B$1,2))</f>
        <v>2103</v>
      </c>
      <c r="D41" s="514">
        <f>IF(LEFT(F41,14)="Bonne pratique",D40+1,D40)</f>
        <v>3</v>
      </c>
      <c r="E41" t="s" s="558">
        <f>C41&amp;D41&amp;RIGHT(F41,1)</f>
        <v>2125</v>
      </c>
      <c r="F41" s="61"/>
      <c r="G41" s="529"/>
      <c r="H41" s="529"/>
      <c r="I41" s="529"/>
      <c r="J41" s="530"/>
      <c r="K41" s="529"/>
      <c r="L41" s="542"/>
      <c r="M41" t="s" s="562">
        <v>1763</v>
      </c>
      <c r="N41" s="563"/>
      <c r="O41" s="534"/>
      <c r="P41" s="890"/>
    </row>
    <row r="42" ht="33" customHeight="1">
      <c r="A42" s="887"/>
      <c r="B42" s="61"/>
      <c r="C42" t="s" s="513">
        <f>IF(LEFT(RIGHT($B$1,2),1)=" ",RIGHT($B$1,1),RIGHT($B$1,2))</f>
        <v>2103</v>
      </c>
      <c r="D42" s="514">
        <f>IF(LEFT(F42,14)="Bonne pratique",D41+1,D41)</f>
        <v>3</v>
      </c>
      <c r="E42" t="s" s="558">
        <f>C42&amp;D42&amp;RIGHT(F42,1)</f>
        <v>2125</v>
      </c>
      <c r="F42" s="535"/>
      <c r="G42" t="s" s="536">
        <v>244</v>
      </c>
      <c r="H42" t="s" s="536">
        <v>1764</v>
      </c>
      <c r="I42" t="s" s="536">
        <v>1787</v>
      </c>
      <c r="J42" t="s" s="536">
        <v>1765</v>
      </c>
      <c r="K42" t="s" s="536">
        <v>1788</v>
      </c>
      <c r="L42" s="538"/>
      <c r="M42" t="s" s="539">
        <v>1766</v>
      </c>
      <c r="N42" t="s" s="540">
        <v>1767</v>
      </c>
      <c r="O42" s="534"/>
      <c r="P42" s="890"/>
    </row>
    <row r="43" ht="15" customHeight="1">
      <c r="A43" s="887"/>
      <c r="B43" s="61"/>
      <c r="C43" t="s" s="513">
        <f>IF(LEFT(RIGHT($B$1,2),1)=" ",RIGHT($B$1,1),RIGHT($B$1,2))</f>
        <v>2103</v>
      </c>
      <c r="D43" s="514">
        <f>IF(LEFT(F43,14)="Bonne pratique",D42+1,D42)</f>
        <v>3</v>
      </c>
      <c r="E43" t="s" s="558">
        <f>C43&amp;D43&amp;RIGHT(F43,1)</f>
        <v>2125</v>
      </c>
      <c r="F43" s="529"/>
      <c r="G43" s="541"/>
      <c r="H43" s="541"/>
      <c r="I43" s="541"/>
      <c r="J43" s="541"/>
      <c r="K43" s="541"/>
      <c r="L43" s="61"/>
      <c r="M43" s="541"/>
      <c r="N43" s="541"/>
      <c r="O43" s="61"/>
      <c r="P43" s="890"/>
    </row>
    <row r="44" ht="130.05" customHeight="1">
      <c r="A44" s="887"/>
      <c r="B44" s="542"/>
      <c r="C44" t="s" s="543">
        <f>IF(LEFT(RIGHT($B$1,2),1)=" ",RIGHT($B$1,1),RIGHT($B$1,2))</f>
        <v>2103</v>
      </c>
      <c r="D44" s="544">
        <f>IF(LEFT(F44,14)="Bonne pratique",D43+1,D43)</f>
        <v>3</v>
      </c>
      <c r="E44" t="s" s="545">
        <f>C44&amp;D44&amp;RIGHT(F44,1)</f>
        <v>2126</v>
      </c>
      <c r="F44" t="s" s="546">
        <v>1769</v>
      </c>
      <c r="G44" t="s" s="547">
        <f>_xlfn.IFERROR(IF(VLOOKUP($E44,'BDD'!$A$1:$S$567,MATCH(G$10,'BDD'!$A$1:$P$1,0),FALSE)=0,"",VLOOKUP($E44,'BDD'!$A$1:$S$567,MATCH(G$10,'BDD'!$A$1:$P$1,0),FALSE)),"")</f>
        <v>904</v>
      </c>
      <c r="H44" t="s" s="548">
        <f>IF(VLOOKUP(E44,'BDD'!$A$1:$S$567,15,FALSE)=0,"Critère non évalué","")</f>
        <v>1770</v>
      </c>
      <c r="I44" t="s" s="546">
        <f>_xlfn.IFERROR(IF(VLOOKUP($E44,'BDD'!$A$1:$S$567,MATCH(I$10,'BDD'!$A$1:$P$1,0),FALSE)=0,"",VLOOKUP($E44,'BDD'!$A$1:$S$567,MATCH(I$10,'BDD'!$A$1:$P$1,0),FALSE)),"")</f>
        <v>283</v>
      </c>
      <c r="J44" s="549"/>
      <c r="K44" t="s" s="547">
        <f>_xlfn.IFERROR(IF(VLOOKUP($E44,'BDD'!$A$1:$S$567,MATCH(K$10,'BDD'!$A$1:$P$1,0),FALSE)=0,"",VLOOKUP($E44,'BDD'!$A$1:$S$567,MATCH(K$10,'BDD'!$A$1:$P$1,0),FALSE)),"")</f>
      </c>
      <c r="L44" s="550"/>
      <c r="M44" s="551"/>
      <c r="N44" s="551"/>
      <c r="O44" s="534"/>
      <c r="P44" s="890"/>
    </row>
    <row r="45" ht="150" customHeight="1">
      <c r="A45" s="887"/>
      <c r="B45" s="542"/>
      <c r="C45" t="s" s="543">
        <f>IF(LEFT(RIGHT($B$1,2),1)=" ",RIGHT($B$1,1),RIGHT($B$1,2))</f>
        <v>2103</v>
      </c>
      <c r="D45" s="544">
        <f>IF(LEFT(F45,14)="Bonne pratique",D44+1,D44)</f>
        <v>3</v>
      </c>
      <c r="E45" t="s" s="545">
        <f>C45&amp;D45&amp;RIGHT(F45,1)</f>
        <v>2127</v>
      </c>
      <c r="F45" t="s" s="552">
        <v>1772</v>
      </c>
      <c r="G45" t="s" s="540">
        <f>_xlfn.IFERROR(IF(VLOOKUP($E45,'BDD'!$A$1:$S$567,MATCH(G$10,'BDD'!$A$1:$P$1,0),FALSE)=0,"",VLOOKUP($E45,'BDD'!$A$1:$S$567,MATCH(G$10,'BDD'!$A$1:$P$1,0),FALSE)),"")</f>
        <v>906</v>
      </c>
      <c r="H45" t="s" s="553">
        <f>IF(VLOOKUP(E45,'BDD'!$A$1:$S$567,15,FALSE)=0,"Critère non évalué","")</f>
        <v>1770</v>
      </c>
      <c r="I45" t="s" s="552">
        <f>_xlfn.IFERROR(IF(VLOOKUP($E45,'BDD'!$A$1:$S$567,MATCH(I$10,'BDD'!$A$1:$P$1,0),FALSE)=0,"",VLOOKUP($E45,'BDD'!$A$1:$S$567,MATCH(I$10,'BDD'!$A$1:$P$1,0),FALSE)),"")</f>
        <v>271</v>
      </c>
      <c r="J45" s="554"/>
      <c r="K45" t="s" s="540">
        <f>_xlfn.IFERROR(IF(VLOOKUP($E45,'BDD'!$A$1:$S$567,MATCH(K$10,'BDD'!$A$1:$P$1,0),FALSE)=0,"",VLOOKUP($E45,'BDD'!$A$1:$S$567,MATCH(K$10,'BDD'!$A$1:$P$1,0),FALSE)),"")</f>
        <v>907</v>
      </c>
      <c r="L45" s="550"/>
      <c r="M45" s="555"/>
      <c r="N45" s="555"/>
      <c r="O45" s="534"/>
      <c r="P45" s="890"/>
    </row>
    <row r="46" ht="130.05" customHeight="1">
      <c r="A46" s="887"/>
      <c r="B46" s="542"/>
      <c r="C46" t="s" s="543">
        <f>IF(LEFT(RIGHT($B$1,2),1)=" ",RIGHT($B$1,1),RIGHT($B$1,2))</f>
        <v>2103</v>
      </c>
      <c r="D46" s="544">
        <f>IF(LEFT(F46,14)="Bonne pratique",D45+1,D45)</f>
        <v>3</v>
      </c>
      <c r="E46" t="s" s="545">
        <f>C46&amp;D46&amp;RIGHT(F46,1)</f>
        <v>2124</v>
      </c>
      <c r="F46" t="s" s="546">
        <v>1774</v>
      </c>
      <c r="G46" t="s" s="547">
        <f>_xlfn.IFERROR(IF(VLOOKUP($E46,'BDD'!$A$1:$S$567,MATCH(G$10,'BDD'!$A$1:$P$1,0),FALSE)=0,"",VLOOKUP($E46,'BDD'!$A$1:$S$567,MATCH(G$10,'BDD'!$A$1:$P$1,0),FALSE)),"")</f>
        <v>909</v>
      </c>
      <c r="H46" t="s" s="548">
        <f>IF(VLOOKUP(E46,'BDD'!$A$1:$S$567,15,FALSE)=0,"Critère non évalué","")</f>
        <v>1770</v>
      </c>
      <c r="I46" t="s" s="546">
        <f>_xlfn.IFERROR(IF(VLOOKUP($E46,'BDD'!$A$1:$S$567,MATCH(I$10,'BDD'!$A$1:$P$1,0),FALSE)=0,"",VLOOKUP($E46,'BDD'!$A$1:$S$567,MATCH(I$10,'BDD'!$A$1:$P$1,0),FALSE)),"")</f>
        <v>291</v>
      </c>
      <c r="J46" s="549"/>
      <c r="K46" t="s" s="547">
        <f>_xlfn.IFERROR(IF(VLOOKUP($E46,'BDD'!$A$1:$S$567,MATCH(K$10,'BDD'!$A$1:$P$1,0),FALSE)=0,"",VLOOKUP($E46,'BDD'!$A$1:$S$567,MATCH(K$10,'BDD'!$A$1:$P$1,0),FALSE)),"")</f>
        <v>910</v>
      </c>
      <c r="L46" s="550"/>
      <c r="M46" s="551"/>
      <c r="N46" s="551"/>
      <c r="O46" s="534"/>
      <c r="P46" s="890"/>
    </row>
    <row r="47" ht="120" customHeight="1">
      <c r="A47" s="887"/>
      <c r="B47" s="542"/>
      <c r="C47" t="s" s="543">
        <f>IF(LEFT(RIGHT($B$1,2),1)=" ",RIGHT($B$1,1),RIGHT($B$1,2))</f>
        <v>2103</v>
      </c>
      <c r="D47" s="544">
        <f>IF(LEFT(F47,14)="Bonne pratique",D46+1,D46)</f>
        <v>3</v>
      </c>
      <c r="E47" t="s" s="545">
        <f>C47&amp;D47&amp;RIGHT(F47,1)</f>
        <v>2128</v>
      </c>
      <c r="F47" t="s" s="552">
        <v>1776</v>
      </c>
      <c r="G47" t="s" s="540">
        <f>_xlfn.IFERROR(IF(VLOOKUP($E47,'BDD'!$A$1:$S$567,MATCH(G$10,'BDD'!$A$1:$P$1,0),FALSE)=0,"",VLOOKUP($E47,'BDD'!$A$1:$S$567,MATCH(G$10,'BDD'!$A$1:$P$1,0),FALSE)),"")</f>
        <v>912</v>
      </c>
      <c r="H47" t="s" s="553">
        <f>IF(VLOOKUP(E47,'BDD'!$A$1:$S$567,15,FALSE)=0,"Critère non évalué","")</f>
        <v>1770</v>
      </c>
      <c r="I47" t="s" s="552">
        <f>_xlfn.IFERROR(IF(VLOOKUP($E47,'BDD'!$A$1:$S$567,MATCH(I$10,'BDD'!$A$1:$P$1,0),FALSE)=0,"",VLOOKUP($E47,'BDD'!$A$1:$S$567,MATCH(I$10,'BDD'!$A$1:$P$1,0),FALSE)),"")</f>
        <v>271</v>
      </c>
      <c r="J47" s="556"/>
      <c r="K47" t="s" s="540">
        <f>_xlfn.IFERROR(IF(VLOOKUP($E47,'BDD'!$A$1:$S$567,MATCH(K$10,'BDD'!$A$1:$P$1,0),FALSE)=0,"",VLOOKUP($E47,'BDD'!$A$1:$S$567,MATCH(K$10,'BDD'!$A$1:$P$1,0),FALSE)),"")</f>
      </c>
      <c r="L47" s="550"/>
      <c r="M47" s="555"/>
      <c r="N47" s="555"/>
      <c r="O47" s="534"/>
      <c r="P47" s="890"/>
    </row>
    <row r="48" ht="130.05" customHeight="1">
      <c r="A48" s="887"/>
      <c r="B48" s="542"/>
      <c r="C48" t="s" s="543">
        <f>IF(LEFT(RIGHT($B$1,2),1)=" ",RIGHT($B$1,1),RIGHT($B$1,2))</f>
        <v>2103</v>
      </c>
      <c r="D48" s="544">
        <f>IF(LEFT(F48,14)="Bonne pratique",D47+1,D47)</f>
        <v>3</v>
      </c>
      <c r="E48" t="s" s="545">
        <f>C48&amp;D48&amp;RIGHT(F48,1)</f>
        <v>2129</v>
      </c>
      <c r="F48" t="s" s="546">
        <v>1778</v>
      </c>
      <c r="G48" t="s" s="547">
        <f>_xlfn.IFERROR(IF(VLOOKUP($E48,'BDD'!$A$1:$S$567,MATCH(G$10,'BDD'!$A$1:$P$1,0),FALSE)=0,"",VLOOKUP($E48,'BDD'!$A$1:$S$567,MATCH(G$10,'BDD'!$A$1:$P$1,0),FALSE)),"")</f>
        <v>914</v>
      </c>
      <c r="H48" t="s" s="548">
        <f>IF(VLOOKUP(E48,'BDD'!$A$1:$S$567,15,FALSE)=0,"Critère non évalué","")</f>
        <v>1770</v>
      </c>
      <c r="I48" t="s" s="546">
        <f>_xlfn.IFERROR(IF(VLOOKUP($E48,'BDD'!$A$1:$S$567,MATCH(I$10,'BDD'!$A$1:$P$1,0),FALSE)=0,"",VLOOKUP($E48,'BDD'!$A$1:$S$567,MATCH(I$10,'BDD'!$A$1:$P$1,0),FALSE)),"")</f>
        <v>291</v>
      </c>
      <c r="J48" s="549"/>
      <c r="K48" t="s" s="547">
        <f>_xlfn.IFERROR(IF(VLOOKUP($E48,'BDD'!$A$1:$S$567,MATCH(K$10,'BDD'!$A$1:$P$1,0),FALSE)=0,"",VLOOKUP($E48,'BDD'!$A$1:$S$567,MATCH(K$10,'BDD'!$A$1:$P$1,0),FALSE)),"")</f>
        <v>915</v>
      </c>
      <c r="L48" s="550"/>
      <c r="M48" s="551"/>
      <c r="N48" s="551"/>
      <c r="O48" s="534"/>
      <c r="P48" s="890"/>
    </row>
    <row r="49" ht="120" customHeight="1" hidden="1">
      <c r="A49" s="887"/>
      <c r="B49" s="542"/>
      <c r="C49" t="s" s="543">
        <f>IF(LEFT(RIGHT($B$1,2),1)=" ",RIGHT($B$1,1),RIGHT($B$1,2))</f>
        <v>2103</v>
      </c>
      <c r="D49" s="544">
        <f>IF(LEFT(F49,14)="Bonne pratique",D48+1,D48)</f>
        <v>3</v>
      </c>
      <c r="E49" t="s" s="545">
        <f>C49&amp;D49&amp;RIGHT(F49,1)</f>
        <v>2130</v>
      </c>
      <c r="F49" t="s" s="552">
        <v>1780</v>
      </c>
      <c r="G49" t="s" s="540">
        <f>_xlfn.IFERROR(IF(VLOOKUP($E49,'BDD'!$A$1:$S$567,MATCH(G$10,'BDD'!$A$1:$P$1,0),FALSE)=0,"",VLOOKUP($E49,'BDD'!$A$1:$S$567,MATCH(G$10,'BDD'!$A$1:$P$1,0),FALSE)),"")</f>
      </c>
      <c r="H49" t="s" s="553">
        <f>IF(VLOOKUP(E49,'BDD'!$A$1:$S$567,15,FALSE)=0,"Critère non évalué","")</f>
        <v>1770</v>
      </c>
      <c r="I49" t="s" s="552">
        <f>_xlfn.IFERROR(IF(VLOOKUP($E49,'BDD'!$A$1:$S$567,MATCH(I$10,'BDD'!$A$1:$P$1,0),FALSE)=0,"",VLOOKUP($E49,'BDD'!$A$1:$S$567,MATCH(I$10,'BDD'!$A$1:$P$1,0),FALSE)),"")</f>
        <v>171</v>
      </c>
      <c r="J49" s="556"/>
      <c r="K49" t="s" s="540">
        <f>_xlfn.IFERROR(IF(VLOOKUP($E49,'BDD'!$A$1:$S$567,MATCH(K$10,'BDD'!$A$1:$P$1,0),FALSE)=0,"",VLOOKUP($E49,'BDD'!$A$1:$S$567,MATCH(K$10,'BDD'!$A$1:$P$1,0),FALSE)),"")</f>
      </c>
      <c r="L49" s="550"/>
      <c r="M49" s="555"/>
      <c r="N49" s="555"/>
      <c r="O49" s="534"/>
      <c r="P49" s="890"/>
    </row>
    <row r="50" ht="130.05" customHeight="1" hidden="1">
      <c r="A50" s="887"/>
      <c r="B50" s="542"/>
      <c r="C50" t="s" s="543">
        <f>IF(LEFT(RIGHT($B$1,2),1)=" ",RIGHT($B$1,1),RIGHT($B$1,2))</f>
        <v>2103</v>
      </c>
      <c r="D50" s="544">
        <f>IF(LEFT(F50,14)="Bonne pratique",D49+1,D49)</f>
        <v>3</v>
      </c>
      <c r="E50" t="s" s="545">
        <f>C50&amp;D50&amp;RIGHT(F50,1)</f>
        <v>2131</v>
      </c>
      <c r="F50" t="s" s="546">
        <v>1782</v>
      </c>
      <c r="G50" t="s" s="547">
        <f>_xlfn.IFERROR(IF(VLOOKUP($E50,'BDD'!$A$1:$S$567,MATCH(G$10,'BDD'!$A$1:$P$1,0),FALSE)=0,"",VLOOKUP($E50,'BDD'!$A$1:$S$567,MATCH(G$10,'BDD'!$A$1:$P$1,0),FALSE)),"")</f>
      </c>
      <c r="H50" t="s" s="548">
        <f>IF(VLOOKUP(E50,'BDD'!$A$1:$S$567,15,FALSE)=0,"Critère non évalué","")</f>
        <v>1770</v>
      </c>
      <c r="I50" t="s" s="546">
        <f>_xlfn.IFERROR(IF(VLOOKUP($E50,'BDD'!$A$1:$S$567,MATCH(I$10,'BDD'!$A$1:$P$1,0),FALSE)=0,"",VLOOKUP($E50,'BDD'!$A$1:$S$567,MATCH(I$10,'BDD'!$A$1:$P$1,0),FALSE)),"")</f>
        <v>171</v>
      </c>
      <c r="J50" s="549"/>
      <c r="K50" t="s" s="547">
        <f>_xlfn.IFERROR(IF(VLOOKUP($E50,'BDD'!$A$1:$S$567,MATCH(K$10,'BDD'!$A$1:$P$1,0),FALSE)=0,"",VLOOKUP($E50,'BDD'!$A$1:$S$567,MATCH(K$10,'BDD'!$A$1:$P$1,0),FALSE)),"")</f>
      </c>
      <c r="L50" s="550"/>
      <c r="M50" s="551"/>
      <c r="N50" s="551"/>
      <c r="O50" s="534"/>
      <c r="P50" s="890"/>
    </row>
    <row r="51" ht="18" customHeight="1">
      <c r="A51" s="887"/>
      <c r="B51" s="61"/>
      <c r="C51" t="s" s="513">
        <f>IF(LEFT(RIGHT($B$1,2),1)=" ",RIGHT($B$1,1),RIGHT($B$1,2))</f>
        <v>2103</v>
      </c>
      <c r="D51" s="61"/>
      <c r="E51" s="565"/>
      <c r="F51" s="559"/>
      <c r="G51" s="561"/>
      <c r="H51" s="561"/>
      <c r="I51" s="561"/>
      <c r="J51" s="561"/>
      <c r="K51" s="561"/>
      <c r="L51" s="510"/>
      <c r="M51" s="559"/>
      <c r="N51" s="559"/>
      <c r="O51" s="61"/>
      <c r="P51" s="890"/>
    </row>
    <row r="52" ht="15" customHeight="1">
      <c r="A52" s="887"/>
      <c r="B52" s="61"/>
      <c r="C52" t="s" s="513">
        <f>IF(LEFT(RIGHT($B$1,2),1)=" ",RIGHT($B$1,1),RIGHT($B$1,2))</f>
        <v>2103</v>
      </c>
      <c r="D52" s="514">
        <f>IF(LEFT(F52,14)="Bonne pratique",D48+1,D48)</f>
        <v>3</v>
      </c>
      <c r="E52" t="s" s="558">
        <f>C52&amp;D52&amp;RIGHT(F52,1)</f>
        <v>2125</v>
      </c>
      <c r="F52" s="61"/>
      <c r="G52" s="61"/>
      <c r="H52" s="61"/>
      <c r="I52" s="61"/>
      <c r="J52" s="61"/>
      <c r="K52" s="61"/>
      <c r="L52" s="61"/>
      <c r="M52" s="61"/>
      <c r="N52" s="61"/>
      <c r="O52" s="61"/>
      <c r="P52" s="890"/>
    </row>
    <row r="53" ht="25.8" customHeight="1">
      <c r="A53" s="891"/>
      <c r="B53" s="512"/>
      <c r="C53" t="s" s="513">
        <f>IF(LEFT(RIGHT($B$1,2),1)=" ",RIGHT($B$1,1),RIGHT($B$1,2))</f>
        <v>2103</v>
      </c>
      <c r="D53" s="514">
        <f>IF(LEFT(F53,14)="Bonne pratique",D52+1,D52)</f>
        <v>4</v>
      </c>
      <c r="E53" t="s" s="558">
        <f>C53&amp;D53&amp;RIGHT(F53,1)</f>
        <v>2132</v>
      </c>
      <c r="F53" t="s" s="516">
        <v>1806</v>
      </c>
      <c r="G53" s="517"/>
      <c r="H53" s="518"/>
      <c r="I53" s="519"/>
      <c r="J53" t="s" s="520">
        <f>VLOOKUP(E60,'BDD'!$A$2:$N$567,6,FALSE)</f>
        <v>918</v>
      </c>
      <c r="K53" s="521"/>
      <c r="L53" s="517"/>
      <c r="M53" s="517"/>
      <c r="N53" s="517"/>
      <c r="O53" s="512"/>
      <c r="P53" s="892"/>
    </row>
    <row r="54" ht="15" customHeight="1">
      <c r="A54" s="887"/>
      <c r="B54" s="61"/>
      <c r="C54" t="s" s="513">
        <f>IF(LEFT(RIGHT($B$1,2),1)=" ",RIGHT($B$1,1),RIGHT($B$1,2))</f>
        <v>2103</v>
      </c>
      <c r="D54" s="514">
        <f>IF(LEFT(F54,14)="Bonne pratique",D53+1,D53)</f>
        <v>4</v>
      </c>
      <c r="E54" t="s" s="558">
        <f>C54&amp;D54&amp;RIGHT(F54,1)</f>
        <v>2133</v>
      </c>
      <c r="F54" s="61"/>
      <c r="G54" s="61"/>
      <c r="H54" s="61"/>
      <c r="I54" s="61"/>
      <c r="J54" s="61"/>
      <c r="K54" s="61"/>
      <c r="L54" s="61"/>
      <c r="M54" s="61"/>
      <c r="N54" s="61"/>
      <c r="O54" s="61"/>
      <c r="P54" s="890"/>
    </row>
    <row r="55" ht="18" customHeight="1">
      <c r="A55" s="893"/>
      <c r="B55" s="524"/>
      <c r="C55" t="s" s="513">
        <f>IF(LEFT(RIGHT($B$1,2),1)=" ",RIGHT($B$1,1),RIGHT($B$1,2))</f>
        <v>2103</v>
      </c>
      <c r="D55" s="514">
        <f>IF(LEFT(F55,14)="Bonne pratique",D54+1,D54)</f>
        <v>4</v>
      </c>
      <c r="E55" t="s" s="558">
        <f>C55&amp;D55&amp;RIGHT(F55,1)</f>
        <v>2133</v>
      </c>
      <c r="F55" s="524"/>
      <c r="G55" s="524"/>
      <c r="H55" s="524"/>
      <c r="I55" s="525"/>
      <c r="J55" t="s" s="526">
        <v>2134</v>
      </c>
      <c r="K55" s="525"/>
      <c r="L55" s="524"/>
      <c r="M55" s="524"/>
      <c r="N55" s="524"/>
      <c r="O55" s="524"/>
      <c r="P55" s="894"/>
    </row>
    <row r="56" ht="18" customHeight="1">
      <c r="A56" s="887"/>
      <c r="B56" s="61"/>
      <c r="C56" t="s" s="513">
        <f>IF(LEFT(RIGHT($B$1,2),1)=" ",RIGHT($B$1,1),RIGHT($B$1,2))</f>
        <v>2103</v>
      </c>
      <c r="D56" s="514">
        <f>IF(LEFT(F56,14)="Bonne pratique",D55+1,D55)</f>
        <v>4</v>
      </c>
      <c r="E56" t="s" s="558">
        <f>C56&amp;D56&amp;RIGHT(F56,1)</f>
        <v>2133</v>
      </c>
      <c r="F56" s="61"/>
      <c r="G56" s="61"/>
      <c r="H56" s="61"/>
      <c r="I56" s="61"/>
      <c r="J56" t="s" s="526">
        <v>2135</v>
      </c>
      <c r="K56" s="61"/>
      <c r="L56" s="61"/>
      <c r="M56" s="529"/>
      <c r="N56" s="529"/>
      <c r="O56" s="61"/>
      <c r="P56" s="890"/>
    </row>
    <row r="57" ht="15" customHeight="1">
      <c r="A57" s="887"/>
      <c r="B57" s="61"/>
      <c r="C57" t="s" s="513">
        <f>IF(LEFT(RIGHT($B$1,2),1)=" ",RIGHT($B$1,1),RIGHT($B$1,2))</f>
        <v>2103</v>
      </c>
      <c r="D57" s="514">
        <f>IF(LEFT(F57,14)="Bonne pratique",D56+1,D56)</f>
        <v>4</v>
      </c>
      <c r="E57" t="s" s="558">
        <f>C57&amp;D57&amp;RIGHT(F57,1)</f>
        <v>2133</v>
      </c>
      <c r="F57" s="61"/>
      <c r="G57" s="529"/>
      <c r="H57" s="529"/>
      <c r="I57" s="529"/>
      <c r="J57" s="530"/>
      <c r="K57" s="529"/>
      <c r="L57" s="542"/>
      <c r="M57" t="s" s="562">
        <v>1763</v>
      </c>
      <c r="N57" s="563"/>
      <c r="O57" s="534"/>
      <c r="P57" s="890"/>
    </row>
    <row r="58" ht="33" customHeight="1">
      <c r="A58" s="887"/>
      <c r="B58" s="61"/>
      <c r="C58" t="s" s="513">
        <f>IF(LEFT(RIGHT($B$1,2),1)=" ",RIGHT($B$1,1),RIGHT($B$1,2))</f>
        <v>2103</v>
      </c>
      <c r="D58" s="514">
        <f>IF(LEFT(F58,14)="Bonne pratique",D57+1,D57)</f>
        <v>4</v>
      </c>
      <c r="E58" t="s" s="558">
        <f>C58&amp;D58&amp;RIGHT(F58,1)</f>
        <v>2133</v>
      </c>
      <c r="F58" s="535"/>
      <c r="G58" t="s" s="536">
        <v>244</v>
      </c>
      <c r="H58" t="s" s="536">
        <v>1764</v>
      </c>
      <c r="I58" t="s" s="536">
        <v>1787</v>
      </c>
      <c r="J58" t="s" s="536">
        <v>1765</v>
      </c>
      <c r="K58" t="s" s="536">
        <v>1788</v>
      </c>
      <c r="L58" s="538"/>
      <c r="M58" t="s" s="539">
        <v>1766</v>
      </c>
      <c r="N58" t="s" s="540">
        <v>1767</v>
      </c>
      <c r="O58" s="534"/>
      <c r="P58" s="890"/>
    </row>
    <row r="59" ht="15" customHeight="1">
      <c r="A59" s="887"/>
      <c r="B59" s="61"/>
      <c r="C59" t="s" s="513">
        <f>IF(LEFT(RIGHT($B$1,2),1)=" ",RIGHT($B$1,1),RIGHT($B$1,2))</f>
        <v>2103</v>
      </c>
      <c r="D59" s="514">
        <f>IF(LEFT(F59,14)="Bonne pratique",D58+1,D58)</f>
        <v>4</v>
      </c>
      <c r="E59" t="s" s="558">
        <f>C59&amp;D59&amp;RIGHT(F59,1)</f>
        <v>2133</v>
      </c>
      <c r="F59" s="529"/>
      <c r="G59" s="541"/>
      <c r="H59" s="541"/>
      <c r="I59" s="541"/>
      <c r="J59" s="541"/>
      <c r="K59" s="541"/>
      <c r="L59" s="61"/>
      <c r="M59" s="541"/>
      <c r="N59" s="541"/>
      <c r="O59" s="61"/>
      <c r="P59" s="890"/>
    </row>
    <row r="60" ht="130.05" customHeight="1">
      <c r="A60" s="887"/>
      <c r="B60" s="542"/>
      <c r="C60" t="s" s="543">
        <f>IF(LEFT(RIGHT($B$1,2),1)=" ",RIGHT($B$1,1),RIGHT($B$1,2))</f>
        <v>2103</v>
      </c>
      <c r="D60" s="544">
        <f>IF(LEFT(F60,14)="Bonne pratique",D59+1,D59)</f>
        <v>4</v>
      </c>
      <c r="E60" t="s" s="545">
        <f>C60&amp;D60&amp;RIGHT(F60,1)</f>
        <v>2136</v>
      </c>
      <c r="F60" t="s" s="546">
        <v>1769</v>
      </c>
      <c r="G60" t="s" s="547">
        <f>_xlfn.IFERROR(IF(VLOOKUP($E60,'BDD'!$A$1:$S$567,MATCH(G$10,'BDD'!$A$1:$P$1,0),FALSE)=0,"",VLOOKUP($E60,'BDD'!$A$1:$S$567,MATCH(G$10,'BDD'!$A$1:$P$1,0),FALSE)),"")</f>
        <v>920</v>
      </c>
      <c r="H60" t="s" s="548">
        <f>IF(VLOOKUP(E60,'BDD'!$A$1:$S$567,15,FALSE)=0,"Critère non évalué","")</f>
        <v>1770</v>
      </c>
      <c r="I60" t="s" s="546">
        <f>_xlfn.IFERROR(IF(VLOOKUP($E60,'BDD'!$A$1:$S$567,MATCH(I$10,'BDD'!$A$1:$P$1,0),FALSE)=0,"",VLOOKUP($E60,'BDD'!$A$1:$S$567,MATCH(I$10,'BDD'!$A$1:$P$1,0),FALSE)),"")</f>
        <v>271</v>
      </c>
      <c r="J60" s="549"/>
      <c r="K60" t="s" s="547">
        <f>_xlfn.IFERROR(IF(VLOOKUP($E60,'BDD'!$A$1:$S$567,MATCH(K$10,'BDD'!$A$1:$P$1,0),FALSE)=0,"",VLOOKUP($E60,'BDD'!$A$1:$S$567,MATCH(K$10,'BDD'!$A$1:$P$1,0),FALSE)),"")</f>
        <v>921</v>
      </c>
      <c r="L60" s="550"/>
      <c r="M60" s="551"/>
      <c r="N60" s="551"/>
      <c r="O60" s="534"/>
      <c r="P60" s="890"/>
    </row>
    <row r="61" ht="130.05" customHeight="1">
      <c r="A61" s="887"/>
      <c r="B61" s="542"/>
      <c r="C61" t="s" s="543">
        <f>IF(LEFT(RIGHT($B$1,2),1)=" ",RIGHT($B$1,1),RIGHT($B$1,2))</f>
        <v>2103</v>
      </c>
      <c r="D61" s="544">
        <f>IF(LEFT(F61,14)="Bonne pratique",D60+1,D60)</f>
        <v>4</v>
      </c>
      <c r="E61" t="s" s="545">
        <f>C61&amp;D61&amp;RIGHT(F61,1)</f>
        <v>2137</v>
      </c>
      <c r="F61" t="s" s="552">
        <v>1772</v>
      </c>
      <c r="G61" t="s" s="540">
        <f>_xlfn.IFERROR(IF(VLOOKUP($E61,'BDD'!$A$1:$S$567,MATCH(G$10,'BDD'!$A$1:$P$1,0),FALSE)=0,"",VLOOKUP($E61,'BDD'!$A$1:$S$567,MATCH(G$10,'BDD'!$A$1:$P$1,0),FALSE)),"")</f>
        <v>923</v>
      </c>
      <c r="H61" t="s" s="553">
        <f>IF(VLOOKUP(E61,'BDD'!$A$1:$S$567,15,FALSE)=0,"Critère non évalué","")</f>
        <v>1770</v>
      </c>
      <c r="I61" t="s" s="552">
        <f>_xlfn.IFERROR(IF(VLOOKUP($E61,'BDD'!$A$1:$S$567,MATCH(I$10,'BDD'!$A$1:$P$1,0),FALSE)=0,"",VLOOKUP($E61,'BDD'!$A$1:$S$567,MATCH(I$10,'BDD'!$A$1:$P$1,0),FALSE)),"")</f>
        <v>291</v>
      </c>
      <c r="J61" s="554"/>
      <c r="K61" t="s" s="540">
        <f>_xlfn.IFERROR(IF(VLOOKUP($E61,'BDD'!$A$1:$S$567,MATCH(K$10,'BDD'!$A$1:$P$1,0),FALSE)=0,"",VLOOKUP($E61,'BDD'!$A$1:$S$567,MATCH(K$10,'BDD'!$A$1:$P$1,0),FALSE)),"")</f>
      </c>
      <c r="L61" s="550"/>
      <c r="M61" s="555"/>
      <c r="N61" s="555"/>
      <c r="O61" s="534"/>
      <c r="P61" s="890"/>
    </row>
    <row r="62" ht="130.05" customHeight="1">
      <c r="A62" s="887"/>
      <c r="B62" s="542"/>
      <c r="C62" t="s" s="543">
        <f>IF(LEFT(RIGHT($B$1,2),1)=" ",RIGHT($B$1,1),RIGHT($B$1,2))</f>
        <v>2103</v>
      </c>
      <c r="D62" s="544">
        <f>IF(LEFT(F62,14)="Bonne pratique",D61+1,D61)</f>
        <v>4</v>
      </c>
      <c r="E62" t="s" s="545">
        <f>C62&amp;D62&amp;RIGHT(F62,1)</f>
        <v>2138</v>
      </c>
      <c r="F62" t="s" s="546">
        <v>1774</v>
      </c>
      <c r="G62" t="s" s="547">
        <f>_xlfn.IFERROR(IF(VLOOKUP($E62,'BDD'!$A$1:$S$567,MATCH(G$10,'BDD'!$A$1:$P$1,0),FALSE)=0,"",VLOOKUP($E62,'BDD'!$A$1:$S$567,MATCH(G$10,'BDD'!$A$1:$P$1,0),FALSE)),"")</f>
        <v>925</v>
      </c>
      <c r="H62" t="s" s="548">
        <f>IF(VLOOKUP(E62,'BDD'!$A$1:$S$567,15,FALSE)=0,"Critère non évalué","")</f>
        <v>1770</v>
      </c>
      <c r="I62" t="s" s="546">
        <f>_xlfn.IFERROR(IF(VLOOKUP($E62,'BDD'!$A$1:$S$567,MATCH(I$10,'BDD'!$A$1:$P$1,0),FALSE)=0,"",VLOOKUP($E62,'BDD'!$A$1:$S$567,MATCH(I$10,'BDD'!$A$1:$P$1,0),FALSE)),"")</f>
        <v>283</v>
      </c>
      <c r="J62" s="549"/>
      <c r="K62" t="s" s="547">
        <f>_xlfn.IFERROR(IF(VLOOKUP($E62,'BDD'!$A$1:$S$567,MATCH(K$10,'BDD'!$A$1:$P$1,0),FALSE)=0,"",VLOOKUP($E62,'BDD'!$A$1:$S$567,MATCH(K$10,'BDD'!$A$1:$P$1,0),FALSE)),"")</f>
        <v>926</v>
      </c>
      <c r="L62" s="550"/>
      <c r="M62" s="551"/>
      <c r="N62" s="551"/>
      <c r="O62" s="534"/>
      <c r="P62" s="890"/>
    </row>
    <row r="63" ht="130.05" customHeight="1">
      <c r="A63" s="887"/>
      <c r="B63" s="542"/>
      <c r="C63" t="s" s="543">
        <f>IF(LEFT(RIGHT($B$1,2),1)=" ",RIGHT($B$1,1),RIGHT($B$1,2))</f>
        <v>2103</v>
      </c>
      <c r="D63" s="544">
        <f>IF(LEFT(F63,14)="Bonne pratique",D62+1,D62)</f>
        <v>4</v>
      </c>
      <c r="E63" t="s" s="545">
        <f>C63&amp;D63&amp;RIGHT(F63,1)</f>
        <v>2132</v>
      </c>
      <c r="F63" t="s" s="552">
        <v>1776</v>
      </c>
      <c r="G63" t="s" s="540">
        <f>_xlfn.IFERROR(IF(VLOOKUP($E63,'BDD'!$A$1:$S$567,MATCH(G$10,'BDD'!$A$1:$P$1,0),FALSE)=0,"",VLOOKUP($E63,'BDD'!$A$1:$S$567,MATCH(G$10,'BDD'!$A$1:$P$1,0),FALSE)),"")</f>
        <v>928</v>
      </c>
      <c r="H63" t="s" s="553">
        <f>IF(VLOOKUP(E63,'BDD'!$A$1:$S$567,15,FALSE)=0,"Critère non évalué","")</f>
        <v>1770</v>
      </c>
      <c r="I63" t="s" s="552">
        <f>_xlfn.IFERROR(IF(VLOOKUP($E63,'BDD'!$A$1:$S$567,MATCH(I$10,'BDD'!$A$1:$P$1,0),FALSE)=0,"",VLOOKUP($E63,'BDD'!$A$1:$S$567,MATCH(I$10,'BDD'!$A$1:$P$1,0),FALSE)),"")</f>
        <v>256</v>
      </c>
      <c r="J63" s="556"/>
      <c r="K63" t="s" s="540">
        <f>_xlfn.IFERROR(IF(VLOOKUP($E63,'BDD'!$A$1:$S$567,MATCH(K$10,'BDD'!$A$1:$P$1,0),FALSE)=0,"",VLOOKUP($E63,'BDD'!$A$1:$S$567,MATCH(K$10,'BDD'!$A$1:$P$1,0),FALSE)),"")</f>
        <v>929</v>
      </c>
      <c r="L63" s="550"/>
      <c r="M63" s="555"/>
      <c r="N63" s="555"/>
      <c r="O63" s="534"/>
      <c r="P63" s="890"/>
    </row>
    <row r="64" ht="130.05" customHeight="1" hidden="1">
      <c r="A64" s="887"/>
      <c r="B64" s="542"/>
      <c r="C64" t="s" s="543">
        <f>IF(LEFT(RIGHT($B$1,2),1)=" ",RIGHT($B$1,1),RIGHT($B$1,2))</f>
        <v>2103</v>
      </c>
      <c r="D64" s="544">
        <f>IF(LEFT(F64,14)="Bonne pratique",D63+1,D63)</f>
        <v>4</v>
      </c>
      <c r="E64" t="s" s="545">
        <f>C64&amp;D64&amp;RIGHT(F64,1)</f>
        <v>2139</v>
      </c>
      <c r="F64" t="s" s="546">
        <v>1778</v>
      </c>
      <c r="G64" t="s" s="547">
        <f>_xlfn.IFERROR(IF(VLOOKUP($E64,'BDD'!$A$1:$S$567,MATCH(G$10,'BDD'!$A$1:$P$1,0),FALSE)=0,"",VLOOKUP($E64,'BDD'!$A$1:$S$567,MATCH(G$10,'BDD'!$A$1:$P$1,0),FALSE)),"")</f>
      </c>
      <c r="H64" t="s" s="548">
        <f>IF(VLOOKUP(E64,'BDD'!$A$1:$S$567,15,FALSE)=0,"Critère non évalué","")</f>
        <v>1770</v>
      </c>
      <c r="I64" t="s" s="546">
        <f>_xlfn.IFERROR(IF(VLOOKUP($E64,'BDD'!$A$1:$S$567,MATCH(I$10,'BDD'!$A$1:$P$1,0),FALSE)=0,"",VLOOKUP($E64,'BDD'!$A$1:$S$567,MATCH(I$10,'BDD'!$A$1:$P$1,0),FALSE)),"")</f>
        <v>171</v>
      </c>
      <c r="J64" s="549"/>
      <c r="K64" t="s" s="547">
        <f>_xlfn.IFERROR(IF(VLOOKUP($E64,'BDD'!$A$1:$S$567,MATCH(K$10,'BDD'!$A$1:$P$1,0),FALSE)=0,"",VLOOKUP($E64,'BDD'!$A$1:$S$567,MATCH(K$10,'BDD'!$A$1:$P$1,0),FALSE)),"")</f>
      </c>
      <c r="L64" s="550"/>
      <c r="M64" s="557"/>
      <c r="N64" s="557"/>
      <c r="O64" s="534"/>
      <c r="P64" s="890"/>
    </row>
    <row r="65" ht="130.05" customHeight="1" hidden="1">
      <c r="A65" s="887"/>
      <c r="B65" s="542"/>
      <c r="C65" t="s" s="543">
        <f>IF(LEFT(RIGHT($B$1,2),1)=" ",RIGHT($B$1,1),RIGHT($B$1,2))</f>
        <v>2103</v>
      </c>
      <c r="D65" s="544">
        <f>IF(LEFT(F65,14)="Bonne pratique",D64+1,D64)</f>
        <v>4</v>
      </c>
      <c r="E65" t="s" s="545">
        <f>C65&amp;D65&amp;RIGHT(F65,1)</f>
        <v>2140</v>
      </c>
      <c r="F65" t="s" s="552">
        <v>1780</v>
      </c>
      <c r="G65" s="557">
        <f>_xlfn.IFERROR(IF(VLOOKUP($E65,'BDD'!$A$1:$S$567,MATCH(G$10,'BDD'!$A$1:$P$1,0),FALSE)=0,"",VLOOKUP($E65,'BDD'!$A$1:$S$567,MATCH(G$10,'BDD'!$A$1:$P$1,0),FALSE)),"")</f>
      </c>
      <c r="H65" s="570">
        <f>IF(VLOOKUP(E65,'BDD'!$A$1:$S$567,15,FALSE)=0,"Critère non évalué","")</f>
      </c>
      <c r="I65" s="571">
        <f>_xlfn.IFERROR(IF(VLOOKUP($E65,'BDD'!$A$1:$S$567,MATCH(I$10,'BDD'!$A$1:$P$1,0),FALSE)=0,"",VLOOKUP($E65,'BDD'!$A$1:$S$567,MATCH(I$10,'BDD'!$A$1:$P$1,0),FALSE)),"")</f>
      </c>
      <c r="J65" s="554"/>
      <c r="K65" s="557">
        <f>_xlfn.IFERROR(IF(VLOOKUP($E65,'BDD'!$A$1:$S$567,MATCH(K$10,'BDD'!$A$1:$P$1,0),FALSE)=0,"",VLOOKUP($E65,'BDD'!$A$1:$S$567,MATCH(K$10,'BDD'!$A$1:$P$1,0),FALSE)),"")</f>
      </c>
      <c r="L65" s="550"/>
      <c r="M65" s="555"/>
      <c r="N65" s="555"/>
      <c r="O65" s="534"/>
      <c r="P65" s="890"/>
    </row>
    <row r="66" ht="130.05" customHeight="1" hidden="1">
      <c r="A66" s="887"/>
      <c r="B66" s="542"/>
      <c r="C66" t="s" s="543">
        <f>IF(LEFT(RIGHT($B$1,2),1)=" ",RIGHT($B$1,1),RIGHT($B$1,2))</f>
        <v>2103</v>
      </c>
      <c r="D66" s="544">
        <f>IF(LEFT(F66,14)="Bonne pratique",D65+1,D65)</f>
        <v>4</v>
      </c>
      <c r="E66" s="566">
        <f>C66&amp;D66&amp;RIGHT(F66,1)</f>
      </c>
      <c r="F66" t="s" s="546">
        <v>1782</v>
      </c>
      <c r="G66" s="567">
        <f>_xlfn.IFERROR(IF(VLOOKUP($E66,'BDD'!$A$1:$S$567,MATCH(G$10,'BDD'!$A$1:$P$1,0),FALSE)=0,"",VLOOKUP($E66,'BDD'!$A$1:$S$567,MATCH(G$10,'BDD'!$A$1:$P$1,0),FALSE)),"")</f>
      </c>
      <c r="H66" s="568">
        <f>IF(VLOOKUP(E66,'BDD'!$A$1:$S$567,15,FALSE)=0,"Critère non évalué","")</f>
      </c>
      <c r="I66" s="569">
        <f>_xlfn.IFERROR(IF(VLOOKUP($E66,'BDD'!$A$1:$S$567,MATCH(I$10,'BDD'!$A$1:$P$1,0),FALSE)=0,"",VLOOKUP($E66,'BDD'!$A$1:$S$567,MATCH(I$10,'BDD'!$A$1:$P$1,0),FALSE)),"")</f>
      </c>
      <c r="J66" s="549"/>
      <c r="K66" s="567">
        <f>_xlfn.IFERROR(IF(VLOOKUP($E66,'BDD'!$A$1:$S$567,MATCH(K$10,'BDD'!$A$1:$P$1,0),FALSE)=0,"",VLOOKUP($E66,'BDD'!$A$1:$S$567,MATCH(K$10,'BDD'!$A$1:$P$1,0),FALSE)),"")</f>
      </c>
      <c r="L66" s="550"/>
      <c r="M66" s="557"/>
      <c r="N66" s="557"/>
      <c r="O66" s="534"/>
      <c r="P66" s="890"/>
    </row>
    <row r="67" ht="15" customHeight="1">
      <c r="A67" s="887"/>
      <c r="B67" s="61"/>
      <c r="C67" t="s" s="513">
        <f>IF(LEFT(RIGHT($B$1,2),1)=" ",RIGHT($B$1,1),RIGHT($B$1,2))</f>
        <v>2103</v>
      </c>
      <c r="D67" s="61">
        <f>IF(LEFT(F67,14)="Bonne pratique",D66+1,D66)</f>
      </c>
      <c r="E67" s="565">
        <f>C67&amp;D67&amp;RIGHT(F67,1)</f>
      </c>
      <c r="F67" s="559"/>
      <c r="G67" s="559"/>
      <c r="H67" s="559"/>
      <c r="I67" s="559"/>
      <c r="J67" s="559"/>
      <c r="K67" s="559"/>
      <c r="L67" s="61"/>
      <c r="M67" s="559"/>
      <c r="N67" s="559"/>
      <c r="O67" s="61"/>
      <c r="P67" s="890"/>
    </row>
    <row r="68" ht="14.4" customHeight="1">
      <c r="A68" s="887"/>
      <c r="B68" s="61"/>
      <c r="C68" t="s" s="513">
        <f>IF(LEFT(RIGHT($B$1,2),1)=" ",RIGHT($B$1,1),RIGHT($B$1,2))</f>
        <v>2103</v>
      </c>
      <c r="D68" s="61"/>
      <c r="E68" s="565"/>
      <c r="F68" s="61"/>
      <c r="G68" s="61"/>
      <c r="H68" s="61"/>
      <c r="I68" s="61"/>
      <c r="J68" s="61"/>
      <c r="K68" s="61"/>
      <c r="L68" s="61"/>
      <c r="M68" s="61"/>
      <c r="N68" s="61"/>
      <c r="O68" s="61"/>
      <c r="P68" s="890"/>
    </row>
    <row r="69" ht="14.4" customHeight="1">
      <c r="A69" s="887"/>
      <c r="B69" s="61"/>
      <c r="C69" t="s" s="513">
        <f>IF(LEFT(RIGHT($B$1,2),1)=" ",RIGHT($B$1,1),RIGHT($B$1,2))</f>
        <v>2103</v>
      </c>
      <c r="D69" s="61"/>
      <c r="E69" s="565"/>
      <c r="F69" s="61"/>
      <c r="G69" s="61"/>
      <c r="H69" s="61"/>
      <c r="I69" s="61"/>
      <c r="J69" s="61"/>
      <c r="K69" s="61"/>
      <c r="L69" s="61"/>
      <c r="M69" s="61"/>
      <c r="N69" s="61"/>
      <c r="O69" s="61"/>
      <c r="P69" s="890"/>
    </row>
    <row r="70" ht="14.4" customHeight="1">
      <c r="A70" s="887"/>
      <c r="B70" s="61"/>
      <c r="C70" t="s" s="513">
        <f>IF(LEFT(RIGHT($B$1,2),1)=" ",RIGHT($B$1,1),RIGHT($B$1,2))</f>
        <v>2103</v>
      </c>
      <c r="D70" s="61"/>
      <c r="E70" s="565"/>
      <c r="F70" s="61"/>
      <c r="G70" s="61"/>
      <c r="H70" s="61"/>
      <c r="I70" s="61"/>
      <c r="J70" s="61"/>
      <c r="K70" s="61"/>
      <c r="L70" s="61"/>
      <c r="M70" s="61"/>
      <c r="N70" s="61"/>
      <c r="O70" s="61"/>
      <c r="P70" s="890"/>
    </row>
    <row r="71" ht="25.8" customHeight="1">
      <c r="A71" s="891"/>
      <c r="B71" s="512"/>
      <c r="C71" t="s" s="513">
        <f>IF(LEFT(RIGHT($B$1,2),1)=" ",RIGHT($B$1,1),RIGHT($B$1,2))</f>
        <v>2103</v>
      </c>
      <c r="D71" s="61">
        <f>IF(LEFT(F71,14)="Bonne pratique",D67+1,D67)</f>
      </c>
      <c r="E71" s="565">
        <f>C71&amp;D71&amp;RIGHT(F71,1)</f>
      </c>
      <c r="F71" t="s" s="516">
        <v>1814</v>
      </c>
      <c r="G71" s="517"/>
      <c r="H71" s="518"/>
      <c r="I71" s="519"/>
      <c r="J71" s="519">
        <f>VLOOKUP(E78,'BDD'!$A$2:$N$567,6,FALSE)</f>
      </c>
      <c r="K71" s="521"/>
      <c r="L71" s="517"/>
      <c r="M71" s="517"/>
      <c r="N71" s="517"/>
      <c r="O71" s="512"/>
      <c r="P71" s="892"/>
    </row>
    <row r="72" ht="15" customHeight="1">
      <c r="A72" s="887"/>
      <c r="B72" s="61"/>
      <c r="C72" t="s" s="513">
        <f>IF(LEFT(RIGHT($B$1,2),1)=" ",RIGHT($B$1,1),RIGHT($B$1,2))</f>
        <v>2103</v>
      </c>
      <c r="D72" s="61">
        <f>IF(LEFT(F72,14)="Bonne pratique",D71+1,D71)</f>
      </c>
      <c r="E72" s="565">
        <f>C72&amp;D72&amp;RIGHT(F72,1)</f>
      </c>
      <c r="F72" s="61"/>
      <c r="G72" s="61"/>
      <c r="H72" s="61"/>
      <c r="I72" s="61"/>
      <c r="J72" s="61"/>
      <c r="K72" s="61"/>
      <c r="L72" s="61"/>
      <c r="M72" s="61"/>
      <c r="N72" s="61"/>
      <c r="O72" s="61"/>
      <c r="P72" s="890"/>
    </row>
    <row r="73" ht="18" customHeight="1">
      <c r="A73" s="893"/>
      <c r="B73" s="524"/>
      <c r="C73" t="s" s="513">
        <f>IF(LEFT(RIGHT($B$1,2),1)=" ",RIGHT($B$1,1),RIGHT($B$1,2))</f>
        <v>2103</v>
      </c>
      <c r="D73" s="61">
        <f>IF(LEFT(F73,14)="Bonne pratique",D72+1,D72)</f>
      </c>
      <c r="E73" s="565">
        <f>C73&amp;D73&amp;RIGHT(F73,1)</f>
      </c>
      <c r="F73" s="524"/>
      <c r="G73" s="524"/>
      <c r="H73" s="524"/>
      <c r="I73" s="525"/>
      <c r="J73" t="s" s="526">
        <v>2141</v>
      </c>
      <c r="K73" s="525"/>
      <c r="L73" s="524"/>
      <c r="M73" s="524"/>
      <c r="N73" s="524"/>
      <c r="O73" s="524"/>
      <c r="P73" s="894"/>
    </row>
    <row r="74" ht="18" customHeight="1">
      <c r="A74" s="887"/>
      <c r="B74" s="61"/>
      <c r="C74" t="s" s="513">
        <f>IF(LEFT(RIGHT($B$1,2),1)=" ",RIGHT($B$1,1),RIGHT($B$1,2))</f>
        <v>2103</v>
      </c>
      <c r="D74" s="61">
        <f>IF(LEFT(F74,14)="Bonne pratique",D73+1,D73)</f>
      </c>
      <c r="E74" s="565">
        <f>C74&amp;D74&amp;RIGHT(F74,1)</f>
      </c>
      <c r="F74" s="61"/>
      <c r="G74" s="61"/>
      <c r="H74" s="61"/>
      <c r="I74" s="61"/>
      <c r="J74" t="s" s="526">
        <v>2142</v>
      </c>
      <c r="K74" s="61"/>
      <c r="L74" s="61"/>
      <c r="M74" s="529"/>
      <c r="N74" s="529"/>
      <c r="O74" s="61"/>
      <c r="P74" s="890"/>
    </row>
    <row r="75" ht="15" customHeight="1">
      <c r="A75" s="887"/>
      <c r="B75" s="61"/>
      <c r="C75" t="s" s="513">
        <f>IF(LEFT(RIGHT($B$1,2),1)=" ",RIGHT($B$1,1),RIGHT($B$1,2))</f>
        <v>2103</v>
      </c>
      <c r="D75" s="61">
        <f>IF(LEFT(F75,14)="Bonne pratique",D74+1,D74)</f>
      </c>
      <c r="E75" s="565">
        <f>C75&amp;D75&amp;RIGHT(F75,1)</f>
      </c>
      <c r="F75" s="61"/>
      <c r="G75" s="529"/>
      <c r="H75" s="529"/>
      <c r="I75" s="529"/>
      <c r="J75" s="530"/>
      <c r="K75" s="529"/>
      <c r="L75" s="542"/>
      <c r="M75" t="s" s="562">
        <v>1763</v>
      </c>
      <c r="N75" s="563"/>
      <c r="O75" s="534"/>
      <c r="P75" s="890"/>
    </row>
    <row r="76" ht="33" customHeight="1">
      <c r="A76" s="887"/>
      <c r="B76" s="61"/>
      <c r="C76" t="s" s="513">
        <f>IF(LEFT(RIGHT($B$1,2),1)=" ",RIGHT($B$1,1),RIGHT($B$1,2))</f>
        <v>2103</v>
      </c>
      <c r="D76" s="61">
        <f>IF(LEFT(F76,14)="Bonne pratique",D75+1,D75)</f>
      </c>
      <c r="E76" s="565">
        <f>C76&amp;D76&amp;RIGHT(F76,1)</f>
      </c>
      <c r="F76" s="564"/>
      <c r="G76" t="s" s="536">
        <v>244</v>
      </c>
      <c r="H76" t="s" s="536">
        <v>1764</v>
      </c>
      <c r="I76" t="s" s="536">
        <v>1787</v>
      </c>
      <c r="J76" t="s" s="536">
        <v>1765</v>
      </c>
      <c r="K76" t="s" s="536">
        <v>1788</v>
      </c>
      <c r="L76" s="538"/>
      <c r="M76" t="s" s="539">
        <v>1766</v>
      </c>
      <c r="N76" t="s" s="540">
        <v>1767</v>
      </c>
      <c r="O76" s="534"/>
      <c r="P76" s="890"/>
    </row>
    <row r="77" ht="15" customHeight="1">
      <c r="A77" s="887"/>
      <c r="B77" s="61"/>
      <c r="C77" t="s" s="513">
        <f>IF(LEFT(RIGHT($B$1,2),1)=" ",RIGHT($B$1,1),RIGHT($B$1,2))</f>
        <v>2103</v>
      </c>
      <c r="D77" s="61">
        <f>IF(LEFT(F77,14)="Bonne pratique",D76+1,D76)</f>
      </c>
      <c r="E77" s="565">
        <f>C77&amp;D77&amp;RIGHT(F77,1)</f>
      </c>
      <c r="F77" s="529"/>
      <c r="G77" s="541"/>
      <c r="H77" s="541"/>
      <c r="I77" s="541"/>
      <c r="J77" s="541"/>
      <c r="K77" s="541"/>
      <c r="L77" s="61"/>
      <c r="M77" s="541"/>
      <c r="N77" s="541"/>
      <c r="O77" s="61"/>
      <c r="P77" s="890"/>
    </row>
    <row r="78" ht="130.05" customHeight="1">
      <c r="A78" s="887"/>
      <c r="B78" s="542"/>
      <c r="C78" t="s" s="543">
        <f>IF(LEFT(RIGHT($B$1,2),1)=" ",RIGHT($B$1,1),RIGHT($B$1,2))</f>
        <v>2103</v>
      </c>
      <c r="D78" s="550">
        <f>IF(LEFT(F78,14)="Bonne pratique",D77+1,D77)</f>
      </c>
      <c r="E78" s="566">
        <f>C78&amp;D78&amp;RIGHT(F78,1)</f>
      </c>
      <c r="F78" t="s" s="546">
        <v>1769</v>
      </c>
      <c r="G78" s="567">
        <f>_xlfn.IFERROR(IF(VLOOKUP($E78,'BDD'!$A$1:$S$567,MATCH(G$10,'BDD'!$A$1:$P$1,0),FALSE)=0,"",VLOOKUP($E78,'BDD'!$A$1:$S$567,MATCH(G$10,'BDD'!$A$1:$P$1,0),FALSE)),"")</f>
      </c>
      <c r="H78" s="568">
        <f>IF(VLOOKUP(E78,'BDD'!$A$1:$S$567,15,FALSE)=0,"Critère non évalué","")</f>
      </c>
      <c r="I78" s="569">
        <f>_xlfn.IFERROR(IF(VLOOKUP($E78,'BDD'!$A$1:$S$567,MATCH(I$10,'BDD'!$A$1:$P$1,0),FALSE)=0,"",VLOOKUP($E78,'BDD'!$A$1:$S$567,MATCH(I$10,'BDD'!$A$1:$P$1,0),FALSE)),"")</f>
      </c>
      <c r="J78" s="549"/>
      <c r="K78" s="567">
        <f>_xlfn.IFERROR(IF(VLOOKUP($E78,'BDD'!$A$1:$S$567,MATCH(K$10,'BDD'!$A$1:$P$1,0),FALSE)=0,"",VLOOKUP($E78,'BDD'!$A$1:$S$567,MATCH(K$10,'BDD'!$A$1:$P$1,0),FALSE)),"")</f>
      </c>
      <c r="L78" s="550"/>
      <c r="M78" s="551"/>
      <c r="N78" s="551"/>
      <c r="O78" s="534"/>
      <c r="P78" s="890"/>
    </row>
    <row r="79" ht="130.05" customHeight="1">
      <c r="A79" s="887"/>
      <c r="B79" s="542"/>
      <c r="C79" t="s" s="543">
        <f>IF(LEFT(RIGHT($B$1,2),1)=" ",RIGHT($B$1,1),RIGHT($B$1,2))</f>
        <v>2103</v>
      </c>
      <c r="D79" s="550">
        <f>IF(LEFT(F79,14)="Bonne pratique",D78+1,D78)</f>
      </c>
      <c r="E79" s="566">
        <f>C79&amp;D79&amp;RIGHT(F79,1)</f>
      </c>
      <c r="F79" t="s" s="552">
        <v>1772</v>
      </c>
      <c r="G79" s="557">
        <f>_xlfn.IFERROR(IF(VLOOKUP($E79,'BDD'!$A$1:$S$567,MATCH(G$10,'BDD'!$A$1:$P$1,0),FALSE)=0,"",VLOOKUP($E79,'BDD'!$A$1:$S$567,MATCH(G$10,'BDD'!$A$1:$P$1,0),FALSE)),"")</f>
      </c>
      <c r="H79" s="570">
        <f>IF(VLOOKUP(E79,'BDD'!$A$1:$S$567,15,FALSE)=0,"Critère non évalué","")</f>
      </c>
      <c r="I79" s="571">
        <f>_xlfn.IFERROR(IF(VLOOKUP($E79,'BDD'!$A$1:$S$567,MATCH(I$10,'BDD'!$A$1:$P$1,0),FALSE)=0,"",VLOOKUP($E79,'BDD'!$A$1:$S$567,MATCH(I$10,'BDD'!$A$1:$P$1,0),FALSE)),"")</f>
      </c>
      <c r="J79" s="554"/>
      <c r="K79" s="557">
        <f>_xlfn.IFERROR(IF(VLOOKUP($E79,'BDD'!$A$1:$S$567,MATCH(K$10,'BDD'!$A$1:$P$1,0),FALSE)=0,"",VLOOKUP($E79,'BDD'!$A$1:$S$567,MATCH(K$10,'BDD'!$A$1:$P$1,0),FALSE)),"")</f>
      </c>
      <c r="L79" s="550"/>
      <c r="M79" s="555"/>
      <c r="N79" s="555"/>
      <c r="O79" s="534"/>
      <c r="P79" s="890"/>
    </row>
    <row r="80" ht="130.05" customHeight="1">
      <c r="A80" s="887"/>
      <c r="B80" s="542"/>
      <c r="C80" t="s" s="543">
        <f>IF(LEFT(RIGHT($B$1,2),1)=" ",RIGHT($B$1,1),RIGHT($B$1,2))</f>
        <v>2103</v>
      </c>
      <c r="D80" s="550">
        <f>IF(LEFT(F80,14)="Bonne pratique",D79+1,D79)</f>
      </c>
      <c r="E80" s="566">
        <f>C80&amp;D80&amp;RIGHT(F80,1)</f>
      </c>
      <c r="F80" t="s" s="546">
        <v>1774</v>
      </c>
      <c r="G80" s="567">
        <f>_xlfn.IFERROR(IF(VLOOKUP($E80,'BDD'!$A$1:$S$567,MATCH(G$10,'BDD'!$A$1:$P$1,0),FALSE)=0,"",VLOOKUP($E80,'BDD'!$A$1:$S$567,MATCH(G$10,'BDD'!$A$1:$P$1,0),FALSE)),"")</f>
      </c>
      <c r="H80" s="568">
        <f>IF(VLOOKUP(E80,'BDD'!$A$1:$S$567,15,FALSE)=0,"Critère non évalué","")</f>
      </c>
      <c r="I80" s="569">
        <f>_xlfn.IFERROR(IF(VLOOKUP($E80,'BDD'!$A$1:$S$567,MATCH(I$10,'BDD'!$A$1:$P$1,0),FALSE)=0,"",VLOOKUP($E80,'BDD'!$A$1:$S$567,MATCH(I$10,'BDD'!$A$1:$P$1,0),FALSE)),"")</f>
      </c>
      <c r="J80" s="549"/>
      <c r="K80" s="567">
        <f>_xlfn.IFERROR(IF(VLOOKUP($E80,'BDD'!$A$1:$S$567,MATCH(K$10,'BDD'!$A$1:$P$1,0),FALSE)=0,"",VLOOKUP($E80,'BDD'!$A$1:$S$567,MATCH(K$10,'BDD'!$A$1:$P$1,0),FALSE)),"")</f>
      </c>
      <c r="L80" s="550"/>
      <c r="M80" s="551"/>
      <c r="N80" s="551"/>
      <c r="O80" s="534"/>
      <c r="P80" s="890"/>
    </row>
    <row r="81" ht="130.05" customHeight="1">
      <c r="A81" s="887"/>
      <c r="B81" s="542"/>
      <c r="C81" t="s" s="543">
        <f>IF(LEFT(RIGHT($B$1,2),1)=" ",RIGHT($B$1,1),RIGHT($B$1,2))</f>
        <v>2103</v>
      </c>
      <c r="D81" s="550">
        <f>IF(LEFT(F81,14)="Bonne pratique",D80+1,D80)</f>
      </c>
      <c r="E81" s="566">
        <f>C81&amp;D81&amp;RIGHT(F81,1)</f>
      </c>
      <c r="F81" t="s" s="552">
        <v>1776</v>
      </c>
      <c r="G81" s="557">
        <f>_xlfn.IFERROR(IF(VLOOKUP($E81,'BDD'!$A$1:$S$567,MATCH(G$10,'BDD'!$A$1:$P$1,0),FALSE)=0,"",VLOOKUP($E81,'BDD'!$A$1:$S$567,MATCH(G$10,'BDD'!$A$1:$P$1,0),FALSE)),"")</f>
      </c>
      <c r="H81" s="570">
        <f>IF(VLOOKUP(E81,'BDD'!$A$1:$S$567,15,FALSE)=0,"Critère non évalué","")</f>
      </c>
      <c r="I81" s="571">
        <f>_xlfn.IFERROR(IF(VLOOKUP($E81,'BDD'!$A$1:$S$567,MATCH(I$10,'BDD'!$A$1:$P$1,0),FALSE)=0,"",VLOOKUP($E81,'BDD'!$A$1:$S$567,MATCH(I$10,'BDD'!$A$1:$P$1,0),FALSE)),"")</f>
      </c>
      <c r="J81" s="556"/>
      <c r="K81" s="557">
        <f>_xlfn.IFERROR(IF(VLOOKUP($E81,'BDD'!$A$1:$S$567,MATCH(K$10,'BDD'!$A$1:$P$1,0),FALSE)=0,"",VLOOKUP($E81,'BDD'!$A$1:$S$567,MATCH(K$10,'BDD'!$A$1:$P$1,0),FALSE)),"")</f>
      </c>
      <c r="L81" s="550"/>
      <c r="M81" s="555"/>
      <c r="N81" s="555"/>
      <c r="O81" s="534"/>
      <c r="P81" s="890"/>
    </row>
    <row r="82" ht="130.05" customHeight="1">
      <c r="A82" s="887"/>
      <c r="B82" s="542"/>
      <c r="C82" t="s" s="543">
        <f>IF(LEFT(RIGHT($B$1,2),1)=" ",RIGHT($B$1,1),RIGHT($B$1,2))</f>
        <v>2103</v>
      </c>
      <c r="D82" s="550">
        <f>IF(LEFT(F82,14)="Bonne pratique",D81+1,D81)</f>
      </c>
      <c r="E82" s="566">
        <f>C82&amp;D82&amp;RIGHT(F82,1)</f>
      </c>
      <c r="F82" t="s" s="546">
        <v>1778</v>
      </c>
      <c r="G82" s="567">
        <f>_xlfn.IFERROR(IF(VLOOKUP($E82,'BDD'!$A$1:$S$567,MATCH(G$10,'BDD'!$A$1:$P$1,0),FALSE)=0,"",VLOOKUP($E82,'BDD'!$A$1:$S$567,MATCH(G$10,'BDD'!$A$1:$P$1,0),FALSE)),"")</f>
      </c>
      <c r="H82" s="568">
        <f>IF(VLOOKUP(E82,'BDD'!$A$1:$S$567,15,FALSE)=0,"Critère non évalué","")</f>
      </c>
      <c r="I82" s="569">
        <f>_xlfn.IFERROR(IF(VLOOKUP($E82,'BDD'!$A$1:$S$567,MATCH(I$10,'BDD'!$A$1:$P$1,0),FALSE)=0,"",VLOOKUP($E82,'BDD'!$A$1:$S$567,MATCH(I$10,'BDD'!$A$1:$P$1,0),FALSE)),"")</f>
      </c>
      <c r="J82" s="549"/>
      <c r="K82" s="567">
        <f>_xlfn.IFERROR(IF(VLOOKUP($E82,'BDD'!$A$1:$S$567,MATCH(K$10,'BDD'!$A$1:$P$1,0),FALSE)=0,"",VLOOKUP($E82,'BDD'!$A$1:$S$567,MATCH(K$10,'BDD'!$A$1:$P$1,0),FALSE)),"")</f>
      </c>
      <c r="L82" s="550"/>
      <c r="M82" s="557"/>
      <c r="N82" s="557"/>
      <c r="O82" s="534"/>
      <c r="P82" s="890"/>
    </row>
    <row r="83" ht="130.05" customHeight="1">
      <c r="A83" s="887"/>
      <c r="B83" s="542"/>
      <c r="C83" t="s" s="543">
        <f>IF(LEFT(RIGHT($B$1,2),1)=" ",RIGHT($B$1,1),RIGHT($B$1,2))</f>
        <v>2103</v>
      </c>
      <c r="D83" s="550">
        <f>IF(LEFT(F83,14)="Bonne pratique",D82+1,D82)</f>
      </c>
      <c r="E83" s="566">
        <f>C83&amp;D83&amp;RIGHT(F83,1)</f>
      </c>
      <c r="F83" t="s" s="552">
        <v>1780</v>
      </c>
      <c r="G83" s="557">
        <f>_xlfn.IFERROR(IF(VLOOKUP($E83,'BDD'!$A$1:$S$567,MATCH(G$10,'BDD'!$A$1:$P$1,0),FALSE)=0,"",VLOOKUP($E83,'BDD'!$A$1:$S$567,MATCH(G$10,'BDD'!$A$1:$P$1,0),FALSE)),"")</f>
      </c>
      <c r="H83" s="570">
        <f>IF(VLOOKUP(E83,'BDD'!$A$1:$S$567,15,FALSE)=0,"Critère non évalué","")</f>
      </c>
      <c r="I83" s="571">
        <f>_xlfn.IFERROR(IF(VLOOKUP($E83,'BDD'!$A$1:$S$567,MATCH(I$10,'BDD'!$A$1:$P$1,0),FALSE)=0,"",VLOOKUP($E83,'BDD'!$A$1:$S$567,MATCH(I$10,'BDD'!$A$1:$P$1,0),FALSE)),"")</f>
      </c>
      <c r="J83" s="556"/>
      <c r="K83" s="557">
        <f>_xlfn.IFERROR(IF(VLOOKUP($E83,'BDD'!$A$1:$S$567,MATCH(K$10,'BDD'!$A$1:$P$1,0),FALSE)=0,"",VLOOKUP($E83,'BDD'!$A$1:$S$567,MATCH(K$10,'BDD'!$A$1:$P$1,0),FALSE)),"")</f>
      </c>
      <c r="L83" s="550"/>
      <c r="M83" s="555"/>
      <c r="N83" s="555"/>
      <c r="O83" s="534"/>
      <c r="P83" s="890"/>
    </row>
    <row r="84" ht="130.05" customHeight="1" hidden="1">
      <c r="A84" s="887"/>
      <c r="B84" s="542"/>
      <c r="C84" t="s" s="543">
        <f>IF(LEFT(RIGHT($B$1,2),1)=" ",RIGHT($B$1,1),RIGHT($B$1,2))</f>
        <v>2103</v>
      </c>
      <c r="D84" s="550">
        <f>IF(LEFT(F84,14)="Bonne pratique",D83+1,D83)</f>
      </c>
      <c r="E84" s="566">
        <f>C84&amp;D84&amp;RIGHT(F84,1)</f>
      </c>
      <c r="F84" t="s" s="546">
        <v>1782</v>
      </c>
      <c r="G84" s="567">
        <f>_xlfn.IFERROR(IF(VLOOKUP($E84,'BDD'!$A$1:$S$567,MATCH(G$10,'BDD'!$A$1:$P$1,0),FALSE)=0,"",VLOOKUP($E84,'BDD'!$A$1:$S$567,MATCH(G$10,'BDD'!$A$1:$P$1,0),FALSE)),"")</f>
      </c>
      <c r="H84" s="568">
        <f>IF(VLOOKUP(E84,'BDD'!$A$1:$S$567,15,FALSE)=0,"Critère non évalué","")</f>
      </c>
      <c r="I84" s="569">
        <f>_xlfn.IFERROR(IF(VLOOKUP($E84,'BDD'!$A$1:$S$567,MATCH(I$10,'BDD'!$A$1:$P$1,0),FALSE)=0,"",VLOOKUP($E84,'BDD'!$A$1:$S$567,MATCH(I$10,'BDD'!$A$1:$P$1,0),FALSE)),"")</f>
      </c>
      <c r="J84" s="549"/>
      <c r="K84" s="567">
        <f>_xlfn.IFERROR(IF(VLOOKUP($E84,'BDD'!$A$1:$S$567,MATCH(K$10,'BDD'!$A$1:$P$1,0),FALSE)=0,"",VLOOKUP($E84,'BDD'!$A$1:$S$567,MATCH(K$10,'BDD'!$A$1:$P$1,0),FALSE)),"")</f>
      </c>
      <c r="L84" s="550"/>
      <c r="M84" s="557"/>
      <c r="N84" s="557"/>
      <c r="O84" s="534"/>
      <c r="P84" s="890"/>
    </row>
    <row r="85" ht="14.4" customHeight="1">
      <c r="A85" s="887"/>
      <c r="B85" s="61"/>
      <c r="C85" t="s" s="513">
        <f>IF(LEFT(RIGHT($B$1,2),1)=" ",RIGHT($B$1,1),RIGHT($B$1,2))</f>
        <v>2103</v>
      </c>
      <c r="D85" s="61"/>
      <c r="E85" s="61"/>
      <c r="F85" s="559"/>
      <c r="G85" s="559"/>
      <c r="H85" s="559"/>
      <c r="I85" s="559"/>
      <c r="J85" s="559"/>
      <c r="K85" s="559"/>
      <c r="L85" s="61"/>
      <c r="M85" s="559"/>
      <c r="N85" s="559"/>
      <c r="O85" s="61"/>
      <c r="P85" s="890"/>
    </row>
    <row r="86" ht="14.4" customHeight="1">
      <c r="A86" s="887"/>
      <c r="B86" s="61"/>
      <c r="C86" t="s" s="513">
        <f>IF(LEFT(RIGHT($B$1,2),1)=" ",RIGHT($B$1,1),RIGHT($B$1,2))</f>
        <v>2103</v>
      </c>
      <c r="D86" s="61"/>
      <c r="E86" s="61"/>
      <c r="F86" s="61"/>
      <c r="G86" s="61"/>
      <c r="H86" s="61"/>
      <c r="I86" s="61"/>
      <c r="J86" s="61"/>
      <c r="K86" s="61"/>
      <c r="L86" s="61"/>
      <c r="M86" s="61"/>
      <c r="N86" s="61"/>
      <c r="O86" s="61"/>
      <c r="P86" s="890"/>
    </row>
    <row r="87" ht="25.8" customHeight="1">
      <c r="A87" s="891"/>
      <c r="B87" s="512"/>
      <c r="C87" t="s" s="513">
        <f>IF(LEFT(RIGHT($B$1,2),1)=" ",RIGHT($B$1,1),RIGHT($B$1,2))</f>
        <v>2103</v>
      </c>
      <c r="D87" s="61">
        <f>IF(LEFT(F87,14)="Bonne pratique",D83+1,D83)</f>
      </c>
      <c r="E87" s="565">
        <f>C87&amp;D87&amp;RIGHT(F87,1)</f>
      </c>
      <c r="F87" t="s" s="516">
        <v>1887</v>
      </c>
      <c r="G87" s="517"/>
      <c r="H87" s="518"/>
      <c r="I87" s="519"/>
      <c r="J87" s="519">
        <f>VLOOKUP(E94,'BDD'!$A$2:$N$567,6,FALSE)</f>
      </c>
      <c r="K87" s="521"/>
      <c r="L87" s="517"/>
      <c r="M87" s="517"/>
      <c r="N87" s="517"/>
      <c r="O87" s="512"/>
      <c r="P87" s="892"/>
    </row>
    <row r="88" ht="15" customHeight="1">
      <c r="A88" s="887"/>
      <c r="B88" s="61"/>
      <c r="C88" t="s" s="513">
        <f>IF(LEFT(RIGHT($B$1,2),1)=" ",RIGHT($B$1,1),RIGHT($B$1,2))</f>
        <v>2103</v>
      </c>
      <c r="D88" s="61">
        <f>IF(LEFT(F88,14)="Bonne pratique",D87+1,D87)</f>
      </c>
      <c r="E88" s="565">
        <f>C88&amp;D88&amp;RIGHT(F88,1)</f>
      </c>
      <c r="F88" s="61"/>
      <c r="G88" s="61"/>
      <c r="H88" s="61"/>
      <c r="I88" s="61"/>
      <c r="J88" s="61"/>
      <c r="K88" s="61"/>
      <c r="L88" s="61"/>
      <c r="M88" s="61"/>
      <c r="N88" s="61"/>
      <c r="O88" s="61"/>
      <c r="P88" s="890"/>
    </row>
    <row r="89" ht="18" customHeight="1">
      <c r="A89" s="893"/>
      <c r="B89" s="524"/>
      <c r="C89" t="s" s="513">
        <f>IF(LEFT(RIGHT($B$1,2),1)=" ",RIGHT($B$1,1),RIGHT($B$1,2))</f>
        <v>2103</v>
      </c>
      <c r="D89" s="61">
        <f>IF(LEFT(F89,14)="Bonne pratique",D88+1,D88)</f>
      </c>
      <c r="E89" s="565">
        <f>C89&amp;D89&amp;RIGHT(F89,1)</f>
      </c>
      <c r="F89" s="524"/>
      <c r="G89" s="524"/>
      <c r="H89" s="524"/>
      <c r="I89" s="525"/>
      <c r="J89" t="s" s="526">
        <v>2143</v>
      </c>
      <c r="K89" s="525"/>
      <c r="L89" s="524"/>
      <c r="M89" s="524"/>
      <c r="N89" s="524"/>
      <c r="O89" s="524"/>
      <c r="P89" s="894"/>
    </row>
    <row r="90" ht="18" customHeight="1">
      <c r="A90" s="887"/>
      <c r="B90" s="61"/>
      <c r="C90" t="s" s="513">
        <f>IF(LEFT(RIGHT($B$1,2),1)=" ",RIGHT($B$1,1),RIGHT($B$1,2))</f>
        <v>2103</v>
      </c>
      <c r="D90" s="61">
        <f>IF(LEFT(F90,14)="Bonne pratique",D89+1,D89)</f>
      </c>
      <c r="E90" s="565">
        <f>C90&amp;D90&amp;RIGHT(F90,1)</f>
      </c>
      <c r="F90" s="61"/>
      <c r="G90" s="61"/>
      <c r="H90" s="61"/>
      <c r="I90" s="61"/>
      <c r="J90" t="s" s="526">
        <v>2144</v>
      </c>
      <c r="K90" s="61"/>
      <c r="L90" s="61"/>
      <c r="M90" s="529"/>
      <c r="N90" s="529"/>
      <c r="O90" s="61"/>
      <c r="P90" s="890"/>
    </row>
    <row r="91" ht="15" customHeight="1">
      <c r="A91" s="887"/>
      <c r="B91" s="61"/>
      <c r="C91" t="s" s="513">
        <f>IF(LEFT(RIGHT($B$1,2),1)=" ",RIGHT($B$1,1),RIGHT($B$1,2))</f>
        <v>2103</v>
      </c>
      <c r="D91" s="61">
        <f>IF(LEFT(F91,14)="Bonne pratique",D90+1,D90)</f>
      </c>
      <c r="E91" s="565">
        <f>C91&amp;D91&amp;RIGHT(F91,1)</f>
      </c>
      <c r="F91" s="61"/>
      <c r="G91" s="529"/>
      <c r="H91" s="529"/>
      <c r="I91" s="529"/>
      <c r="J91" s="530"/>
      <c r="K91" s="529"/>
      <c r="L91" s="542"/>
      <c r="M91" t="s" s="562">
        <v>1763</v>
      </c>
      <c r="N91" s="563"/>
      <c r="O91" s="534"/>
      <c r="P91" s="890"/>
    </row>
    <row r="92" ht="33" customHeight="1">
      <c r="A92" s="887"/>
      <c r="B92" s="61"/>
      <c r="C92" t="s" s="513">
        <f>IF(LEFT(RIGHT($B$1,2),1)=" ",RIGHT($B$1,1),RIGHT($B$1,2))</f>
        <v>2103</v>
      </c>
      <c r="D92" s="61">
        <f>IF(LEFT(F92,14)="Bonne pratique",D91+1,D91)</f>
      </c>
      <c r="E92" s="565">
        <f>C92&amp;D92&amp;RIGHT(F92,1)</f>
      </c>
      <c r="F92" s="564"/>
      <c r="G92" t="s" s="536">
        <v>244</v>
      </c>
      <c r="H92" t="s" s="536">
        <v>1764</v>
      </c>
      <c r="I92" t="s" s="536">
        <v>1787</v>
      </c>
      <c r="J92" t="s" s="536">
        <v>1765</v>
      </c>
      <c r="K92" t="s" s="536">
        <v>1788</v>
      </c>
      <c r="L92" s="538"/>
      <c r="M92" t="s" s="539">
        <v>1766</v>
      </c>
      <c r="N92" t="s" s="540">
        <v>1767</v>
      </c>
      <c r="O92" s="534"/>
      <c r="P92" s="890"/>
    </row>
    <row r="93" ht="15" customHeight="1">
      <c r="A93" s="887"/>
      <c r="B93" s="61"/>
      <c r="C93" t="s" s="513">
        <f>IF(LEFT(RIGHT($B$1,2),1)=" ",RIGHT($B$1,1),RIGHT($B$1,2))</f>
        <v>2103</v>
      </c>
      <c r="D93" s="61">
        <f>IF(LEFT(F93,14)="Bonne pratique",D92+1,D92)</f>
      </c>
      <c r="E93" s="565">
        <f>C93&amp;D93&amp;RIGHT(F93,1)</f>
      </c>
      <c r="F93" s="529"/>
      <c r="G93" s="541"/>
      <c r="H93" s="541"/>
      <c r="I93" s="541"/>
      <c r="J93" s="541"/>
      <c r="K93" s="541"/>
      <c r="L93" s="61"/>
      <c r="M93" s="541"/>
      <c r="N93" s="541"/>
      <c r="O93" s="61"/>
      <c r="P93" s="890"/>
    </row>
    <row r="94" ht="130.05" customHeight="1">
      <c r="A94" s="887"/>
      <c r="B94" s="542"/>
      <c r="C94" t="s" s="543">
        <f>IF(LEFT(RIGHT($B$1,2),1)=" ",RIGHT($B$1,1),RIGHT($B$1,2))</f>
        <v>2103</v>
      </c>
      <c r="D94" s="550">
        <f>IF(LEFT(F94,14)="Bonne pratique",D93+1,D93)</f>
      </c>
      <c r="E94" s="566">
        <f>C94&amp;D94&amp;RIGHT(F94,1)</f>
      </c>
      <c r="F94" t="s" s="546">
        <v>1769</v>
      </c>
      <c r="G94" s="567">
        <f>_xlfn.IFERROR(IF(VLOOKUP($E94,'BDD'!$A$1:$S$567,MATCH(G$10,'BDD'!$A$1:$P$1,0),FALSE)=0,"",VLOOKUP($E94,'BDD'!$A$1:$S$567,MATCH(G$10,'BDD'!$A$1:$P$1,0),FALSE)),"")</f>
      </c>
      <c r="H94" s="568">
        <f>IF(VLOOKUP(E94,'BDD'!$A$1:$S$567,15,FALSE)=0,"Critère non évalué","")</f>
      </c>
      <c r="I94" s="569">
        <f>_xlfn.IFERROR(IF(VLOOKUP($E94,'BDD'!$A$1:$S$567,MATCH(I$10,'BDD'!$A$1:$P$1,0),FALSE)=0,"",VLOOKUP($E94,'BDD'!$A$1:$S$567,MATCH(I$10,'BDD'!$A$1:$P$1,0),FALSE)),"")</f>
      </c>
      <c r="J94" s="549"/>
      <c r="K94" s="567">
        <f>_xlfn.IFERROR(IF(VLOOKUP($E94,'BDD'!$A$1:$S$567,MATCH(K$10,'BDD'!$A$1:$P$1,0),FALSE)=0,"",VLOOKUP($E94,'BDD'!$A$1:$S$567,MATCH(K$10,'BDD'!$A$1:$P$1,0),FALSE)),"")</f>
      </c>
      <c r="L94" s="550"/>
      <c r="M94" s="551"/>
      <c r="N94" s="551"/>
      <c r="O94" s="534"/>
      <c r="P94" s="890"/>
    </row>
    <row r="95" ht="133.8" customHeight="1">
      <c r="A95" s="887"/>
      <c r="B95" s="542"/>
      <c r="C95" t="s" s="543">
        <f>IF(LEFT(RIGHT($B$1,2),1)=" ",RIGHT($B$1,1),RIGHT($B$1,2))</f>
        <v>2103</v>
      </c>
      <c r="D95" s="550">
        <f>IF(LEFT(F95,14)="Bonne pratique",D94+1,D94)</f>
      </c>
      <c r="E95" s="566">
        <f>C95&amp;D95&amp;RIGHT(F95,1)</f>
      </c>
      <c r="F95" t="s" s="552">
        <v>1772</v>
      </c>
      <c r="G95" s="557">
        <f>_xlfn.IFERROR(IF(VLOOKUP($E95,'BDD'!$A$1:$S$567,MATCH(G$10,'BDD'!$A$1:$P$1,0),FALSE)=0,"",VLOOKUP($E95,'BDD'!$A$1:$S$567,MATCH(G$10,'BDD'!$A$1:$P$1,0),FALSE)),"")</f>
      </c>
      <c r="H95" s="570">
        <f>IF(VLOOKUP(E95,'BDD'!$A$1:$S$567,15,FALSE)=0,"Critère non évalué","")</f>
      </c>
      <c r="I95" s="571">
        <f>_xlfn.IFERROR(IF(VLOOKUP($E95,'BDD'!$A$1:$S$567,MATCH(I$10,'BDD'!$A$1:$P$1,0),FALSE)=0,"",VLOOKUP($E95,'BDD'!$A$1:$S$567,MATCH(I$10,'BDD'!$A$1:$P$1,0),FALSE)),"")</f>
      </c>
      <c r="J95" s="554"/>
      <c r="K95" s="557">
        <f>_xlfn.IFERROR(IF(VLOOKUP($E95,'BDD'!$A$1:$S$567,MATCH(K$10,'BDD'!$A$1:$P$1,0),FALSE)=0,"",VLOOKUP($E95,'BDD'!$A$1:$S$567,MATCH(K$10,'BDD'!$A$1:$P$1,0),FALSE)),"")</f>
      </c>
      <c r="L95" s="550"/>
      <c r="M95" s="555"/>
      <c r="N95" s="555"/>
      <c r="O95" s="534"/>
      <c r="P95" s="890"/>
    </row>
    <row r="96" ht="130.05" customHeight="1">
      <c r="A96" s="887"/>
      <c r="B96" s="542"/>
      <c r="C96" t="s" s="543">
        <f>IF(LEFT(RIGHT($B$1,2),1)=" ",RIGHT($B$1,1),RIGHT($B$1,2))</f>
        <v>2103</v>
      </c>
      <c r="D96" s="550">
        <f>IF(LEFT(F96,14)="Bonne pratique",D95+1,D95)</f>
      </c>
      <c r="E96" s="566">
        <f>C96&amp;D96&amp;RIGHT(F96,1)</f>
      </c>
      <c r="F96" t="s" s="546">
        <v>1774</v>
      </c>
      <c r="G96" s="567">
        <f>_xlfn.IFERROR(IF(VLOOKUP($E96,'BDD'!$A$1:$S$567,MATCH(G$10,'BDD'!$A$1:$P$1,0),FALSE)=0,"",VLOOKUP($E96,'BDD'!$A$1:$S$567,MATCH(G$10,'BDD'!$A$1:$P$1,0),FALSE)),"")</f>
      </c>
      <c r="H96" s="568">
        <f>IF(VLOOKUP(E96,'BDD'!$A$1:$S$567,15,FALSE)=0,"Critère non évalué","")</f>
      </c>
      <c r="I96" s="569">
        <f>_xlfn.IFERROR(IF(VLOOKUP($E96,'BDD'!$A$1:$S$567,MATCH(I$10,'BDD'!$A$1:$P$1,0),FALSE)=0,"",VLOOKUP($E96,'BDD'!$A$1:$S$567,MATCH(I$10,'BDD'!$A$1:$P$1,0),FALSE)),"")</f>
      </c>
      <c r="J96" s="549"/>
      <c r="K96" s="567">
        <f>_xlfn.IFERROR(IF(VLOOKUP($E96,'BDD'!$A$1:$S$567,MATCH(K$10,'BDD'!$A$1:$P$1,0),FALSE)=0,"",VLOOKUP($E96,'BDD'!$A$1:$S$567,MATCH(K$10,'BDD'!$A$1:$P$1,0),FALSE)),"")</f>
      </c>
      <c r="L96" s="550"/>
      <c r="M96" s="551"/>
      <c r="N96" s="551"/>
      <c r="O96" s="534"/>
      <c r="P96" s="890"/>
    </row>
    <row r="97" ht="130.05" customHeight="1">
      <c r="A97" s="887"/>
      <c r="B97" s="542"/>
      <c r="C97" t="s" s="543">
        <f>IF(LEFT(RIGHT($B$1,2),1)=" ",RIGHT($B$1,1),RIGHT($B$1,2))</f>
        <v>2103</v>
      </c>
      <c r="D97" s="550">
        <f>IF(LEFT(F97,14)="Bonne pratique",D96+1,D96)</f>
      </c>
      <c r="E97" s="566">
        <f>C97&amp;D97&amp;RIGHT(F97,1)</f>
      </c>
      <c r="F97" t="s" s="552">
        <v>1776</v>
      </c>
      <c r="G97" s="557">
        <f>_xlfn.IFERROR(IF(VLOOKUP($E97,'BDD'!$A$1:$S$567,MATCH(G$10,'BDD'!$A$1:$P$1,0),FALSE)=0,"",VLOOKUP($E97,'BDD'!$A$1:$S$567,MATCH(G$10,'BDD'!$A$1:$P$1,0),FALSE)),"")</f>
      </c>
      <c r="H97" s="570">
        <f>IF(VLOOKUP(E97,'BDD'!$A$1:$S$567,15,FALSE)=0,"Critère non évalué","")</f>
      </c>
      <c r="I97" s="571">
        <f>_xlfn.IFERROR(IF(VLOOKUP($E97,'BDD'!$A$1:$S$567,MATCH(I$10,'BDD'!$A$1:$P$1,0),FALSE)=0,"",VLOOKUP($E97,'BDD'!$A$1:$S$567,MATCH(I$10,'BDD'!$A$1:$P$1,0),FALSE)),"")</f>
      </c>
      <c r="J97" s="556"/>
      <c r="K97" s="557">
        <f>_xlfn.IFERROR(IF(VLOOKUP($E97,'BDD'!$A$1:$S$567,MATCH(K$10,'BDD'!$A$1:$P$1,0),FALSE)=0,"",VLOOKUP($E97,'BDD'!$A$1:$S$567,MATCH(K$10,'BDD'!$A$1:$P$1,0),FALSE)),"")</f>
      </c>
      <c r="L97" s="550"/>
      <c r="M97" s="555"/>
      <c r="N97" s="555"/>
      <c r="O97" s="534"/>
      <c r="P97" s="890"/>
    </row>
    <row r="98" ht="130.05" customHeight="1">
      <c r="A98" s="887"/>
      <c r="B98" s="542"/>
      <c r="C98" t="s" s="543">
        <f>IF(LEFT(RIGHT($B$1,2),1)=" ",RIGHT($B$1,1),RIGHT($B$1,2))</f>
        <v>2103</v>
      </c>
      <c r="D98" s="550">
        <f>IF(LEFT(F98,14)="Bonne pratique",D97+1,D97)</f>
      </c>
      <c r="E98" s="566">
        <f>C98&amp;D98&amp;RIGHT(F98,1)</f>
      </c>
      <c r="F98" t="s" s="546">
        <v>1778</v>
      </c>
      <c r="G98" s="567">
        <f>_xlfn.IFERROR(IF(VLOOKUP($E98,'BDD'!$A$1:$S$567,MATCH(G$10,'BDD'!$A$1:$P$1,0),FALSE)=0,"",VLOOKUP($E98,'BDD'!$A$1:$S$567,MATCH(G$10,'BDD'!$A$1:$P$1,0),FALSE)),"")</f>
      </c>
      <c r="H98" s="568">
        <f>IF(VLOOKUP(E98,'BDD'!$A$1:$S$567,15,FALSE)=0,"Critère non évalué","")</f>
      </c>
      <c r="I98" s="569">
        <f>_xlfn.IFERROR(IF(VLOOKUP($E98,'BDD'!$A$1:$S$567,MATCH(I$10,'BDD'!$A$1:$P$1,0),FALSE)=0,"",VLOOKUP($E98,'BDD'!$A$1:$S$567,MATCH(I$10,'BDD'!$A$1:$P$1,0),FALSE)),"")</f>
      </c>
      <c r="J98" s="549"/>
      <c r="K98" s="567">
        <f>_xlfn.IFERROR(IF(VLOOKUP($E98,'BDD'!$A$1:$S$567,MATCH(K$10,'BDD'!$A$1:$P$1,0),FALSE)=0,"",VLOOKUP($E98,'BDD'!$A$1:$S$567,MATCH(K$10,'BDD'!$A$1:$P$1,0),FALSE)),"")</f>
      </c>
      <c r="L98" s="550"/>
      <c r="M98" s="557"/>
      <c r="N98" s="557"/>
      <c r="O98" s="534"/>
      <c r="P98" s="890"/>
    </row>
    <row r="99" ht="130.05" customHeight="1">
      <c r="A99" s="887"/>
      <c r="B99" s="542"/>
      <c r="C99" t="s" s="543">
        <f>IF(LEFT(RIGHT($B$1,2),1)=" ",RIGHT($B$1,1),RIGHT($B$1,2))</f>
        <v>2103</v>
      </c>
      <c r="D99" s="550">
        <f>IF(LEFT(F99,14)="Bonne pratique",D98+1,D98)</f>
      </c>
      <c r="E99" s="566">
        <f>C99&amp;D99&amp;RIGHT(F99,1)</f>
      </c>
      <c r="F99" t="s" s="552">
        <v>1780</v>
      </c>
      <c r="G99" s="557">
        <f>_xlfn.IFERROR(IF(VLOOKUP($E99,'BDD'!$A$1:$S$567,MATCH(G$10,'BDD'!$A$1:$P$1,0),FALSE)=0,"",VLOOKUP($E99,'BDD'!$A$1:$S$567,MATCH(G$10,'BDD'!$A$1:$P$1,0),FALSE)),"")</f>
      </c>
      <c r="H99" s="570">
        <f>IF(VLOOKUP(E99,'BDD'!$A$1:$S$567,15,FALSE)=0,"Critère non évalué","")</f>
      </c>
      <c r="I99" s="571">
        <f>_xlfn.IFERROR(IF(VLOOKUP($E99,'BDD'!$A$1:$S$567,MATCH(I$10,'BDD'!$A$1:$P$1,0),FALSE)=0,"",VLOOKUP($E99,'BDD'!$A$1:$S$567,MATCH(I$10,'BDD'!$A$1:$P$1,0),FALSE)),"")</f>
      </c>
      <c r="J99" s="556"/>
      <c r="K99" s="557">
        <f>_xlfn.IFERROR(IF(VLOOKUP($E99,'BDD'!$A$1:$S$567,MATCH(K$10,'BDD'!$A$1:$P$1,0),FALSE)=0,"",VLOOKUP($E99,'BDD'!$A$1:$S$567,MATCH(K$10,'BDD'!$A$1:$P$1,0),FALSE)),"")</f>
      </c>
      <c r="L99" s="550"/>
      <c r="M99" s="555"/>
      <c r="N99" s="555"/>
      <c r="O99" s="534"/>
      <c r="P99" s="890"/>
    </row>
    <row r="100" ht="130.05" customHeight="1">
      <c r="A100" s="887"/>
      <c r="B100" s="542"/>
      <c r="C100" t="s" s="543">
        <f>IF(LEFT(RIGHT($B$1,2),1)=" ",RIGHT($B$1,1),RIGHT($B$1,2))</f>
        <v>2103</v>
      </c>
      <c r="D100" s="550">
        <f>IF(LEFT(F100,14)="Bonne pratique",D99+1,D99)</f>
      </c>
      <c r="E100" s="566">
        <f>C100&amp;D100&amp;RIGHT(F100,1)</f>
      </c>
      <c r="F100" t="s" s="546">
        <v>1782</v>
      </c>
      <c r="G100" s="567">
        <f>_xlfn.IFERROR(IF(VLOOKUP($E100,'BDD'!$A$1:$S$567,MATCH(G$10,'BDD'!$A$1:$P$1,0),FALSE)=0,"",VLOOKUP($E100,'BDD'!$A$1:$S$567,MATCH(G$10,'BDD'!$A$1:$P$1,0),FALSE)),"")</f>
      </c>
      <c r="H100" s="568">
        <f>IF(VLOOKUP(E100,'BDD'!$A$1:$S$567,15,FALSE)=0,"Critère non évalué","")</f>
      </c>
      <c r="I100" s="569">
        <f>_xlfn.IFERROR(IF(VLOOKUP($E100,'BDD'!$A$1:$S$567,MATCH(I$10,'BDD'!$A$1:$P$1,0),FALSE)=0,"",VLOOKUP($E100,'BDD'!$A$1:$S$567,MATCH(I$10,'BDD'!$A$1:$P$1,0),FALSE)),"")</f>
      </c>
      <c r="J100" s="549"/>
      <c r="K100" s="567">
        <f>_xlfn.IFERROR(IF(VLOOKUP($E100,'BDD'!$A$1:$S$567,MATCH(K$10,'BDD'!$A$1:$P$1,0),FALSE)=0,"",VLOOKUP($E100,'BDD'!$A$1:$S$567,MATCH(K$10,'BDD'!$A$1:$P$1,0),FALSE)),"")</f>
      </c>
      <c r="L100" s="550"/>
      <c r="M100" s="557"/>
      <c r="N100" s="557"/>
      <c r="O100" s="534"/>
      <c r="P100" s="890"/>
    </row>
    <row r="101" ht="14.4" customHeight="1">
      <c r="A101" s="887"/>
      <c r="B101" s="61"/>
      <c r="C101" t="s" s="513">
        <f>IF(LEFT(RIGHT($B$1,2),1)=" ",RIGHT($B$1,1),RIGHT($B$1,2))</f>
        <v>2103</v>
      </c>
      <c r="D101" s="61"/>
      <c r="E101" s="61"/>
      <c r="F101" s="541"/>
      <c r="G101" s="541"/>
      <c r="H101" s="541"/>
      <c r="I101" s="541"/>
      <c r="J101" s="541"/>
      <c r="K101" s="541"/>
      <c r="L101" s="61"/>
      <c r="M101" s="541"/>
      <c r="N101" s="541"/>
      <c r="O101" s="61"/>
      <c r="P101" s="890"/>
    </row>
    <row r="102" ht="14.4" customHeight="1" hidden="1">
      <c r="A102" s="887"/>
      <c r="B102" s="61"/>
      <c r="C102" t="s" s="513">
        <f>IF(LEFT(RIGHT($B$1,2),1)=" ",RIGHT($B$1,1),RIGHT($B$1,2))</f>
        <v>2103</v>
      </c>
      <c r="D102" s="61"/>
      <c r="E102" s="61"/>
      <c r="F102" s="541"/>
      <c r="G102" s="541"/>
      <c r="H102" s="541"/>
      <c r="I102" s="541"/>
      <c r="J102" s="541"/>
      <c r="K102" s="541"/>
      <c r="L102" s="61"/>
      <c r="M102" s="541"/>
      <c r="N102" s="541"/>
      <c r="O102" s="61"/>
      <c r="P102" s="890"/>
    </row>
    <row r="103" ht="25.8" customHeight="1" hidden="1">
      <c r="A103" s="891"/>
      <c r="B103" s="512"/>
      <c r="C103" t="s" s="513">
        <f>IF(LEFT(RIGHT($B$1,2),1)=" ",RIGHT($B$1,1),RIGHT($B$1,2))</f>
        <v>2103</v>
      </c>
      <c r="D103" s="61">
        <f>IF(LEFT(F103,14)="Bonne pratique",D99+1,D99)</f>
      </c>
      <c r="E103" s="565">
        <f>C103&amp;D103&amp;RIGHT(F103,1)</f>
      </c>
      <c r="F103" t="s" s="828">
        <v>1888</v>
      </c>
      <c r="G103" s="829"/>
      <c r="H103" s="830"/>
      <c r="I103" s="831"/>
      <c r="J103" s="831">
        <f>VLOOKUP(E110,'BDD'!$A$2:$N$567,6,FALSE)</f>
      </c>
      <c r="K103" s="832"/>
      <c r="L103" s="517"/>
      <c r="M103" s="829"/>
      <c r="N103" s="829"/>
      <c r="O103" s="512"/>
      <c r="P103" s="892"/>
    </row>
    <row r="104" ht="9" customHeight="1" hidden="1">
      <c r="A104" s="887"/>
      <c r="B104" s="61"/>
      <c r="C104" t="s" s="513">
        <f>IF(LEFT(RIGHT($B$1,2),1)=" ",RIGHT($B$1,1),RIGHT($B$1,2))</f>
        <v>2103</v>
      </c>
      <c r="D104" s="61">
        <f>IF(LEFT(F104,14)="Bonne pratique",D103+1,D103)</f>
      </c>
      <c r="E104" s="565">
        <f>C104&amp;D104&amp;RIGHT(F104,1)</f>
      </c>
      <c r="F104" s="541"/>
      <c r="G104" s="541"/>
      <c r="H104" s="541"/>
      <c r="I104" s="541"/>
      <c r="J104" s="541"/>
      <c r="K104" s="541"/>
      <c r="L104" s="61"/>
      <c r="M104" s="541"/>
      <c r="N104" s="541"/>
      <c r="O104" s="61"/>
      <c r="P104" s="890"/>
    </row>
    <row r="105" ht="18" customHeight="1" hidden="1">
      <c r="A105" s="893"/>
      <c r="B105" s="524"/>
      <c r="C105" t="s" s="513">
        <f>IF(LEFT(RIGHT($B$1,2),1)=" ",RIGHT($B$1,1),RIGHT($B$1,2))</f>
        <v>2103</v>
      </c>
      <c r="D105" s="61">
        <f>IF(LEFT(F105,14)="Bonne pratique",D104+1,D104)</f>
      </c>
      <c r="E105" s="565">
        <f>C105&amp;D105&amp;RIGHT(F105,1)</f>
      </c>
      <c r="F105" s="833"/>
      <c r="G105" s="833"/>
      <c r="H105" s="833"/>
      <c r="I105" s="834"/>
      <c r="J105" s="835"/>
      <c r="K105" s="834"/>
      <c r="L105" s="524"/>
      <c r="M105" s="833"/>
      <c r="N105" s="833"/>
      <c r="O105" s="524"/>
      <c r="P105" s="894"/>
    </row>
    <row r="106" ht="18" customHeight="1" hidden="1">
      <c r="A106" s="887"/>
      <c r="B106" s="61"/>
      <c r="C106" t="s" s="513">
        <f>IF(LEFT(RIGHT($B$1,2),1)=" ",RIGHT($B$1,1),RIGHT($B$1,2))</f>
        <v>2103</v>
      </c>
      <c r="D106" s="61">
        <f>IF(LEFT(F106,14)="Bonne pratique",D105+1,D105)</f>
      </c>
      <c r="E106" s="565">
        <f>C106&amp;D106&amp;RIGHT(F106,1)</f>
      </c>
      <c r="F106" s="541"/>
      <c r="G106" s="541"/>
      <c r="H106" s="541"/>
      <c r="I106" s="541"/>
      <c r="J106" s="836"/>
      <c r="K106" s="541"/>
      <c r="L106" s="61"/>
      <c r="M106" s="541"/>
      <c r="N106" s="541"/>
      <c r="O106" s="61"/>
      <c r="P106" s="890"/>
    </row>
    <row r="107" ht="9" customHeight="1" hidden="1">
      <c r="A107" s="887"/>
      <c r="B107" s="61"/>
      <c r="C107" t="s" s="513">
        <f>IF(LEFT(RIGHT($B$1,2),1)=" ",RIGHT($B$1,1),RIGHT($B$1,2))</f>
        <v>2103</v>
      </c>
      <c r="D107" s="61">
        <f>IF(LEFT(F107,14)="Bonne pratique",D106+1,D106)</f>
      </c>
      <c r="E107" s="565">
        <f>C107&amp;D107&amp;RIGHT(F107,1)</f>
      </c>
      <c r="F107" s="541"/>
      <c r="G107" s="541"/>
      <c r="H107" s="541"/>
      <c r="I107" s="541"/>
      <c r="J107" s="837"/>
      <c r="K107" s="541"/>
      <c r="L107" s="542"/>
      <c r="M107" t="s" s="562">
        <v>1763</v>
      </c>
      <c r="N107" s="563"/>
      <c r="O107" s="534"/>
      <c r="P107" s="890"/>
    </row>
    <row r="108" ht="33" customHeight="1" hidden="1">
      <c r="A108" s="887"/>
      <c r="B108" s="61"/>
      <c r="C108" t="s" s="513">
        <f>IF(LEFT(RIGHT($B$1,2),1)=" ",RIGHT($B$1,1),RIGHT($B$1,2))</f>
        <v>2103</v>
      </c>
      <c r="D108" s="61">
        <f>IF(LEFT(F108,14)="Bonne pratique",D107+1,D107)</f>
      </c>
      <c r="E108" s="565">
        <f>C108&amp;D108&amp;RIGHT(F108,1)</f>
      </c>
      <c r="F108" s="838"/>
      <c r="G108" t="s" s="536">
        <v>244</v>
      </c>
      <c r="H108" t="s" s="536">
        <v>1764</v>
      </c>
      <c r="I108" t="s" s="536">
        <v>1787</v>
      </c>
      <c r="J108" t="s" s="536">
        <v>1765</v>
      </c>
      <c r="K108" t="s" s="536">
        <v>1788</v>
      </c>
      <c r="L108" s="538"/>
      <c r="M108" t="s" s="539">
        <v>1766</v>
      </c>
      <c r="N108" t="s" s="540">
        <v>1767</v>
      </c>
      <c r="O108" s="534"/>
      <c r="P108" s="890"/>
    </row>
    <row r="109" ht="9" customHeight="1" hidden="1">
      <c r="A109" s="887"/>
      <c r="B109" s="61"/>
      <c r="C109" t="s" s="513">
        <f>IF(LEFT(RIGHT($B$1,2),1)=" ",RIGHT($B$1,1),RIGHT($B$1,2))</f>
        <v>2103</v>
      </c>
      <c r="D109" s="61">
        <f>IF(LEFT(F109,14)="Bonne pratique",D108+1,D108)</f>
      </c>
      <c r="E109" s="565">
        <f>C109&amp;D109&amp;RIGHT(F109,1)</f>
      </c>
      <c r="F109" s="541"/>
      <c r="G109" s="541"/>
      <c r="H109" s="541"/>
      <c r="I109" s="541"/>
      <c r="J109" s="541"/>
      <c r="K109" s="541"/>
      <c r="L109" s="61"/>
      <c r="M109" s="541"/>
      <c r="N109" s="541"/>
      <c r="O109" s="61"/>
      <c r="P109" s="890"/>
    </row>
    <row r="110" ht="130.05" customHeight="1" hidden="1">
      <c r="A110" s="887"/>
      <c r="B110" s="542"/>
      <c r="C110" t="s" s="543">
        <f>IF(LEFT(RIGHT($B$1,2),1)=" ",RIGHT($B$1,1),RIGHT($B$1,2))</f>
        <v>2103</v>
      </c>
      <c r="D110" s="550">
        <f>IF(LEFT(F110,14)="Bonne pratique",D109+1,D109)</f>
      </c>
      <c r="E110" s="566">
        <f>C110&amp;D110&amp;RIGHT(F110,1)</f>
      </c>
      <c r="F110" t="s" s="546">
        <v>1769</v>
      </c>
      <c r="G110" s="567">
        <f>_xlfn.IFERROR(IF(VLOOKUP($E110,'BDD'!$A$1:$S$567,MATCH(G$10,'BDD'!$A$1:$P$1,0),FALSE)=0,"",VLOOKUP($E110,'BDD'!$A$1:$S$567,MATCH(G$10,'BDD'!$A$1:$P$1,0),FALSE)),"")</f>
      </c>
      <c r="H110" s="568">
        <f>IF(VLOOKUP(E110,'BDD'!$A$1:$S$567,15,FALSE)=0,"Critère non évalué","")</f>
      </c>
      <c r="I110" s="569">
        <f>_xlfn.IFERROR(IF(VLOOKUP($E110,'BDD'!$A$1:$S$567,MATCH(I$10,'BDD'!$A$1:$P$1,0),FALSE)=0,"",VLOOKUP($E110,'BDD'!$A$1:$S$567,MATCH(I$10,'BDD'!$A$1:$P$1,0),FALSE)),"")</f>
      </c>
      <c r="J110" s="549"/>
      <c r="K110" s="567">
        <f>_xlfn.IFERROR(IF(VLOOKUP($E110,'BDD'!$A$1:$S$567,MATCH(K$10,'BDD'!$A$1:$P$1,0),FALSE)=0,"",VLOOKUP($E110,'BDD'!$A$1:$S$567,MATCH(K$10,'BDD'!$A$1:$P$1,0),FALSE)),"")</f>
      </c>
      <c r="L110" s="550"/>
      <c r="M110" s="551"/>
      <c r="N110" s="551"/>
      <c r="O110" s="534"/>
      <c r="P110" s="890"/>
    </row>
    <row r="111" ht="130.05" customHeight="1" hidden="1">
      <c r="A111" s="887"/>
      <c r="B111" s="542"/>
      <c r="C111" t="s" s="543">
        <f>IF(LEFT(RIGHT($B$1,2),1)=" ",RIGHT($B$1,1),RIGHT($B$1,2))</f>
        <v>2103</v>
      </c>
      <c r="D111" s="550">
        <f>IF(LEFT(F111,14)="Bonne pratique",D110+1,D110)</f>
      </c>
      <c r="E111" s="566">
        <f>C111&amp;D111&amp;RIGHT(F111,1)</f>
      </c>
      <c r="F111" t="s" s="552">
        <v>1772</v>
      </c>
      <c r="G111" s="557">
        <f>_xlfn.IFERROR(IF(VLOOKUP($E111,'BDD'!$A$1:$S$567,MATCH(G$10,'BDD'!$A$1:$P$1,0),FALSE)=0,"",VLOOKUP($E111,'BDD'!$A$1:$S$567,MATCH(G$10,'BDD'!$A$1:$P$1,0),FALSE)),"")</f>
      </c>
      <c r="H111" s="570">
        <f>IF(VLOOKUP(E111,'BDD'!$A$1:$S$567,15,FALSE)=0,"Critère non évalué","")</f>
      </c>
      <c r="I111" s="571">
        <f>_xlfn.IFERROR(IF(VLOOKUP($E111,'BDD'!$A$1:$S$567,MATCH(I$10,'BDD'!$A$1:$P$1,0),FALSE)=0,"",VLOOKUP($E111,'BDD'!$A$1:$S$567,MATCH(I$10,'BDD'!$A$1:$P$1,0),FALSE)),"")</f>
      </c>
      <c r="J111" s="554"/>
      <c r="K111" s="557">
        <f>_xlfn.IFERROR(IF(VLOOKUP($E111,'BDD'!$A$1:$S$567,MATCH(K$10,'BDD'!$A$1:$P$1,0),FALSE)=0,"",VLOOKUP($E111,'BDD'!$A$1:$S$567,MATCH(K$10,'BDD'!$A$1:$P$1,0),FALSE)),"")</f>
      </c>
      <c r="L111" s="550"/>
      <c r="M111" s="555"/>
      <c r="N111" s="555"/>
      <c r="O111" s="534"/>
      <c r="P111" s="890"/>
    </row>
    <row r="112" ht="130.05" customHeight="1" hidden="1">
      <c r="A112" s="887"/>
      <c r="B112" s="542"/>
      <c r="C112" t="s" s="543">
        <f>IF(LEFT(RIGHT($B$1,2),1)=" ",RIGHT($B$1,1),RIGHT($B$1,2))</f>
        <v>2103</v>
      </c>
      <c r="D112" s="550">
        <f>IF(LEFT(F112,14)="Bonne pratique",D111+1,D111)</f>
      </c>
      <c r="E112" s="566">
        <f>C112&amp;D112&amp;RIGHT(F112,1)</f>
      </c>
      <c r="F112" t="s" s="546">
        <v>1774</v>
      </c>
      <c r="G112" s="567">
        <f>_xlfn.IFERROR(IF(VLOOKUP($E112,'BDD'!$A$1:$S$567,MATCH(G$10,'BDD'!$A$1:$P$1,0),FALSE)=0,"",VLOOKUP($E112,'BDD'!$A$1:$S$567,MATCH(G$10,'BDD'!$A$1:$P$1,0),FALSE)),"")</f>
      </c>
      <c r="H112" s="568">
        <f>IF(VLOOKUP(E112,'BDD'!$A$1:$S$567,15,FALSE)=0,"Critère non évalué","")</f>
      </c>
      <c r="I112" s="569">
        <f>_xlfn.IFERROR(IF(VLOOKUP($E112,'BDD'!$A$1:$S$567,MATCH(I$10,'BDD'!$A$1:$P$1,0),FALSE)=0,"",VLOOKUP($E112,'BDD'!$A$1:$S$567,MATCH(I$10,'BDD'!$A$1:$P$1,0),FALSE)),"")</f>
      </c>
      <c r="J112" s="549"/>
      <c r="K112" s="567">
        <f>_xlfn.IFERROR(IF(VLOOKUP($E112,'BDD'!$A$1:$S$567,MATCH(K$10,'BDD'!$A$1:$P$1,0),FALSE)=0,"",VLOOKUP($E112,'BDD'!$A$1:$S$567,MATCH(K$10,'BDD'!$A$1:$P$1,0),FALSE)),"")</f>
      </c>
      <c r="L112" s="550"/>
      <c r="M112" s="551"/>
      <c r="N112" s="551"/>
      <c r="O112" s="534"/>
      <c r="P112" s="890"/>
    </row>
    <row r="113" ht="130.05" customHeight="1" hidden="1">
      <c r="A113" s="887"/>
      <c r="B113" s="542"/>
      <c r="C113" t="s" s="543">
        <f>IF(LEFT(RIGHT($B$1,2),1)=" ",RIGHT($B$1,1),RIGHT($B$1,2))</f>
        <v>2103</v>
      </c>
      <c r="D113" s="550">
        <f>IF(LEFT(F113,14)="Bonne pratique",D112+1,D112)</f>
      </c>
      <c r="E113" s="566">
        <f>C113&amp;D113&amp;RIGHT(F113,1)</f>
      </c>
      <c r="F113" t="s" s="552">
        <v>1776</v>
      </c>
      <c r="G113" s="557">
        <f>_xlfn.IFERROR(IF(VLOOKUP($E113,'BDD'!$A$1:$S$567,MATCH(G$10,'BDD'!$A$1:$P$1,0),FALSE)=0,"",VLOOKUP($E113,'BDD'!$A$1:$S$567,MATCH(G$10,'BDD'!$A$1:$P$1,0),FALSE)),"")</f>
      </c>
      <c r="H113" s="570">
        <f>IF(VLOOKUP(E113,'BDD'!$A$1:$S$567,15,FALSE)=0,"Critère non évalué","")</f>
      </c>
      <c r="I113" s="571">
        <f>_xlfn.IFERROR(IF(VLOOKUP($E113,'BDD'!$A$1:$S$567,MATCH(I$10,'BDD'!$A$1:$P$1,0),FALSE)=0,"",VLOOKUP($E113,'BDD'!$A$1:$S$567,MATCH(I$10,'BDD'!$A$1:$P$1,0),FALSE)),"")</f>
      </c>
      <c r="J113" s="556"/>
      <c r="K113" s="557">
        <f>_xlfn.IFERROR(IF(VLOOKUP($E113,'BDD'!$A$1:$S$567,MATCH(K$10,'BDD'!$A$1:$P$1,0),FALSE)=0,"",VLOOKUP($E113,'BDD'!$A$1:$S$567,MATCH(K$10,'BDD'!$A$1:$P$1,0),FALSE)),"")</f>
      </c>
      <c r="L113" s="550"/>
      <c r="M113" s="555"/>
      <c r="N113" s="555"/>
      <c r="O113" s="534"/>
      <c r="P113" s="890"/>
    </row>
    <row r="114" ht="130.05" customHeight="1" hidden="1">
      <c r="A114" s="887"/>
      <c r="B114" s="542"/>
      <c r="C114" t="s" s="543">
        <f>IF(LEFT(RIGHT($B$1,2),1)=" ",RIGHT($B$1,1),RIGHT($B$1,2))</f>
        <v>2103</v>
      </c>
      <c r="D114" s="550">
        <f>IF(LEFT(F114,14)="Bonne pratique",D113+1,D113)</f>
      </c>
      <c r="E114" s="566">
        <f>C114&amp;D114&amp;RIGHT(F114,1)</f>
      </c>
      <c r="F114" t="s" s="546">
        <v>1778</v>
      </c>
      <c r="G114" s="567">
        <f>_xlfn.IFERROR(IF(VLOOKUP($E114,'BDD'!$A$1:$S$567,MATCH(G$10,'BDD'!$A$1:$P$1,0),FALSE)=0,"",VLOOKUP($E114,'BDD'!$A$1:$S$567,MATCH(G$10,'BDD'!$A$1:$P$1,0),FALSE)),"")</f>
      </c>
      <c r="H114" s="568">
        <f>IF(VLOOKUP(E114,'BDD'!$A$1:$S$567,15,FALSE)=0,"Critère non évalué","")</f>
      </c>
      <c r="I114" s="569">
        <f>_xlfn.IFERROR(IF(VLOOKUP($E114,'BDD'!$A$1:$S$567,MATCH(I$10,'BDD'!$A$1:$P$1,0),FALSE)=0,"",VLOOKUP($E114,'BDD'!$A$1:$S$567,MATCH(I$10,'BDD'!$A$1:$P$1,0),FALSE)),"")</f>
      </c>
      <c r="J114" s="549"/>
      <c r="K114" s="567">
        <f>_xlfn.IFERROR(IF(VLOOKUP($E114,'BDD'!$A$1:$S$567,MATCH(K$10,'BDD'!$A$1:$P$1,0),FALSE)=0,"",VLOOKUP($E114,'BDD'!$A$1:$S$567,MATCH(K$10,'BDD'!$A$1:$P$1,0),FALSE)),"")</f>
      </c>
      <c r="L114" s="550"/>
      <c r="M114" s="557"/>
      <c r="N114" s="557"/>
      <c r="O114" s="534"/>
      <c r="P114" s="890"/>
    </row>
    <row r="115" ht="130.05" customHeight="1" hidden="1">
      <c r="A115" s="887"/>
      <c r="B115" s="542"/>
      <c r="C115" t="s" s="543">
        <f>IF(LEFT(RIGHT($B$1,2),1)=" ",RIGHT($B$1,1),RIGHT($B$1,2))</f>
        <v>2103</v>
      </c>
      <c r="D115" s="550">
        <f>IF(LEFT(F115,14)="Bonne pratique",D114+1,D114)</f>
      </c>
      <c r="E115" s="566">
        <f>C115&amp;D115&amp;RIGHT(F115,1)</f>
      </c>
      <c r="F115" t="s" s="552">
        <v>1780</v>
      </c>
      <c r="G115" s="557">
        <f>_xlfn.IFERROR(IF(VLOOKUP($E115,'BDD'!$A$1:$S$567,MATCH(G$10,'BDD'!$A$1:$P$1,0),FALSE)=0,"",VLOOKUP($E115,'BDD'!$A$1:$S$567,MATCH(G$10,'BDD'!$A$1:$P$1,0),FALSE)),"")</f>
      </c>
      <c r="H115" s="570">
        <f>IF(VLOOKUP(E115,'BDD'!$A$1:$S$567,15,FALSE)=0,"Critère non évalué","")</f>
      </c>
      <c r="I115" s="571">
        <f>_xlfn.IFERROR(IF(VLOOKUP($E115,'BDD'!$A$1:$S$567,MATCH(I$10,'BDD'!$A$1:$P$1,0),FALSE)=0,"",VLOOKUP($E115,'BDD'!$A$1:$S$567,MATCH(I$10,'BDD'!$A$1:$P$1,0),FALSE)),"")</f>
      </c>
      <c r="J115" s="556"/>
      <c r="K115" s="557">
        <f>_xlfn.IFERROR(IF(VLOOKUP($E115,'BDD'!$A$1:$S$567,MATCH(K$10,'BDD'!$A$1:$P$1,0),FALSE)=0,"",VLOOKUP($E115,'BDD'!$A$1:$S$567,MATCH(K$10,'BDD'!$A$1:$P$1,0),FALSE)),"")</f>
      </c>
      <c r="L115" s="550"/>
      <c r="M115" s="555"/>
      <c r="N115" s="555"/>
      <c r="O115" s="534"/>
      <c r="P115" s="890"/>
    </row>
    <row r="116" ht="130.05" customHeight="1" hidden="1">
      <c r="A116" s="887"/>
      <c r="B116" s="542"/>
      <c r="C116" t="s" s="543">
        <f>RIGHT($B$1,1)</f>
        <v>2103</v>
      </c>
      <c r="D116" s="550">
        <f>IF(LEFT(F116,14)="Bonne pratique",D115+1,D115)</f>
      </c>
      <c r="E116" s="566">
        <f>C116&amp;D116&amp;RIGHT(F116,1)</f>
      </c>
      <c r="F116" t="s" s="546">
        <v>1782</v>
      </c>
      <c r="G116" s="567">
        <f>_xlfn.IFERROR(IF(VLOOKUP($E116,'BDD'!$A$1:$S$567,MATCH(G$10,'BDD'!$A$1:$P$1,0),FALSE)=0,"",VLOOKUP($E116,'BDD'!$A$1:$S$567,MATCH(G$10,'BDD'!$A$1:$P$1,0),FALSE)),"")</f>
      </c>
      <c r="H116" s="568">
        <f>IF(VLOOKUP(E116,'BDD'!$A$1:$S$567,15,FALSE)=0,"Critère non évalué","")</f>
      </c>
      <c r="I116" s="569">
        <f>_xlfn.IFERROR(IF(VLOOKUP($E116,'BDD'!$A$1:$S$567,MATCH(I$10,'BDD'!$A$1:$P$1,0),FALSE)=0,"",VLOOKUP($E116,'BDD'!$A$1:$S$567,MATCH(I$10,'BDD'!$A$1:$P$1,0),FALSE)),"")</f>
      </c>
      <c r="J116" s="549"/>
      <c r="K116" s="567">
        <f>_xlfn.IFERROR(IF(VLOOKUP($E116,'BDD'!$A$1:$S$567,MATCH(K$10,'BDD'!$A$1:$P$1,0),FALSE)=0,"",VLOOKUP($E116,'BDD'!$A$1:$S$567,MATCH(K$10,'BDD'!$A$1:$P$1,0),FALSE)),"")</f>
      </c>
      <c r="L116" s="550"/>
      <c r="M116" s="557"/>
      <c r="N116" s="557"/>
      <c r="O116" s="534"/>
      <c r="P116" s="890"/>
    </row>
    <row r="117" ht="14.4" customHeight="1">
      <c r="A117" s="887"/>
      <c r="B117" s="61"/>
      <c r="C117" s="61"/>
      <c r="D117" s="61"/>
      <c r="E117" s="61"/>
      <c r="F117" s="559"/>
      <c r="G117" s="559"/>
      <c r="H117" s="559"/>
      <c r="I117" s="559"/>
      <c r="J117" s="559"/>
      <c r="K117" s="559"/>
      <c r="L117" s="61"/>
      <c r="M117" s="559"/>
      <c r="N117" s="559"/>
      <c r="O117" s="61"/>
      <c r="P117" s="890"/>
    </row>
    <row r="118" ht="14.4" customHeight="1">
      <c r="A118" t="s" s="895">
        <v>171</v>
      </c>
      <c r="B118" s="896"/>
      <c r="C118" s="896"/>
      <c r="D118" s="896"/>
      <c r="E118" s="896"/>
      <c r="F118" s="896"/>
      <c r="G118" s="896"/>
      <c r="H118" s="896"/>
      <c r="I118" s="896"/>
      <c r="J118" s="896"/>
      <c r="K118" s="896"/>
      <c r="L118" s="896"/>
      <c r="M118" s="896"/>
      <c r="N118" s="896"/>
      <c r="O118" s="896"/>
      <c r="P118" t="s" s="897">
        <v>171</v>
      </c>
    </row>
  </sheetData>
  <mergeCells count="7">
    <mergeCell ref="M107:N107"/>
    <mergeCell ref="M9:N9"/>
    <mergeCell ref="M25:N25"/>
    <mergeCell ref="M41:N41"/>
    <mergeCell ref="M57:N57"/>
    <mergeCell ref="M75:N75"/>
    <mergeCell ref="M91:N91"/>
  </mergeCells>
  <pageMargins left="0.7" right="0.7" top="0.75" bottom="0.75" header="0.3" footer="0.3"/>
  <pageSetup firstPageNumber="1" fitToHeight="1" fitToWidth="1" scale="100" useFirstPageNumber="0" orientation="portrait" pageOrder="downThenOver"/>
  <headerFooter>
    <oddFooter>&amp;C&amp;"Helvetica Neue,Regular"&amp;12&amp;K000000&amp;P</oddFooter>
  </headerFooter>
  <drawing r:id="rId1"/>
</worksheet>
</file>

<file path=xl/worksheets/sheet19.xml><?xml version="1.0" encoding="utf-8"?>
<worksheet xmlns:r="http://schemas.openxmlformats.org/officeDocument/2006/relationships" xmlns="http://schemas.openxmlformats.org/spreadsheetml/2006/main">
  <dimension ref="A1:AI100"/>
  <sheetViews>
    <sheetView workbookViewId="0" showGridLines="0" defaultGridColor="1"/>
  </sheetViews>
  <sheetFormatPr defaultColWidth="8.83333" defaultRowHeight="14.4" customHeight="1" outlineLevelRow="0" outlineLevelCol="0"/>
  <cols>
    <col min="1" max="2" width="5.85156" style="985" customWidth="1"/>
    <col min="3" max="5" hidden="1" width="8.83333" style="985" customWidth="1"/>
    <col min="6" max="6" width="25.5" style="985" customWidth="1"/>
    <col min="7" max="7" width="73.5" style="985" customWidth="1"/>
    <col min="8" max="12" width="5.85156" style="985" customWidth="1"/>
    <col min="13" max="13" width="8.85156" style="985" customWidth="1"/>
    <col min="14" max="14" width="50.8516" style="985" customWidth="1"/>
    <col min="15" max="21" width="4.35156" style="985" customWidth="1"/>
    <col min="22" max="22" width="3" style="985" customWidth="1"/>
    <col min="23" max="23" width="23.8516" style="985" customWidth="1"/>
    <col min="24" max="24" width="59.8516" style="985" customWidth="1"/>
    <col min="25" max="25" width="4" style="985" customWidth="1"/>
    <col min="26" max="27" width="17.1719" style="985" customWidth="1"/>
    <col min="28" max="28" width="5.85156" style="985" customWidth="1"/>
    <col min="29" max="29" width="7.85156" style="985" customWidth="1"/>
    <col min="30" max="30" width="2.5" style="985" customWidth="1"/>
    <col min="31" max="31" width="19" style="985" customWidth="1"/>
    <col min="32" max="34" width="5.85156" style="985" customWidth="1"/>
    <col min="35" max="35" width="8.85156" style="985" customWidth="1"/>
    <col min="36" max="16384" width="8.85156" style="985" customWidth="1"/>
  </cols>
  <sheetData>
    <row r="1" ht="45" customHeight="1">
      <c r="A1" s="986"/>
      <c r="B1" t="s" s="987">
        <v>2102</v>
      </c>
      <c r="C1" s="988"/>
      <c r="D1" s="988"/>
      <c r="E1" s="989"/>
      <c r="F1" s="989"/>
      <c r="G1" s="989"/>
      <c r="H1" s="989"/>
      <c r="I1" s="989"/>
      <c r="J1" s="990"/>
      <c r="K1" s="991"/>
      <c r="L1" s="989"/>
      <c r="M1" s="989"/>
      <c r="N1" s="903"/>
      <c r="O1" s="903"/>
      <c r="P1" s="903"/>
      <c r="Q1" t="s" s="904">
        <f>VLOOKUP($E$27,'BDD'!$A$2:$N$567,3,FALSE)</f>
        <v>229</v>
      </c>
      <c r="R1" s="883"/>
      <c r="S1" s="992"/>
      <c r="T1" s="992"/>
      <c r="U1" s="992"/>
      <c r="V1" s="992"/>
      <c r="W1" s="992"/>
      <c r="X1" s="992"/>
      <c r="Y1" s="992"/>
      <c r="Z1" s="992"/>
      <c r="AA1" s="992"/>
      <c r="AB1" s="992"/>
      <c r="AC1" s="992"/>
      <c r="AD1" s="992"/>
      <c r="AE1" s="992"/>
      <c r="AF1" s="992"/>
      <c r="AG1" s="992"/>
      <c r="AH1" s="992"/>
      <c r="AI1" s="582"/>
    </row>
    <row r="2" ht="45" customHeight="1">
      <c r="A2" s="993"/>
      <c r="B2" s="994"/>
      <c r="C2" s="994"/>
      <c r="D2" s="994"/>
      <c r="E2" s="994"/>
      <c r="F2" s="994"/>
      <c r="G2" s="888"/>
      <c r="H2" s="994"/>
      <c r="I2" s="994"/>
      <c r="J2" s="994"/>
      <c r="K2" s="994"/>
      <c r="L2" s="994"/>
      <c r="M2" s="994"/>
      <c r="N2" s="905"/>
      <c r="O2" s="905"/>
      <c r="P2" s="905"/>
      <c r="Q2" t="s" s="889">
        <f>VLOOKUP($E$27,'BDD'!$A$2:$N$567,4,FALSE)</f>
        <v>854</v>
      </c>
      <c r="R2" s="888"/>
      <c r="S2" s="995"/>
      <c r="T2" s="995"/>
      <c r="U2" s="995"/>
      <c r="V2" s="995"/>
      <c r="W2" s="995"/>
      <c r="X2" s="995"/>
      <c r="Y2" s="995"/>
      <c r="Z2" s="995"/>
      <c r="AA2" s="995"/>
      <c r="AB2" s="995"/>
      <c r="AC2" s="995"/>
      <c r="AD2" s="995"/>
      <c r="AE2" s="995"/>
      <c r="AF2" s="995"/>
      <c r="AG2" s="995"/>
      <c r="AH2" s="995"/>
      <c r="AI2" s="585"/>
    </row>
    <row r="3" ht="45" customHeight="1">
      <c r="A3" s="993"/>
      <c r="B3" s="586"/>
      <c r="C3" s="586"/>
      <c r="D3" s="586"/>
      <c r="E3" s="586"/>
      <c r="F3" s="586"/>
      <c r="G3" s="587"/>
      <c r="H3" s="587"/>
      <c r="I3" s="587"/>
      <c r="J3" s="587"/>
      <c r="K3" s="587"/>
      <c r="L3" s="587"/>
      <c r="M3" s="587"/>
      <c r="N3" s="586"/>
      <c r="O3" s="586"/>
      <c r="P3" s="586"/>
      <c r="Q3" s="586"/>
      <c r="R3" s="586"/>
      <c r="S3" s="586"/>
      <c r="T3" s="586"/>
      <c r="U3" s="586"/>
      <c r="V3" s="586"/>
      <c r="W3" s="588"/>
      <c r="X3" s="586"/>
      <c r="Y3" s="586"/>
      <c r="Z3" s="586"/>
      <c r="AA3" s="589"/>
      <c r="AB3" s="586"/>
      <c r="AC3" s="586"/>
      <c r="AD3" s="586"/>
      <c r="AE3" s="586"/>
      <c r="AF3" s="586"/>
      <c r="AG3" s="586"/>
      <c r="AH3" s="994"/>
      <c r="AI3" s="585"/>
    </row>
    <row r="4" ht="26.4" customHeight="1">
      <c r="A4" s="993"/>
      <c r="B4" s="586"/>
      <c r="C4" s="586"/>
      <c r="D4" s="586"/>
      <c r="E4" s="586"/>
      <c r="F4" s="586"/>
      <c r="G4" t="s" s="590">
        <v>1817</v>
      </c>
      <c r="H4" s="591"/>
      <c r="I4" s="587"/>
      <c r="J4" s="591"/>
      <c r="K4" s="591"/>
      <c r="L4" s="591"/>
      <c r="M4" s="591"/>
      <c r="N4" s="586"/>
      <c r="O4" s="586"/>
      <c r="P4" s="586"/>
      <c r="Q4" s="586"/>
      <c r="R4" s="586"/>
      <c r="S4" s="586"/>
      <c r="T4" s="586"/>
      <c r="U4" s="586"/>
      <c r="V4" s="586"/>
      <c r="W4" t="s" s="907">
        <v>1818</v>
      </c>
      <c r="X4" s="586"/>
      <c r="Y4" s="586"/>
      <c r="Z4" s="593"/>
      <c r="AA4" s="594"/>
      <c r="AB4" t="s" s="595">
        <v>1819</v>
      </c>
      <c r="AC4" s="586"/>
      <c r="AD4" s="586"/>
      <c r="AE4" s="586"/>
      <c r="AF4" s="596"/>
      <c r="AG4" s="596"/>
      <c r="AH4" s="996"/>
      <c r="AI4" s="585"/>
    </row>
    <row r="5" ht="42" customHeight="1">
      <c r="A5" s="993"/>
      <c r="B5" s="586"/>
      <c r="C5" s="586"/>
      <c r="D5" s="586"/>
      <c r="E5" t="s" s="744">
        <f>RIGHT($B$1,1)&amp;"11"</f>
        <v>103</v>
      </c>
      <c r="F5" s="586"/>
      <c r="G5" t="s" s="598">
        <f>IF(VLOOKUP(E5,'BDD'!$A$2:$N$567,13,FALSE)=0,"",VLOOKUP(E5,'BDD'!$A$2:$N$567,13,FALSE))</f>
        <v>860</v>
      </c>
      <c r="H5" s="599"/>
      <c r="I5" s="587"/>
      <c r="J5" s="25"/>
      <c r="K5" s="599"/>
      <c r="L5" s="909"/>
      <c r="M5" s="909"/>
      <c r="N5" s="910"/>
      <c r="O5" s="910"/>
      <c r="P5" s="910"/>
      <c r="Q5" s="910"/>
      <c r="R5" s="910"/>
      <c r="S5" s="910"/>
      <c r="T5" s="910"/>
      <c r="U5" s="910"/>
      <c r="V5" s="910"/>
      <c r="W5" s="911"/>
      <c r="X5" s="910"/>
      <c r="Y5" s="910"/>
      <c r="Z5" s="910"/>
      <c r="AA5" s="912"/>
      <c r="AB5" s="910"/>
      <c r="AC5" s="586"/>
      <c r="AD5" s="586"/>
      <c r="AE5" s="586"/>
      <c r="AF5" s="586"/>
      <c r="AG5" s="586"/>
      <c r="AH5" s="994"/>
      <c r="AI5" s="585"/>
    </row>
    <row r="6" ht="30" customHeight="1">
      <c r="A6" s="997"/>
      <c r="B6" s="565"/>
      <c r="C6" s="565"/>
      <c r="D6" s="565"/>
      <c r="E6" t="s" s="558">
        <f>RIGHT($B$1,1)&amp;"12"</f>
        <v>862</v>
      </c>
      <c r="F6" s="565"/>
      <c r="G6" t="s" s="598">
        <f>IF(VLOOKUP(E6,'BDD'!$A$2:$N$567,13,FALSE)=0,"",VLOOKUP(E6,'BDD'!$A$2:$N$567,13,FALSE))</f>
        <v>865</v>
      </c>
      <c r="H6" s="605"/>
      <c r="I6" s="587"/>
      <c r="J6" s="25"/>
      <c r="K6" s="914"/>
      <c r="L6" s="915"/>
      <c r="M6" s="916"/>
      <c r="N6" s="917"/>
      <c r="O6" s="918"/>
      <c r="P6" s="918"/>
      <c r="Q6" s="918"/>
      <c r="R6" s="918"/>
      <c r="S6" s="918"/>
      <c r="T6" s="918"/>
      <c r="U6" s="918"/>
      <c r="V6" s="919"/>
      <c r="W6" s="918"/>
      <c r="X6" s="918"/>
      <c r="Y6" s="919"/>
      <c r="Z6" s="920"/>
      <c r="AA6" s="920"/>
      <c r="AB6" s="921"/>
      <c r="AC6" s="922"/>
      <c r="AD6" s="615"/>
      <c r="AE6" s="615"/>
      <c r="AF6" s="587"/>
      <c r="AG6" s="587"/>
      <c r="AH6" s="998"/>
      <c r="AI6" s="617"/>
    </row>
    <row r="7" ht="31.8" customHeight="1">
      <c r="A7" s="997"/>
      <c r="B7" s="565"/>
      <c r="C7" s="565"/>
      <c r="D7" s="565"/>
      <c r="E7" t="s" s="558">
        <f>RIGHT($B$1,1)&amp;"13"</f>
        <v>867</v>
      </c>
      <c r="F7" s="565"/>
      <c r="G7" t="s" s="598">
        <f>IF(VLOOKUP(E7,'BDD'!$A$2:$N$567,13,FALSE)=0,"",VLOOKUP(E7,'BDD'!$A$2:$N$567,13,FALSE))</f>
        <v>871</v>
      </c>
      <c r="H7" s="605"/>
      <c r="I7" s="587"/>
      <c r="J7" s="25"/>
      <c r="K7" s="914"/>
      <c r="L7" s="924"/>
      <c r="M7" s="925"/>
      <c r="N7" t="s" s="620">
        <v>11</v>
      </c>
      <c r="O7" t="s" s="621">
        <v>12</v>
      </c>
      <c r="P7" t="s" s="621">
        <v>13</v>
      </c>
      <c r="Q7" t="s" s="621">
        <v>14</v>
      </c>
      <c r="R7" t="s" s="621">
        <v>15</v>
      </c>
      <c r="S7" t="s" s="621">
        <v>16</v>
      </c>
      <c r="T7" t="s" s="621">
        <v>17</v>
      </c>
      <c r="U7" t="s" s="621">
        <v>18</v>
      </c>
      <c r="V7" s="163"/>
      <c r="W7" t="s" s="622">
        <v>20</v>
      </c>
      <c r="X7" t="s" s="623">
        <v>21</v>
      </c>
      <c r="Y7" s="926"/>
      <c r="Z7" t="s" s="625">
        <v>22</v>
      </c>
      <c r="AA7" t="s" s="626">
        <v>223</v>
      </c>
      <c r="AB7" s="927"/>
      <c r="AC7" s="928"/>
      <c r="AD7" t="s" s="629">
        <v>1820</v>
      </c>
      <c r="AE7" t="s" s="630">
        <v>1752</v>
      </c>
      <c r="AF7" s="631"/>
      <c r="AG7" s="587"/>
      <c r="AH7" s="998"/>
      <c r="AI7" s="617"/>
    </row>
    <row r="8" ht="41.4" customHeight="1">
      <c r="A8" s="997"/>
      <c r="B8" s="565"/>
      <c r="C8" s="565"/>
      <c r="D8" s="565"/>
      <c r="E8" t="s" s="558">
        <f>RIGHT($B$1,1)&amp;"14"</f>
        <v>873</v>
      </c>
      <c r="F8" s="565"/>
      <c r="G8" t="s" s="598">
        <f>IF(VLOOKUP(E8,'BDD'!$A$2:$N$567,13,FALSE)=0,"",VLOOKUP(E8,'BDD'!$A$2:$N$567,13,FALSE))</f>
        <v>876</v>
      </c>
      <c r="H8" s="605"/>
      <c r="I8" s="587"/>
      <c r="J8" s="25"/>
      <c r="K8" s="914"/>
      <c r="L8" s="924"/>
      <c r="M8" t="s" s="929">
        <f>IF(LEFT(RIGHT($B$1,2),1)=" ",RIGHT($B$1,1),RIGHT($B$1,2))&amp;1</f>
        <v>479</v>
      </c>
      <c r="N8" t="s" s="539">
        <f>RIGHT(M8,1)&amp;" : "&amp;VLOOKUP($M8&amp;"1",'BDD'!$A$2:$N$567,6,FALSE)</f>
        <v>2145</v>
      </c>
      <c r="O8" t="s" s="71">
        <f>IF(VLOOKUP($M8&amp;RIGHT(O$7,1),'BDD'!$A$1:$S$428,15,FALSE)=4,"NE",IF(VLOOKUP($M8&amp;RIGHT(O$7,1),'BDD'!$A$1:$S$428,15,FALSE)=0,"NE",VLOOKUP($M8&amp;RIGHT(O$7,1),'BDD'!$A$1:$S$428,15,FALSE)))</f>
        <v>27</v>
      </c>
      <c r="P8" t="s" s="71">
        <f>IF(VLOOKUP($M8&amp;RIGHT(P$7,1),'BDD'!$A$1:$S$428,15,FALSE)=4,"NE",IF(VLOOKUP($M8&amp;RIGHT(P$7,1),'BDD'!$A$1:$S$428,15,FALSE)=0,"NE",VLOOKUP($M8&amp;RIGHT(P$7,1),'BDD'!$A$1:$S$428,15,FALSE)))</f>
        <v>27</v>
      </c>
      <c r="Q8" t="s" s="71">
        <f>IF(VLOOKUP($M8&amp;RIGHT(Q$7,1),'BDD'!$A$1:$S$428,15,FALSE)=4,"NE",IF(VLOOKUP($M8&amp;RIGHT(Q$7,1),'BDD'!$A$1:$S$428,15,FALSE)=0,"NE",VLOOKUP($M8&amp;RIGHT(Q$7,1),'BDD'!$A$1:$S$428,15,FALSE)))</f>
        <v>27</v>
      </c>
      <c r="R8" t="s" s="71">
        <f>IF(VLOOKUP($M8&amp;RIGHT(R$7,1),'BDD'!$A$1:$S$428,15,FALSE)=4,"NE",IF(VLOOKUP($M8&amp;RIGHT(R$7,1),'BDD'!$A$1:$S$428,15,FALSE)=0,"NE",VLOOKUP($M8&amp;RIGHT(R$7,1),'BDD'!$A$1:$S$428,15,FALSE)))</f>
        <v>27</v>
      </c>
      <c r="S8" s="72"/>
      <c r="T8" s="72"/>
      <c r="U8" s="72"/>
      <c r="V8" s="930"/>
      <c r="W8" t="s" s="634">
        <v>28</v>
      </c>
      <c r="X8" s="635"/>
      <c r="Y8" s="931"/>
      <c r="Z8" s="637">
        <f>O25</f>
        <v>0</v>
      </c>
      <c r="AA8" s="77">
        <f>S25</f>
      </c>
      <c r="AB8" s="927"/>
      <c r="AC8" s="928"/>
      <c r="AD8" s="638"/>
      <c r="AE8" t="s" s="639">
        <v>1753</v>
      </c>
      <c r="AF8" s="631"/>
      <c r="AG8" s="587"/>
      <c r="AH8" s="998"/>
      <c r="AI8" s="617"/>
    </row>
    <row r="9" ht="30" customHeight="1">
      <c r="A9" s="997"/>
      <c r="B9" s="565"/>
      <c r="C9" s="565"/>
      <c r="D9" s="565"/>
      <c r="E9" t="s" s="558">
        <f>RIGHT($B$1,1)&amp;"15"</f>
        <v>878</v>
      </c>
      <c r="F9" s="565"/>
      <c r="G9" t="s" s="598">
        <f>IF(VLOOKUP(E9,'BDD'!$A$2:$N$567,13,FALSE)=0,"",VLOOKUP(E9,'BDD'!$A$2:$N$567,13,FALSE))</f>
        <v>879</v>
      </c>
      <c r="H9" s="605"/>
      <c r="I9" s="587"/>
      <c r="J9" s="25"/>
      <c r="K9" s="914"/>
      <c r="L9" s="924"/>
      <c r="M9" t="s" s="929">
        <f>IF(LEFT(RIGHT($B$1,2),1)=" ",RIGHT($B$1,1),RIGHT($B$1,2))&amp;2</f>
        <v>483</v>
      </c>
      <c r="N9" t="s" s="640">
        <f>RIGHT(M9,1)&amp;" : "&amp;VLOOKUP($M9&amp;"1",'BDD'!$A$2:$N$567,6,FALSE)</f>
        <v>2146</v>
      </c>
      <c r="O9" t="s" s="85">
        <f>IF(VLOOKUP($M9&amp;RIGHT(O$7,1),'BDD'!$A$1:$S$428,15,FALSE)=4,"NE",IF(VLOOKUP($M9&amp;RIGHT(O$7,1),'BDD'!$A$1:$S$428,15,FALSE)=0,"NE",VLOOKUP($M9&amp;RIGHT(O$7,1),'BDD'!$A$1:$S$428,15,FALSE)))</f>
        <v>27</v>
      </c>
      <c r="P9" t="s" s="85">
        <f>IF(VLOOKUP($M9&amp;RIGHT(P$7,1),'BDD'!$A$1:$S$428,15,FALSE)=4,"NE",IF(VLOOKUP($M9&amp;RIGHT(P$7,1),'BDD'!$A$1:$S$428,15,FALSE)=0,"NE",VLOOKUP($M9&amp;RIGHT(P$7,1),'BDD'!$A$1:$S$428,15,FALSE)))</f>
        <v>27</v>
      </c>
      <c r="Q9" t="s" s="85">
        <f>IF(VLOOKUP($M9&amp;RIGHT(Q$7,1),'BDD'!$A$1:$S$428,15,FALSE)=4,"NE",IF(VLOOKUP($M9&amp;RIGHT(Q$7,1),'BDD'!$A$1:$S$428,15,FALSE)=0,"NE",VLOOKUP($M9&amp;RIGHT(Q$7,1),'BDD'!$A$1:$S$428,15,FALSE)))</f>
        <v>27</v>
      </c>
      <c r="R9" t="s" s="85">
        <f>IF(VLOOKUP($M9&amp;RIGHT(R$7,1),'BDD'!$A$1:$S$428,15,FALSE)=4,"NE",IF(VLOOKUP($M9&amp;RIGHT(R$7,1),'BDD'!$A$1:$S$428,15,FALSE)=0,"NE",VLOOKUP($M9&amp;RIGHT(R$7,1),'BDD'!$A$1:$S$428,15,FALSE)))</f>
        <v>27</v>
      </c>
      <c r="S9" s="86"/>
      <c r="T9" s="86"/>
      <c r="U9" s="86"/>
      <c r="V9" s="930"/>
      <c r="W9" t="s" s="641">
        <v>28</v>
      </c>
      <c r="X9" s="642"/>
      <c r="Y9" s="932"/>
      <c r="Z9" s="644">
        <f>O31</f>
        <v>0</v>
      </c>
      <c r="AA9" s="90">
        <f>S31</f>
      </c>
      <c r="AB9" s="927"/>
      <c r="AC9" s="928"/>
      <c r="AD9" s="638"/>
      <c r="AE9" t="s" s="645">
        <v>1754</v>
      </c>
      <c r="AF9" s="631"/>
      <c r="AG9" s="587"/>
      <c r="AH9" s="998"/>
      <c r="AI9" s="617"/>
    </row>
    <row r="10" ht="58.2" customHeight="1">
      <c r="A10" s="997"/>
      <c r="B10" s="565"/>
      <c r="C10" s="565"/>
      <c r="D10" s="565"/>
      <c r="E10" t="s" s="558">
        <f>RIGHT($B$1,1)&amp;"16"</f>
        <v>881</v>
      </c>
      <c r="F10" s="565"/>
      <c r="G10" t="s" s="999">
        <f>IF(VLOOKUP(E10,'BDD'!$A$2:$N$567,13,FALSE)=0,"",VLOOKUP(E10,'BDD'!$A$2:$N$567,13,FALSE))</f>
        <v>882</v>
      </c>
      <c r="H10" s="605"/>
      <c r="I10" s="587"/>
      <c r="J10" s="25"/>
      <c r="K10" s="914"/>
      <c r="L10" s="924"/>
      <c r="M10" t="s" s="929">
        <f>IF(LEFT(RIGHT($B$1,2),1)=" ",RIGHT($B$1,1),RIGHT($B$1,2))&amp;3</f>
        <v>487</v>
      </c>
      <c r="N10" t="s" s="539">
        <f>RIGHT(M10,1)&amp;" : "&amp;VLOOKUP($M10&amp;"1",'BDD'!$A$2:$N$567,6,FALSE)</f>
        <v>2147</v>
      </c>
      <c r="O10" t="s" s="71">
        <f>IF(VLOOKUP($M10&amp;RIGHT(O$7,1),'BDD'!$A$1:$S$428,15,FALSE)=4,"NE",IF(VLOOKUP($M10&amp;RIGHT(O$7,1),'BDD'!$A$1:$S$428,15,FALSE)=0,"NE",VLOOKUP($M10&amp;RIGHT(O$7,1),'BDD'!$A$1:$S$428,15,FALSE)))</f>
        <v>27</v>
      </c>
      <c r="P10" t="s" s="71">
        <f>IF(VLOOKUP($M10&amp;RIGHT(P$7,1),'BDD'!$A$1:$S$428,15,FALSE)=4,"NE",IF(VLOOKUP($M10&amp;RIGHT(P$7,1),'BDD'!$A$1:$S$428,15,FALSE)=0,"NE",VLOOKUP($M10&amp;RIGHT(P$7,1),'BDD'!$A$1:$S$428,15,FALSE)))</f>
        <v>27</v>
      </c>
      <c r="Q10" t="s" s="71">
        <f>IF(VLOOKUP($M10&amp;RIGHT(Q$7,1),'BDD'!$A$1:$S$428,15,FALSE)=4,"NE",IF(VLOOKUP($M10&amp;RIGHT(Q$7,1),'BDD'!$A$1:$S$428,15,FALSE)=0,"NE",VLOOKUP($M10&amp;RIGHT(Q$7,1),'BDD'!$A$1:$S$428,15,FALSE)))</f>
        <v>27</v>
      </c>
      <c r="R10" t="s" s="71">
        <f>IF(VLOOKUP($M10&amp;RIGHT(R$7,1),'BDD'!$A$1:$S$428,15,FALSE)=4,"NE",IF(VLOOKUP($M10&amp;RIGHT(R$7,1),'BDD'!$A$1:$S$428,15,FALSE)=0,"NE",VLOOKUP($M10&amp;RIGHT(R$7,1),'BDD'!$A$1:$S$428,15,FALSE)))</f>
        <v>27</v>
      </c>
      <c r="S10" t="s" s="71">
        <f>IF(VLOOKUP($M10&amp;RIGHT(S$7,1),'BDD'!$A$1:$S$428,15,FALSE)=4,"NE",IF(VLOOKUP($M10&amp;RIGHT(S$7,1),'BDD'!$A$1:$S$428,15,FALSE)=0,"NE",VLOOKUP($M10&amp;RIGHT(S$7,1),'BDD'!$A$1:$S$428,15,FALSE)))</f>
        <v>27</v>
      </c>
      <c r="T10" s="72"/>
      <c r="U10" s="72"/>
      <c r="V10" s="930"/>
      <c r="W10" t="s" s="647">
        <v>28</v>
      </c>
      <c r="X10" s="648"/>
      <c r="Y10" s="931"/>
      <c r="Z10" s="637">
        <f>O37</f>
        <v>0</v>
      </c>
      <c r="AA10" s="77">
        <f>S37</f>
      </c>
      <c r="AB10" s="927"/>
      <c r="AC10" s="928"/>
      <c r="AD10" s="649"/>
      <c r="AE10" t="s" s="650">
        <v>1824</v>
      </c>
      <c r="AF10" s="651"/>
      <c r="AG10" s="652"/>
      <c r="AH10" s="1000"/>
      <c r="AI10" s="617"/>
    </row>
    <row r="11" ht="30" customHeight="1">
      <c r="A11" s="993"/>
      <c r="B11" s="586"/>
      <c r="C11" s="586"/>
      <c r="D11" s="586"/>
      <c r="E11" t="s" s="744">
        <f>RIGHT($B$1,1)&amp;"17"</f>
        <v>884</v>
      </c>
      <c r="F11" s="586"/>
      <c r="G11" t="s" s="646">
        <f>IF(VLOOKUP(E11,'BDD'!$A$2:$N$567,13,FALSE)=0,"",VLOOKUP(E11,'BDD'!$A$2:$N$567,13,FALSE))</f>
      </c>
      <c r="H11" s="652"/>
      <c r="I11" s="587"/>
      <c r="J11" s="25"/>
      <c r="K11" s="934"/>
      <c r="L11" s="935"/>
      <c r="M11" t="s" s="929">
        <f>IF(LEFT(RIGHT($B$1,2),1)=" ",RIGHT($B$1,1),RIGHT($B$1,2))&amp;4</f>
        <v>490</v>
      </c>
      <c r="N11" t="s" s="640">
        <f>RIGHT(M11,1)&amp;" : "&amp;VLOOKUP($M11&amp;"1",'BDD'!$A$2:$N$567,6,FALSE)</f>
        <v>2148</v>
      </c>
      <c r="O11" t="s" s="85">
        <f>IF(VLOOKUP($M11&amp;RIGHT(O$7,1),'BDD'!$A$1:$S$428,15,FALSE)=4,"NE",IF(VLOOKUP($M11&amp;RIGHT(O$7,1),'BDD'!$A$1:$S$428,15,FALSE)=0,"NE",VLOOKUP($M11&amp;RIGHT(O$7,1),'BDD'!$A$1:$S$428,15,FALSE)))</f>
        <v>27</v>
      </c>
      <c r="P11" t="s" s="85">
        <f>IF(VLOOKUP($M11&amp;RIGHT(P$7,1),'BDD'!$A$1:$S$428,15,FALSE)=4,"NE",IF(VLOOKUP($M11&amp;RIGHT(P$7,1),'BDD'!$A$1:$S$428,15,FALSE)=0,"NE",VLOOKUP($M11&amp;RIGHT(P$7,1),'BDD'!$A$1:$S$428,15,FALSE)))</f>
        <v>27</v>
      </c>
      <c r="Q11" t="s" s="85">
        <f>IF(VLOOKUP($M11&amp;RIGHT(Q$7,1),'BDD'!$A$1:$S$428,15,FALSE)=4,"NE",IF(VLOOKUP($M11&amp;RIGHT(Q$7,1),'BDD'!$A$1:$S$428,15,FALSE)=0,"NE",VLOOKUP($M11&amp;RIGHT(Q$7,1),'BDD'!$A$1:$S$428,15,FALSE)))</f>
        <v>27</v>
      </c>
      <c r="R11" t="s" s="85">
        <f>IF(VLOOKUP($M11&amp;RIGHT(R$7,1),'BDD'!$A$1:$S$428,15,FALSE)=4,"NE",IF(VLOOKUP($M11&amp;RIGHT(R$7,1),'BDD'!$A$1:$S$428,15,FALSE)=0,"NE",VLOOKUP($M11&amp;RIGHT(R$7,1),'BDD'!$A$1:$S$428,15,FALSE)))</f>
        <v>27</v>
      </c>
      <c r="S11" s="86"/>
      <c r="T11" s="86"/>
      <c r="U11" s="86"/>
      <c r="V11" s="930"/>
      <c r="W11" t="s" s="641">
        <v>28</v>
      </c>
      <c r="X11" s="642"/>
      <c r="Y11" s="931"/>
      <c r="Z11" s="644">
        <f>O44</f>
        <v>0</v>
      </c>
      <c r="AA11" s="90">
        <f>S44</f>
      </c>
      <c r="AB11" s="927"/>
      <c r="AC11" s="936"/>
      <c r="AD11" s="658"/>
      <c r="AE11" s="659"/>
      <c r="AF11" s="652"/>
      <c r="AG11" s="652"/>
      <c r="AH11" s="1000"/>
      <c r="AI11" s="585"/>
    </row>
    <row r="12" ht="30" customHeight="1">
      <c r="A12" s="993"/>
      <c r="B12" s="586"/>
      <c r="C12" s="586"/>
      <c r="D12" s="586"/>
      <c r="E12" s="586"/>
      <c r="F12" s="586"/>
      <c r="G12" t="s" s="660">
        <v>1826</v>
      </c>
      <c r="H12" s="587"/>
      <c r="I12" s="587"/>
      <c r="J12" s="25"/>
      <c r="K12" s="937"/>
      <c r="L12" s="938"/>
      <c r="M12" t="s" s="929">
        <f>IF(LEFT(RIGHT($B$1,2),1)=" ",RIGHT($B$1,1),RIGHT($B$1,2))&amp;5</f>
        <v>492</v>
      </c>
      <c r="N12" t="s" s="539">
        <f>RIGHT(M12,1)&amp;" : "&amp;VLOOKUP($M12&amp;"1",'BDD'!$A$2:$N$567,6,FALSE)</f>
        <v>2149</v>
      </c>
      <c r="O12" t="s" s="71">
        <f>IF(VLOOKUP($M12&amp;RIGHT(O$7,1),'BDD'!$A$1:$S$428,15,FALSE)=4,"NE",IF(VLOOKUP($M12&amp;RIGHT(O$7,1),'BDD'!$A$1:$S$428,15,FALSE)=0,"NE",VLOOKUP($M12&amp;RIGHT(O$7,1),'BDD'!$A$1:$S$428,15,FALSE)))</f>
        <v>27</v>
      </c>
      <c r="P12" t="s" s="71">
        <f>IF(VLOOKUP($M12&amp;RIGHT(P$7,1),'BDD'!$A$1:$S$428,15,FALSE)=4,"NE",IF(VLOOKUP($M12&amp;RIGHT(P$7,1),'BDD'!$A$1:$S$428,15,FALSE)=0,"NE",VLOOKUP($M12&amp;RIGHT(P$7,1),'BDD'!$A$1:$S$428,15,FALSE)))</f>
        <v>27</v>
      </c>
      <c r="Q12" t="s" s="71">
        <f>IF(VLOOKUP($M12&amp;RIGHT(Q$7,1),'BDD'!$A$1:$S$428,15,FALSE)=4,"NE",IF(VLOOKUP($M12&amp;RIGHT(Q$7,1),'BDD'!$A$1:$S$428,15,FALSE)=0,"NE",VLOOKUP($M12&amp;RIGHT(Q$7,1),'BDD'!$A$1:$S$428,15,FALSE)))</f>
        <v>27</v>
      </c>
      <c r="R12" t="s" s="71">
        <f>IF(VLOOKUP($M12&amp;RIGHT(R$7,1),'BDD'!$A$1:$S$428,15,FALSE)=4,"NE",IF(VLOOKUP($M12&amp;RIGHT(R$7,1),'BDD'!$A$1:$S$428,15,FALSE)=0,"NE",VLOOKUP($M12&amp;RIGHT(R$7,1),'BDD'!$A$1:$S$428,15,FALSE)))</f>
        <v>27</v>
      </c>
      <c r="S12" t="s" s="71">
        <f>IF(VLOOKUP($M12&amp;RIGHT(S$7,1),'BDD'!$A$1:$S$428,15,FALSE)=4,"NE",IF(VLOOKUP($M12&amp;RIGHT(S$7,1),'BDD'!$A$1:$S$428,15,FALSE)=0,"NE",VLOOKUP($M12&amp;RIGHT(S$7,1),'BDD'!$A$1:$S$428,15,FALSE)))</f>
        <v>27</v>
      </c>
      <c r="T12" t="s" s="71">
        <f>IF(VLOOKUP($M12&amp;RIGHT(T$7,1),'BDD'!$A$1:$S$428,15,FALSE)=4,"NE",IF(VLOOKUP($M12&amp;RIGHT(T$7,1),'BDD'!$A$1:$S$428,15,FALSE)=0,"NE",VLOOKUP($M12&amp;RIGHT(T$7,1),'BDD'!$A$1:$S$428,15,FALSE)))</f>
        <v>27</v>
      </c>
      <c r="U12" s="72"/>
      <c r="V12" s="930"/>
      <c r="W12" t="s" s="647">
        <v>28</v>
      </c>
      <c r="X12" s="648"/>
      <c r="Y12" s="931"/>
      <c r="Z12" s="637">
        <f>O50</f>
        <v>0</v>
      </c>
      <c r="AA12" s="77">
        <f>S50</f>
      </c>
      <c r="AB12" s="927"/>
      <c r="AC12" s="936"/>
      <c r="AD12" s="666"/>
      <c r="AE12" s="25"/>
      <c r="AF12" s="586"/>
      <c r="AG12" s="586"/>
      <c r="AH12" s="994"/>
      <c r="AI12" s="585"/>
    </row>
    <row r="13" ht="30" customHeight="1">
      <c r="A13" s="993"/>
      <c r="B13" s="586"/>
      <c r="C13" s="586"/>
      <c r="D13" s="586"/>
      <c r="E13" t="s" s="744">
        <f>RIGHT($B$1,1)&amp;"11"</f>
        <v>103</v>
      </c>
      <c r="F13" s="586"/>
      <c r="G13" t="s" s="667">
        <f>IF(VLOOKUP(E13,'BDD'!$A$2:$N$567,14,FALSE)=0,"",VLOOKUP(E13,'BDD'!$A$2:$N$567,14,FALSE))</f>
        <v>861</v>
      </c>
      <c r="H13" s="591"/>
      <c r="I13" s="587"/>
      <c r="J13" s="25"/>
      <c r="K13" s="934"/>
      <c r="L13" s="935"/>
      <c r="M13" t="s" s="929">
        <f>IF(LEFT(RIGHT($B$1,2),1)=" ",RIGHT($B$1,1),RIGHT($B$1,2))&amp;6</f>
        <v>494</v>
      </c>
      <c r="N13" t="s" s="640">
        <f>RIGHT(M13,1)&amp;" : "&amp;VLOOKUP($M13&amp;"1",'BDD'!$A$2:$N$567,6,FALSE)</f>
        <v>2150</v>
      </c>
      <c r="O13" t="s" s="85">
        <f>IF(VLOOKUP($M13&amp;RIGHT(O$7,1),'BDD'!$A$1:$S$428,15,FALSE)=4,"NE",IF(VLOOKUP($M13&amp;RIGHT(O$7,1),'BDD'!$A$1:$S$428,15,FALSE)=0,"NE",VLOOKUP($M13&amp;RIGHT(O$7,1),'BDD'!$A$1:$S$428,15,FALSE)))</f>
        <v>27</v>
      </c>
      <c r="P13" t="s" s="85">
        <f>IF(VLOOKUP($M13&amp;RIGHT(P$7,1),'BDD'!$A$1:$S$428,15,FALSE)=4,"NE",IF(VLOOKUP($M13&amp;RIGHT(P$7,1),'BDD'!$A$1:$S$428,15,FALSE)=0,"NE",VLOOKUP($M13&amp;RIGHT(P$7,1),'BDD'!$A$1:$S$428,15,FALSE)))</f>
        <v>27</v>
      </c>
      <c r="Q13" t="s" s="85">
        <f>IF(VLOOKUP($M13&amp;RIGHT(Q$7,1),'BDD'!$A$1:$S$428,15,FALSE)=4,"NE",IF(VLOOKUP($M13&amp;RIGHT(Q$7,1),'BDD'!$A$1:$S$428,15,FALSE)=0,"NE",VLOOKUP($M13&amp;RIGHT(Q$7,1),'BDD'!$A$1:$S$428,15,FALSE)))</f>
        <v>27</v>
      </c>
      <c r="R13" t="s" s="85">
        <f>IF(VLOOKUP($M13&amp;RIGHT(R$7,1),'BDD'!$A$1:$S$428,15,FALSE)=4,"NE",IF(VLOOKUP($M13&amp;RIGHT(R$7,1),'BDD'!$A$1:$S$428,15,FALSE)=0,"NE",VLOOKUP($M13&amp;RIGHT(R$7,1),'BDD'!$A$1:$S$428,15,FALSE)))</f>
        <v>27</v>
      </c>
      <c r="S13" t="s" s="85">
        <f>IF(VLOOKUP($M13&amp;RIGHT(S$7,1),'BDD'!$A$1:$S$428,15,FALSE)=4,"NE",IF(VLOOKUP($M13&amp;RIGHT(S$7,1),'BDD'!$A$1:$S$428,15,FALSE)=0,"NE",VLOOKUP($M13&amp;RIGHT(S$7,1),'BDD'!$A$1:$S$428,15,FALSE)))</f>
        <v>27</v>
      </c>
      <c r="T13" t="s" s="85">
        <f>IF(VLOOKUP($M13&amp;RIGHT(T$7,1),'BDD'!$A$1:$S$428,15,FALSE)=4,"NE",IF(VLOOKUP($M13&amp;RIGHT(T$7,1),'BDD'!$A$1:$S$428,15,FALSE)=0,"NE",VLOOKUP($M13&amp;RIGHT(T$7,1),'BDD'!$A$1:$S$428,15,FALSE)))</f>
        <v>27</v>
      </c>
      <c r="U13" t="s" s="85">
        <f>IF(VLOOKUP($M13&amp;RIGHT(U$7,1),'BDD'!$A$1:$S$428,15,FALSE)=4,"NE",IF(VLOOKUP($M13&amp;RIGHT(U$7,1),'BDD'!$A$1:$S$428,15,FALSE)=0,"NE",VLOOKUP($M13&amp;RIGHT(U$7,1),'BDD'!$A$1:$S$428,15,FALSE)))</f>
        <v>27</v>
      </c>
      <c r="V13" s="930"/>
      <c r="W13" t="s" s="847">
        <v>28</v>
      </c>
      <c r="X13" s="848"/>
      <c r="Y13" s="931"/>
      <c r="Z13" s="644">
        <f>O58</f>
        <v>0</v>
      </c>
      <c r="AA13" s="90">
        <f>S58</f>
      </c>
      <c r="AB13" s="927"/>
      <c r="AC13" s="936"/>
      <c r="AD13" s="586"/>
      <c r="AE13" s="586"/>
      <c r="AF13" s="679"/>
      <c r="AG13" s="679"/>
      <c r="AH13" s="1001"/>
      <c r="AI13" s="585"/>
    </row>
    <row r="14" ht="30" customHeight="1">
      <c r="A14" s="993"/>
      <c r="B14" s="586"/>
      <c r="C14" s="586"/>
      <c r="D14" s="586"/>
      <c r="E14" t="s" s="744">
        <f>RIGHT($B$1,1)&amp;"12"</f>
        <v>862</v>
      </c>
      <c r="F14" s="586"/>
      <c r="G14" t="s" s="667">
        <f>IF(VLOOKUP(E14,'BDD'!$A$2:$N$567,14,FALSE)=0,"",VLOOKUP(E14,'BDD'!$A$2:$N$567,14,FALSE))</f>
        <v>866</v>
      </c>
      <c r="H14" s="681"/>
      <c r="I14" s="587"/>
      <c r="J14" s="25"/>
      <c r="K14" s="939"/>
      <c r="L14" s="940"/>
      <c r="M14" s="941"/>
      <c r="N14" s="942"/>
      <c r="O14" s="943"/>
      <c r="P14" s="943"/>
      <c r="Q14" s="943"/>
      <c r="R14" s="943"/>
      <c r="S14" s="943"/>
      <c r="T14" s="943"/>
      <c r="U14" s="943"/>
      <c r="V14" s="944"/>
      <c r="W14" s="1002"/>
      <c r="X14" s="945"/>
      <c r="Y14" s="944"/>
      <c r="Z14" s="946"/>
      <c r="AA14" s="946"/>
      <c r="AB14" s="947"/>
      <c r="AC14" s="948"/>
      <c r="AD14" s="679"/>
      <c r="AE14" s="679"/>
      <c r="AF14" s="586"/>
      <c r="AG14" s="586"/>
      <c r="AH14" s="994"/>
      <c r="AI14" s="585"/>
    </row>
    <row r="15" ht="30" customHeight="1">
      <c r="A15" s="993"/>
      <c r="B15" s="586"/>
      <c r="C15" s="586"/>
      <c r="D15" s="586"/>
      <c r="E15" t="s" s="744">
        <f>RIGHT($B$1,1)&amp;"13"</f>
        <v>867</v>
      </c>
      <c r="F15" s="586"/>
      <c r="G15" t="s" s="667">
        <f>IF(VLOOKUP(E15,'BDD'!$A$2:$N$567,14,FALSE)=0,"",VLOOKUP(E15,'BDD'!$A$2:$N$567,14,FALSE))</f>
        <v>872</v>
      </c>
      <c r="H15" s="694"/>
      <c r="I15" s="587"/>
      <c r="J15" s="25"/>
      <c r="K15" s="950"/>
      <c r="L15" s="951"/>
      <c r="M15" s="952"/>
      <c r="N15" t="s" s="953">
        <f>"Evaluation globale du vecteur "&amp;RIGHT(B1,2)</f>
        <v>2151</v>
      </c>
      <c r="O15" s="954"/>
      <c r="P15" s="955"/>
      <c r="Q15" s="955"/>
      <c r="R15" s="955"/>
      <c r="S15" s="955"/>
      <c r="T15" s="955"/>
      <c r="U15" s="955"/>
      <c r="V15" s="955"/>
      <c r="W15" s="956"/>
      <c r="X15" s="957"/>
      <c r="Y15" s="958"/>
      <c r="Z15" t="s" s="959">
        <v>1829</v>
      </c>
      <c r="AA15" t="s" s="960">
        <v>1830</v>
      </c>
      <c r="AB15" s="961"/>
      <c r="AC15" s="948"/>
      <c r="AD15" s="586"/>
      <c r="AE15" s="586"/>
      <c r="AF15" s="586"/>
      <c r="AG15" s="586"/>
      <c r="AH15" s="994"/>
      <c r="AI15" s="585"/>
    </row>
    <row r="16" ht="30" customHeight="1">
      <c r="A16" s="993"/>
      <c r="B16" s="586"/>
      <c r="C16" s="586"/>
      <c r="D16" s="586"/>
      <c r="E16" t="s" s="744">
        <f>RIGHT($B$1,1)&amp;"14"</f>
        <v>873</v>
      </c>
      <c r="F16" s="586"/>
      <c r="G16" t="s" s="667">
        <f>IF(VLOOKUP(E16,'BDD'!$A$2:$N$567,14,FALSE)=0,"",VLOOKUP(E16,'BDD'!$A$2:$N$567,14,FALSE))</f>
        <v>877</v>
      </c>
      <c r="H16" s="694"/>
      <c r="I16" s="587"/>
      <c r="J16" s="25"/>
      <c r="K16" s="937"/>
      <c r="L16" s="938"/>
      <c r="M16" s="962"/>
      <c r="N16" s="697"/>
      <c r="O16" s="963"/>
      <c r="P16" s="955"/>
      <c r="Q16" s="955"/>
      <c r="R16" s="955"/>
      <c r="S16" s="955"/>
      <c r="T16" s="955"/>
      <c r="U16" s="955"/>
      <c r="V16" s="964"/>
      <c r="W16" t="s" s="701">
        <v>28</v>
      </c>
      <c r="X16" s="702"/>
      <c r="Y16" s="965"/>
      <c r="Z16" s="966">
        <f>O22</f>
        <v>0</v>
      </c>
      <c r="AA16" s="967">
        <f>SUM($W$26:$W$82)</f>
      </c>
      <c r="AB16" s="968"/>
      <c r="AC16" s="948"/>
      <c r="AD16" s="586"/>
      <c r="AE16" s="586"/>
      <c r="AF16" s="586"/>
      <c r="AG16" s="586"/>
      <c r="AH16" s="994"/>
      <c r="AI16" s="585"/>
    </row>
    <row r="17" ht="41.4" customHeight="1">
      <c r="A17" s="993"/>
      <c r="B17" s="586"/>
      <c r="C17" s="586"/>
      <c r="D17" s="586"/>
      <c r="E17" t="s" s="744">
        <f>RIGHT($B$1,1)&amp;"15"</f>
        <v>878</v>
      </c>
      <c r="F17" s="586"/>
      <c r="G17" t="s" s="667">
        <f>IF(VLOOKUP(E17,'BDD'!$A$2:$N$567,14,FALSE)=0,"",VLOOKUP(E17,'BDD'!$A$2:$N$567,14,FALSE))</f>
        <v>880</v>
      </c>
      <c r="H17" s="694"/>
      <c r="I17" s="587"/>
      <c r="J17" s="25"/>
      <c r="K17" s="950"/>
      <c r="L17" s="969"/>
      <c r="M17" s="970"/>
      <c r="N17" s="971"/>
      <c r="O17" s="972"/>
      <c r="P17" s="972"/>
      <c r="Q17" s="972"/>
      <c r="R17" s="972"/>
      <c r="S17" s="972"/>
      <c r="T17" s="972"/>
      <c r="U17" s="972"/>
      <c r="V17" s="972"/>
      <c r="W17" s="973"/>
      <c r="X17" s="971"/>
      <c r="Y17" s="972"/>
      <c r="Z17" s="974"/>
      <c r="AA17" s="974"/>
      <c r="AB17" s="975"/>
      <c r="AC17" s="948"/>
      <c r="AD17" s="586"/>
      <c r="AE17" s="586"/>
      <c r="AF17" s="586"/>
      <c r="AG17" s="586"/>
      <c r="AH17" s="994"/>
      <c r="AI17" s="585"/>
    </row>
    <row r="18" ht="31.8" customHeight="1">
      <c r="A18" s="993"/>
      <c r="B18" s="586"/>
      <c r="C18" s="586"/>
      <c r="D18" s="586"/>
      <c r="E18" t="s" s="744">
        <f>RIGHT($B$1,1)&amp;"16"</f>
        <v>881</v>
      </c>
      <c r="F18" s="586"/>
      <c r="G18" t="s" s="667">
        <f>IF(VLOOKUP(E18,'BDD'!$A$2:$N$567,14,FALSE)=0,"",VLOOKUP(E18,'BDD'!$A$2:$N$567,14,FALSE))</f>
        <v>883</v>
      </c>
      <c r="H18" s="694"/>
      <c r="I18" s="587"/>
      <c r="J18" s="25"/>
      <c r="K18" s="694"/>
      <c r="L18" s="976"/>
      <c r="M18" s="977"/>
      <c r="N18" s="978"/>
      <c r="O18" s="978"/>
      <c r="P18" s="978"/>
      <c r="Q18" s="978"/>
      <c r="R18" s="978"/>
      <c r="S18" s="979"/>
      <c r="T18" s="979"/>
      <c r="U18" s="979"/>
      <c r="V18" s="979"/>
      <c r="W18" s="979"/>
      <c r="X18" s="979"/>
      <c r="Y18" s="979"/>
      <c r="Z18" s="979"/>
      <c r="AA18" s="979"/>
      <c r="AB18" s="979"/>
      <c r="AC18" s="586"/>
      <c r="AD18" s="586"/>
      <c r="AE18" s="586"/>
      <c r="AF18" s="586"/>
      <c r="AG18" s="586"/>
      <c r="AH18" s="994"/>
      <c r="AI18" s="585"/>
    </row>
    <row r="19" ht="63.6" customHeight="1" hidden="1">
      <c r="A19" s="993"/>
      <c r="B19" s="586"/>
      <c r="C19" s="586"/>
      <c r="D19" s="586"/>
      <c r="E19" s="586"/>
      <c r="F19" s="586"/>
      <c r="G19" s="717"/>
      <c r="H19" s="694"/>
      <c r="I19" s="587"/>
      <c r="J19" s="25"/>
      <c r="K19" s="694"/>
      <c r="L19" s="694"/>
      <c r="M19" s="587"/>
      <c r="N19" s="718"/>
      <c r="O19" s="718"/>
      <c r="P19" s="718"/>
      <c r="Q19" s="718"/>
      <c r="R19" s="718"/>
      <c r="S19" s="586"/>
      <c r="T19" s="586"/>
      <c r="U19" s="586"/>
      <c r="V19" s="586"/>
      <c r="W19" s="586"/>
      <c r="X19" s="586"/>
      <c r="Y19" s="586"/>
      <c r="Z19" s="586"/>
      <c r="AA19" s="586"/>
      <c r="AB19" s="586"/>
      <c r="AC19" s="586"/>
      <c r="AD19" s="586"/>
      <c r="AE19" s="586"/>
      <c r="AF19" s="586"/>
      <c r="AG19" s="586"/>
      <c r="AH19" s="994"/>
      <c r="AI19" s="585"/>
    </row>
    <row r="20" ht="30" customHeight="1">
      <c r="A20" s="887"/>
      <c r="B20" s="586"/>
      <c r="C20" s="586"/>
      <c r="D20" s="586"/>
      <c r="E20" s="586"/>
      <c r="F20" s="586"/>
      <c r="G20" s="717"/>
      <c r="H20" s="694"/>
      <c r="I20" s="587"/>
      <c r="J20" s="25"/>
      <c r="K20" s="694"/>
      <c r="L20" s="694"/>
      <c r="M20" s="719"/>
      <c r="N20" t="s" s="536">
        <v>1831</v>
      </c>
      <c r="O20" s="721">
        <f>COUNTIF(N27:N100,"Non renseigné")</f>
        <v>30</v>
      </c>
      <c r="P20" s="722"/>
      <c r="Q20" s="722"/>
      <c r="R20" s="723"/>
      <c r="S20" s="724"/>
      <c r="T20" s="586"/>
      <c r="U20" s="586"/>
      <c r="V20" s="586"/>
      <c r="W20" s="586"/>
      <c r="X20" s="586"/>
      <c r="Y20" s="586"/>
      <c r="Z20" s="586"/>
      <c r="AA20" s="586"/>
      <c r="AB20" s="586"/>
      <c r="AC20" s="586"/>
      <c r="AD20" s="586"/>
      <c r="AE20" s="586"/>
      <c r="AF20" s="586"/>
      <c r="AG20" s="586"/>
      <c r="AH20" s="888"/>
      <c r="AI20" s="585"/>
    </row>
    <row r="21" ht="30" customHeight="1">
      <c r="A21" s="887"/>
      <c r="B21" s="586"/>
      <c r="C21" s="586"/>
      <c r="D21" s="586"/>
      <c r="E21" t="s" s="744">
        <f>RIGHT($B$1,1)&amp;"17"</f>
        <v>884</v>
      </c>
      <c r="F21" s="586"/>
      <c r="G21" t="s" s="667">
        <f>IF(VLOOKUP(E21,'BDD'!$A$2:$N$567,14,FALSE)=0,"",VLOOKUP(E21,'BDD'!$A$2:$N$567,14,FALSE))</f>
      </c>
      <c r="H21" s="694"/>
      <c r="I21" s="694"/>
      <c r="J21" s="25"/>
      <c r="K21" s="694"/>
      <c r="L21" s="694"/>
      <c r="M21" s="719"/>
      <c r="N21" t="s" s="855">
        <v>1832</v>
      </c>
      <c r="O21" s="856">
        <f>COUNTIF($N$27:$N$91,"Non évalué")</f>
        <v>0</v>
      </c>
      <c r="P21" s="857"/>
      <c r="Q21" s="857"/>
      <c r="R21" s="858"/>
      <c r="S21" s="724"/>
      <c r="T21" s="586"/>
      <c r="U21" s="586"/>
      <c r="V21" s="586"/>
      <c r="W21" s="586"/>
      <c r="X21" s="586"/>
      <c r="Y21" s="586"/>
      <c r="Z21" s="586"/>
      <c r="AA21" s="586"/>
      <c r="AB21" s="586"/>
      <c r="AC21" s="586"/>
      <c r="AD21" s="586"/>
      <c r="AE21" s="586"/>
      <c r="AF21" s="586"/>
      <c r="AG21" s="586"/>
      <c r="AH21" s="888"/>
      <c r="AI21" s="585"/>
    </row>
    <row r="22" ht="50.4" customHeight="1">
      <c r="A22" s="993"/>
      <c r="B22" s="586"/>
      <c r="C22" s="586"/>
      <c r="D22" s="586"/>
      <c r="E22" s="586"/>
      <c r="F22" s="586"/>
      <c r="G22" s="717"/>
      <c r="H22" s="730"/>
      <c r="I22" s="730"/>
      <c r="J22" s="730"/>
      <c r="K22" s="730"/>
      <c r="L22" s="731"/>
      <c r="M22" s="719"/>
      <c r="N22" t="s" s="732">
        <v>1833</v>
      </c>
      <c r="O22" s="733">
        <v>0</v>
      </c>
      <c r="P22" s="734"/>
      <c r="Q22" s="734"/>
      <c r="R22" s="734"/>
      <c r="S22" s="586"/>
      <c r="T22" s="586"/>
      <c r="U22" s="586"/>
      <c r="V22" s="586"/>
      <c r="W22" s="586"/>
      <c r="X22" s="586"/>
      <c r="Y22" s="586"/>
      <c r="Z22" s="586"/>
      <c r="AA22" s="586"/>
      <c r="AB22" s="586"/>
      <c r="AC22" s="586"/>
      <c r="AD22" s="586"/>
      <c r="AE22" s="586"/>
      <c r="AF22" s="586"/>
      <c r="AG22" s="586"/>
      <c r="AH22" s="994"/>
      <c r="AI22" s="585"/>
    </row>
    <row r="23" ht="30" customHeight="1">
      <c r="A23" s="993"/>
      <c r="B23" s="586"/>
      <c r="C23" s="25"/>
      <c r="D23" s="586"/>
      <c r="E23" s="586"/>
      <c r="F23" s="586"/>
      <c r="G23" s="736"/>
      <c r="H23" t="s" s="737">
        <v>245</v>
      </c>
      <c r="I23" s="738"/>
      <c r="J23" s="739"/>
      <c r="K23" s="739"/>
      <c r="L23" s="740"/>
      <c r="M23" s="741"/>
      <c r="N23" s="742"/>
      <c r="O23" s="730"/>
      <c r="P23" s="730"/>
      <c r="Q23" s="730"/>
      <c r="R23" s="730"/>
      <c r="S23" s="730"/>
      <c r="T23" s="730"/>
      <c r="U23" s="730"/>
      <c r="V23" s="730"/>
      <c r="W23" s="586"/>
      <c r="X23" s="586"/>
      <c r="Y23" s="586"/>
      <c r="Z23" s="586"/>
      <c r="AA23" s="586"/>
      <c r="AB23" s="586"/>
      <c r="AC23" s="586"/>
      <c r="AD23" s="586"/>
      <c r="AE23" s="586"/>
      <c r="AF23" s="586"/>
      <c r="AG23" s="586"/>
      <c r="AH23" s="994"/>
      <c r="AI23" s="585"/>
    </row>
    <row r="24" ht="39.6" customHeight="1">
      <c r="A24" s="993"/>
      <c r="B24" s="586"/>
      <c r="C24" t="s" s="744">
        <v>10</v>
      </c>
      <c r="D24" t="s" s="745">
        <v>1745</v>
      </c>
      <c r="E24" t="s" s="745">
        <v>1834</v>
      </c>
      <c r="F24" s="746"/>
      <c r="G24" t="s" s="747">
        <v>244</v>
      </c>
      <c r="H24" t="s" s="747">
        <v>283</v>
      </c>
      <c r="I24" t="s" s="747">
        <v>263</v>
      </c>
      <c r="J24" t="s" s="747">
        <v>271</v>
      </c>
      <c r="K24" t="s" s="747">
        <v>291</v>
      </c>
      <c r="L24" t="s" s="747">
        <v>256</v>
      </c>
      <c r="M24" s="748"/>
      <c r="N24" t="s" s="747">
        <v>1764</v>
      </c>
      <c r="O24" t="s" s="749">
        <v>22</v>
      </c>
      <c r="P24" s="750"/>
      <c r="Q24" s="750"/>
      <c r="R24" s="750"/>
      <c r="S24" t="s" s="751">
        <v>223</v>
      </c>
      <c r="T24" s="750"/>
      <c r="U24" s="750"/>
      <c r="V24" s="752"/>
      <c r="W24" s="724"/>
      <c r="X24" s="586"/>
      <c r="Y24" s="586"/>
      <c r="Z24" s="586"/>
      <c r="AA24" s="586"/>
      <c r="AB24" s="586"/>
      <c r="AC24" s="586"/>
      <c r="AD24" s="586"/>
      <c r="AE24" s="586"/>
      <c r="AF24" s="586"/>
      <c r="AG24" s="586"/>
      <c r="AH24" s="994"/>
      <c r="AI24" s="585"/>
    </row>
    <row r="25" ht="30" customHeight="1">
      <c r="A25" s="993"/>
      <c r="B25" s="753"/>
      <c r="C25" t="s" s="754">
        <f>IF(LEFT(RIGHT($B$1,2),1)=" ",RIGHT($B$1,1),RIGHT($B$1,2))</f>
        <v>2103</v>
      </c>
      <c r="D25" s="755">
        <f>IF(LEFT(F25,5)="Bonne",B23+1,D24)</f>
        <v>1</v>
      </c>
      <c r="E25" s="756"/>
      <c r="F25" t="s" s="757">
        <v>1762</v>
      </c>
      <c r="G25" t="s" s="758">
        <f>VLOOKUP(E27,'BDD'!$A$2:$N$567,6,FALSE)</f>
        <v>855</v>
      </c>
      <c r="H25" s="759"/>
      <c r="I25" s="760"/>
      <c r="J25" s="760"/>
      <c r="K25" s="760"/>
      <c r="L25" s="761"/>
      <c r="M25" s="762"/>
      <c r="N25" s="763"/>
      <c r="O25" s="764">
        <v>0</v>
      </c>
      <c r="P25" s="764"/>
      <c r="Q25" s="764"/>
      <c r="R25" s="764"/>
      <c r="S25" s="765">
        <f>_xlfn.SUMIFS(S1:S100,$D1:$D100,D25,$N1:$N100,"Exigences"&amp;"*")</f>
      </c>
      <c r="T25" s="765"/>
      <c r="U25" s="765"/>
      <c r="V25" s="766"/>
      <c r="W25" s="767"/>
      <c r="X25" s="586"/>
      <c r="Y25" s="586"/>
      <c r="Z25" s="586"/>
      <c r="AA25" s="586"/>
      <c r="AB25" s="586"/>
      <c r="AC25" s="586"/>
      <c r="AD25" s="586"/>
      <c r="AE25" s="586"/>
      <c r="AF25" s="586"/>
      <c r="AG25" s="586"/>
      <c r="AH25" s="994"/>
      <c r="AI25" s="585"/>
    </row>
    <row r="26" ht="30" customHeight="1">
      <c r="A26" s="993"/>
      <c r="B26" s="753"/>
      <c r="C26" t="s" s="754">
        <f>IF(LEFT(RIGHT($B$1,2),1)=" ",RIGHT($B$1,1),RIGHT($B$1,2))</f>
        <v>2103</v>
      </c>
      <c r="D26" s="755">
        <f>IF(LEFT(F26,5)="Bonne",D24+1,D25)</f>
        <v>1</v>
      </c>
      <c r="E26" s="768"/>
      <c r="F26" t="s" s="769">
        <v>1835</v>
      </c>
      <c r="G26" t="s" s="809">
        <f>VLOOKUP(E28,'BDD'!$A$2:$N$567,7,FALSE)</f>
        <v>2152</v>
      </c>
      <c r="H26" s="810"/>
      <c r="I26" s="810"/>
      <c r="J26" s="810"/>
      <c r="K26" s="810"/>
      <c r="L26" s="810"/>
      <c r="M26" s="810"/>
      <c r="N26" s="811"/>
      <c r="O26" s="775"/>
      <c r="P26" s="775"/>
      <c r="Q26" s="775"/>
      <c r="R26" s="775"/>
      <c r="S26" s="776"/>
      <c r="T26" s="776"/>
      <c r="U26" s="776"/>
      <c r="V26" s="777"/>
      <c r="W26" s="789">
        <f>_xlfn.IFERROR(IF(N26='Suppl'!$E$65,0,IF(N26='Suppl'!$E$66,1/2/(_xlfn.COUNTIFS($N1:$N100,"Exigences"&amp;"*")+_xlfn.COUNTIFS($N1:$N100,"Non"&amp;"*")),IF(N26='Suppl'!$E$67,1/(_xlfn.COUNTIFS($N1:$N100,"Exigences"&amp;"*")+_xlfn.COUNTIFS($N1:$N100,"Non"&amp;"*")),0))),0)</f>
        <v>0</v>
      </c>
      <c r="X26" s="586"/>
      <c r="Y26" s="586"/>
      <c r="Z26" s="586"/>
      <c r="AA26" s="586"/>
      <c r="AB26" s="586"/>
      <c r="AC26" s="586"/>
      <c r="AD26" s="586"/>
      <c r="AE26" s="586"/>
      <c r="AF26" s="586"/>
      <c r="AG26" s="586"/>
      <c r="AH26" s="994"/>
      <c r="AI26" s="585"/>
    </row>
    <row r="27" ht="41.4" customHeight="1">
      <c r="A27" s="993"/>
      <c r="B27" s="753"/>
      <c r="C27" t="s" s="754">
        <f>IF(LEFT(RIGHT($B$1,2),1)=" ",RIGHT($B$1,1),RIGHT($B$1,2))</f>
        <v>2103</v>
      </c>
      <c r="D27" s="755">
        <f>IF(LEFT(F27,5)="Bonne",D25+1,D26)</f>
        <v>1</v>
      </c>
      <c r="E27" t="s" s="778">
        <f>C27&amp;D27&amp;RIGHT(F27,1)</f>
        <v>2106</v>
      </c>
      <c r="F27" t="s" s="779">
        <v>1769</v>
      </c>
      <c r="G27" t="s" s="780">
        <f>VLOOKUP(E27,'BDD'!$A$2:$N$567,MATCH(G$24,'BDD'!$A$1:$P$1,0),FALSE)</f>
        <v>858</v>
      </c>
      <c r="H27" t="s" s="799">
        <v>283</v>
      </c>
      <c r="I27" s="782"/>
      <c r="J27" s="782"/>
      <c r="K27" s="782"/>
      <c r="L27" s="793"/>
      <c r="M27" s="784">
        <f>IF(N27="Exigences partiellement respectées",1,IF(N27="Exigences respectées",2,0))</f>
        <v>0</v>
      </c>
      <c r="N27" t="s" s="780">
        <f>VLOOKUP(VLOOKUP(E27,'BDD'!$A$2:$P$428,15,FALSE),'Suppl'!$D$64:$E$68,2,FALSE)</f>
        <v>1751</v>
      </c>
      <c r="O27" s="785"/>
      <c r="P27" s="786"/>
      <c r="Q27" s="786"/>
      <c r="R27" s="786"/>
      <c r="S27" s="787">
        <f>IF(N27='Suppl'!$E$65,0,IF(N27='Suppl'!$E$66,1/2/(_xlfn.COUNTIFS($D1:$D100,D27,$N1:$N100,"Exigences"&amp;"*",G1:G100,"&lt;&gt;0")+_xlfn.COUNTIFS($D1:$D100,D27,$N1:$N100,"Non"&amp;"*",G1:G100,"&lt;&gt;0")),IF(N27='Suppl'!$E$67,1/(_xlfn.COUNTIFS($D1:$D100,D27,$N1:$N100,"Exigences"&amp;"*",G1:G100,"&lt;&gt;0")+_xlfn.COUNTIFS($D1:$D100,D27,$N1:$N100,"Non"&amp;"*",G1:G100,"&lt;&gt;0")),0)))</f>
        <v>0</v>
      </c>
      <c r="T27" s="787"/>
      <c r="U27" s="787"/>
      <c r="V27" s="788"/>
      <c r="W27" s="789">
        <f>_xlfn.IFERROR(IF(N27='Suppl'!$E$65,0,IF(N27='Suppl'!$E$66,1/2/(_xlfn.COUNTIFS($N1:$N100,"Exigences"&amp;"*")+_xlfn.COUNTIFS($N1:$N100,"Non"&amp;"*")),IF(N27='Suppl'!$E$67,1/(_xlfn.COUNTIFS($N1:$N100,"Exigences"&amp;"*")+_xlfn.COUNTIFS($N1:$N100,"Non"&amp;"*")),0))),0)</f>
        <v>0</v>
      </c>
      <c r="X27" s="586"/>
      <c r="Y27" s="586"/>
      <c r="Z27" s="586"/>
      <c r="AA27" s="586"/>
      <c r="AB27" s="586"/>
      <c r="AC27" s="586"/>
      <c r="AD27" s="586"/>
      <c r="AE27" s="586"/>
      <c r="AF27" s="586"/>
      <c r="AG27" s="586"/>
      <c r="AH27" s="994"/>
      <c r="AI27" s="585"/>
    </row>
    <row r="28" ht="57" customHeight="1">
      <c r="A28" s="993"/>
      <c r="B28" s="753"/>
      <c r="C28" t="s" s="754">
        <f>IF(LEFT(RIGHT($B$1,2),1)=" ",RIGHT($B$1,1),RIGHT($B$1,2))</f>
        <v>2103</v>
      </c>
      <c r="D28" s="755">
        <f>IF(LEFT(F28,5)="Bonne",D26+1,D27)</f>
        <v>1</v>
      </c>
      <c r="E28" t="s" s="778">
        <f>C28&amp;D28&amp;RIGHT(F28,1)</f>
        <v>2107</v>
      </c>
      <c r="F28" t="s" s="790">
        <v>1837</v>
      </c>
      <c r="G28" t="s" s="791">
        <f>VLOOKUP(E28,'BDD'!$A$2:$N$567,MATCH(G$24,'BDD'!$A$1:$P$1,0),FALSE)</f>
        <v>863</v>
      </c>
      <c r="H28" s="781"/>
      <c r="I28" t="s" s="792">
        <v>263</v>
      </c>
      <c r="J28" s="782"/>
      <c r="K28" s="782"/>
      <c r="L28" s="793"/>
      <c r="M28" s="794">
        <f>IF(N28="Exigences partiellement respectées",1,IF(N28="Exigences respectées",2,0))</f>
        <v>0</v>
      </c>
      <c r="N28" t="s" s="791">
        <f>VLOOKUP(VLOOKUP(E28,'BDD'!$A$2:$P$428,15,FALSE),'Suppl'!$D$64:$E$68,2,FALSE)</f>
        <v>1751</v>
      </c>
      <c r="O28" s="795"/>
      <c r="P28" s="796"/>
      <c r="Q28" s="796"/>
      <c r="R28" s="796"/>
      <c r="S28" s="797">
        <f>IF(N28='Suppl'!$E$65,0,IF(N28='Suppl'!$E$66,1/2/(_xlfn.COUNTIFS($D1:$D100,D28,$N1:$N100,"Exigences"&amp;"*",G1:G100,"&lt;&gt;0")+_xlfn.COUNTIFS($D1:$D100,D28,$N1:$N100,"Non"&amp;"*",G1:G100,"&lt;&gt;0")),IF(N28='Suppl'!$E$67,1/(_xlfn.COUNTIFS($D1:$D100,D28,$N1:$N100,"Exigences"&amp;"*",G1:G100,"&lt;&gt;0")+_xlfn.COUNTIFS($D1:$D100,D28,$N1:$N100,"Non"&amp;"*",G1:G100,"&lt;&gt;0")),0)))</f>
        <v>0</v>
      </c>
      <c r="T28" s="797"/>
      <c r="U28" s="797"/>
      <c r="V28" s="798"/>
      <c r="W28" s="789">
        <f>_xlfn.IFERROR(IF(N28='Suppl'!$E$65,0,IF(N28='Suppl'!$E$66,1/2/(_xlfn.COUNTIFS($N1:$N100,"Exigences"&amp;"*")+_xlfn.COUNTIFS($N1:$N100,"Non"&amp;"*")),IF(N28='Suppl'!$E$67,1/(_xlfn.COUNTIFS($N1:$N100,"Exigences"&amp;"*")+_xlfn.COUNTIFS($N1:$N100,"Non"&amp;"*")),0))),0)</f>
        <v>0</v>
      </c>
      <c r="X28" s="586"/>
      <c r="Y28" s="586"/>
      <c r="Z28" s="586"/>
      <c r="AA28" s="586"/>
      <c r="AB28" s="586"/>
      <c r="AC28" s="586"/>
      <c r="AD28" s="586"/>
      <c r="AE28" s="586"/>
      <c r="AF28" s="586"/>
      <c r="AG28" s="586"/>
      <c r="AH28" s="994"/>
      <c r="AI28" s="585"/>
    </row>
    <row r="29" ht="55.2" customHeight="1">
      <c r="A29" s="993"/>
      <c r="B29" s="753"/>
      <c r="C29" t="s" s="754">
        <f>IF(LEFT(RIGHT($B$1,2),1)=" ",RIGHT($B$1,1),RIGHT($B$1,2))</f>
        <v>2103</v>
      </c>
      <c r="D29" s="755">
        <f>IF(LEFT(F29,5)="Bonne",D27+1,D28)</f>
        <v>1</v>
      </c>
      <c r="E29" t="s" s="778">
        <f>C29&amp;D29&amp;RIGHT(F29,1)</f>
        <v>2108</v>
      </c>
      <c r="F29" t="s" s="779">
        <v>1774</v>
      </c>
      <c r="G29" t="s" s="780">
        <f>VLOOKUP(E29,'BDD'!$A$2:$N$567,MATCH(G$24,'BDD'!$A$1:$P$1,0),FALSE)</f>
        <v>869</v>
      </c>
      <c r="H29" s="781"/>
      <c r="I29" s="782"/>
      <c r="J29" s="782"/>
      <c r="K29" t="s" s="792">
        <v>291</v>
      </c>
      <c r="L29" s="793"/>
      <c r="M29" s="794">
        <f>IF(N29="Exigences partiellement respectées",1,IF(N29="Exigences respectées",2,0))</f>
        <v>0</v>
      </c>
      <c r="N29" t="s" s="780">
        <f>VLOOKUP(VLOOKUP(E29,'BDD'!$A$2:$P$428,15,FALSE),'Suppl'!$D$64:$E$68,2,FALSE)</f>
        <v>1751</v>
      </c>
      <c r="O29" s="795"/>
      <c r="P29" s="796"/>
      <c r="Q29" s="796"/>
      <c r="R29" s="796"/>
      <c r="S29" s="797">
        <f>IF(N29='Suppl'!$E$65,0,IF(N29='Suppl'!$E$66,1/2/(_xlfn.COUNTIFS($D1:$D100,D29,$N1:$N100,"Exigences"&amp;"*",G1:G100,"&lt;&gt;0")+_xlfn.COUNTIFS($D1:$D100,D29,$N1:$N100,"Non"&amp;"*",G1:G100,"&lt;&gt;0")),IF(N29='Suppl'!$E$67,1/(_xlfn.COUNTIFS($D1:$D100,D29,$N1:$N100,"Exigences"&amp;"*",G1:G100,"&lt;&gt;0")+_xlfn.COUNTIFS($D1:$D100,D29,$N1:$N100,"Non"&amp;"*",G1:G100,"&lt;&gt;0")),0)))</f>
        <v>0</v>
      </c>
      <c r="T29" s="797"/>
      <c r="U29" s="797"/>
      <c r="V29" s="798"/>
      <c r="W29" s="789">
        <f>_xlfn.IFERROR(IF(N29='Suppl'!$E$65,0,IF(N29='Suppl'!$E$66,1/2/(_xlfn.COUNTIFS($N1:$N100,"Exigences"&amp;"*")+_xlfn.COUNTIFS($N1:$N100,"Non"&amp;"*")),IF(N29='Suppl'!$E$67,1/(_xlfn.COUNTIFS($N1:$N100,"Exigences"&amp;"*")+_xlfn.COUNTIFS($N1:$N100,"Non"&amp;"*")),0))),0)</f>
        <v>0</v>
      </c>
      <c r="X29" s="586"/>
      <c r="Y29" s="586"/>
      <c r="Z29" s="586"/>
      <c r="AA29" s="586"/>
      <c r="AB29" s="586"/>
      <c r="AC29" s="586"/>
      <c r="AD29" s="586"/>
      <c r="AE29" s="586"/>
      <c r="AF29" s="586"/>
      <c r="AG29" s="586"/>
      <c r="AH29" s="994"/>
      <c r="AI29" s="585"/>
    </row>
    <row r="30" ht="41.4" customHeight="1">
      <c r="A30" s="993"/>
      <c r="B30" s="753"/>
      <c r="C30" t="s" s="754">
        <f>IF(LEFT(RIGHT($B$1,2),1)=" ",RIGHT($B$1,1),RIGHT($B$1,2))</f>
        <v>2103</v>
      </c>
      <c r="D30" s="755">
        <f>IF(LEFT(F30,5)="Bonne",D28+1,D29)</f>
        <v>1</v>
      </c>
      <c r="E30" t="s" s="778">
        <f>C30&amp;D30&amp;RIGHT(F30,1)</f>
        <v>2109</v>
      </c>
      <c r="F30" t="s" s="790">
        <v>1776</v>
      </c>
      <c r="G30" t="s" s="791">
        <f>VLOOKUP(E30,'BDD'!$A$2:$N$567,MATCH(G$24,'BDD'!$A$1:$P$1,0),FALSE)</f>
        <v>874</v>
      </c>
      <c r="H30" s="781"/>
      <c r="I30" s="782"/>
      <c r="J30" t="s" s="792">
        <v>271</v>
      </c>
      <c r="K30" s="782"/>
      <c r="L30" s="793"/>
      <c r="M30" s="800">
        <f>IF(N30="Exigences partiellement respectées",1,IF(N30="Exigences respectées",2,0))</f>
        <v>0</v>
      </c>
      <c r="N30" t="s" s="791">
        <f>VLOOKUP(VLOOKUP(E30,'BDD'!$A$2:$P$428,15,FALSE),'Suppl'!$D$64:$E$68,2,FALSE)</f>
        <v>1751</v>
      </c>
      <c r="O30" s="801"/>
      <c r="P30" s="802"/>
      <c r="Q30" s="802"/>
      <c r="R30" s="802"/>
      <c r="S30" s="803">
        <f>IF(N30='Suppl'!$E$65,0,IF(N30='Suppl'!$E$66,1/2/(_xlfn.COUNTIFS($D1:$D100,D30,$N1:$N100,"Exigences"&amp;"*",G1:G100,"&lt;&gt;0")+_xlfn.COUNTIFS($D1:$D100,D30,$N1:$N100,"Non"&amp;"*",G1:G100,"&lt;&gt;0")),IF(N30='Suppl'!$E$67,1/(_xlfn.COUNTIFS($D1:$D100,D30,$N1:$N100,"Exigences"&amp;"*",G1:G100,"&lt;&gt;0")+_xlfn.COUNTIFS($D1:$D100,D30,$N1:$N100,"Non"&amp;"*",G1:G100,"&lt;&gt;0")),0)))</f>
        <v>0</v>
      </c>
      <c r="T30" s="803"/>
      <c r="U30" s="803"/>
      <c r="V30" s="804"/>
      <c r="W30" s="789">
        <f>_xlfn.IFERROR(IF(N30='Suppl'!$E$65,0,IF(N30='Suppl'!$E$66,1/2/(_xlfn.COUNTIFS($N1:$N100,"Exigences"&amp;"*")+_xlfn.COUNTIFS($N1:$N100,"Non"&amp;"*")),IF(N30='Suppl'!$E$67,1/(_xlfn.COUNTIFS($N1:$N100,"Exigences"&amp;"*")+_xlfn.COUNTIFS($N1:$N100,"Non"&amp;"*")),0))),0)</f>
        <v>0</v>
      </c>
      <c r="X30" t="s" s="744">
        <v>171</v>
      </c>
      <c r="Y30" s="586"/>
      <c r="Z30" s="586"/>
      <c r="AA30" s="586"/>
      <c r="AB30" s="586"/>
      <c r="AC30" s="586"/>
      <c r="AD30" s="586"/>
      <c r="AE30" s="586"/>
      <c r="AF30" s="586"/>
      <c r="AG30" s="586"/>
      <c r="AH30" s="994"/>
      <c r="AI30" s="585"/>
    </row>
    <row r="31" ht="30" customHeight="1">
      <c r="A31" s="993"/>
      <c r="B31" s="753"/>
      <c r="C31" t="s" s="754">
        <f>IF(LEFT(RIGHT($B$1,2),1)=" ",RIGHT($B$1,1),RIGHT($B$1,2))</f>
        <v>2103</v>
      </c>
      <c r="D31" s="755">
        <f>IF(LEFT(F31,5)="Bonne",D29+1,D30)</f>
        <v>2</v>
      </c>
      <c r="E31" t="s" s="778">
        <f>C31&amp;D31&amp;RIGHT(F31,1)</f>
        <v>2114</v>
      </c>
      <c r="F31" t="s" s="757">
        <v>1785</v>
      </c>
      <c r="G31" t="s" s="758">
        <f>VLOOKUP(E33,'BDD'!$A$2:$N$567,6,FALSE)</f>
        <v>885</v>
      </c>
      <c r="H31" t="s" s="805">
        <f>VLOOKUP(E33,'BDD'!$A$2:$N$567,6,FALSE)</f>
        <v>885</v>
      </c>
      <c r="I31" s="760"/>
      <c r="J31" s="760"/>
      <c r="K31" s="760"/>
      <c r="L31" s="761"/>
      <c r="M31" s="762"/>
      <c r="N31" s="763"/>
      <c r="O31" s="764">
        <v>0</v>
      </c>
      <c r="P31" s="764"/>
      <c r="Q31" s="764"/>
      <c r="R31" s="764"/>
      <c r="S31" s="765">
        <f>_xlfn.SUMIFS(S1:S100,$D1:$D100,D31,$N1:$N100,"Exigences"&amp;"*")</f>
      </c>
      <c r="T31" s="765"/>
      <c r="U31" s="765"/>
      <c r="V31" s="766"/>
      <c r="W31" s="789">
        <f>_xlfn.IFERROR(IF(N31='Suppl'!$E$65,0,IF(N31='Suppl'!$E$66,1/2/(_xlfn.COUNTIFS($N1:$N100,"Exigences"&amp;"*")+_xlfn.COUNTIFS($N1:$N100,"Non"&amp;"*")),IF(N31='Suppl'!$E$67,1/(_xlfn.COUNTIFS($N1:$N100,"Exigences"&amp;"*")+_xlfn.COUNTIFS($N1:$N100,"Non"&amp;"*")),0))),0)</f>
        <v>0</v>
      </c>
      <c r="X31" s="586"/>
      <c r="Y31" s="586"/>
      <c r="Z31" s="586"/>
      <c r="AA31" s="586"/>
      <c r="AB31" s="586"/>
      <c r="AC31" s="586"/>
      <c r="AD31" s="586"/>
      <c r="AE31" s="586"/>
      <c r="AF31" s="586"/>
      <c r="AG31" s="586"/>
      <c r="AH31" s="994"/>
      <c r="AI31" s="585"/>
    </row>
    <row r="32" ht="30" customHeight="1">
      <c r="A32" s="993"/>
      <c r="B32" s="753"/>
      <c r="C32" t="s" s="754">
        <f>IF(LEFT(RIGHT($B$1,2),1)=" ",RIGHT($B$1,1),RIGHT($B$1,2))</f>
        <v>2103</v>
      </c>
      <c r="D32" s="755">
        <f>IF(LEFT(F32,5)="Bonne",D30+1,D31)</f>
        <v>2</v>
      </c>
      <c r="E32" t="s" s="778">
        <f>C32&amp;D32&amp;RIGHT(F32,1)</f>
        <v>2118</v>
      </c>
      <c r="F32" t="s" s="769">
        <v>1835</v>
      </c>
      <c r="G32" t="s" s="809">
        <f>VLOOKUP(E34,'BDD'!$A$2:$N$567,7,FALSE)</f>
        <v>2153</v>
      </c>
      <c r="H32" s="810"/>
      <c r="I32" s="810"/>
      <c r="J32" s="810"/>
      <c r="K32" s="810"/>
      <c r="L32" s="810"/>
      <c r="M32" s="810"/>
      <c r="N32" s="811"/>
      <c r="O32" s="775"/>
      <c r="P32" s="775"/>
      <c r="Q32" s="775"/>
      <c r="R32" s="775"/>
      <c r="S32" s="776"/>
      <c r="T32" s="776"/>
      <c r="U32" s="776"/>
      <c r="V32" s="777"/>
      <c r="W32" s="789">
        <f>_xlfn.IFERROR(IF(N32='Suppl'!$E$65,0,IF(N32='Suppl'!$E$66,1/2/(_xlfn.COUNTIFS($N1:$N100,"Exigences"&amp;"*")+_xlfn.COUNTIFS($N1:$N100,"Non"&amp;"*")),IF(N32='Suppl'!$E$67,1/(_xlfn.COUNTIFS($N1:$N100,"Exigences"&amp;"*")+_xlfn.COUNTIFS($N1:$N100,"Non"&amp;"*")),0))),0)</f>
        <v>0</v>
      </c>
      <c r="X32" s="586"/>
      <c r="Y32" s="586"/>
      <c r="Z32" s="586"/>
      <c r="AA32" s="586"/>
      <c r="AB32" s="586"/>
      <c r="AC32" s="586"/>
      <c r="AD32" s="586"/>
      <c r="AE32" s="586"/>
      <c r="AF32" s="586"/>
      <c r="AG32" s="586"/>
      <c r="AH32" s="994"/>
      <c r="AI32" s="585"/>
    </row>
    <row r="33" ht="43.2" customHeight="1">
      <c r="A33" s="993"/>
      <c r="B33" s="753"/>
      <c r="C33" t="s" s="754">
        <f>IF(LEFT(RIGHT($B$1,2),1)=" ",RIGHT($B$1,1),RIGHT($B$1,2))</f>
        <v>2103</v>
      </c>
      <c r="D33" s="755">
        <f>IF(LEFT(F33,5)="Bonne",D31+1,D32)</f>
        <v>2</v>
      </c>
      <c r="E33" t="s" s="778">
        <f>C33&amp;D33&amp;RIGHT(F33,1)</f>
        <v>2118</v>
      </c>
      <c r="F33" t="s" s="779">
        <v>1769</v>
      </c>
      <c r="G33" t="s" s="780">
        <f>VLOOKUP(E33,'BDD'!$A$2:$N$567,MATCH(G$24,'BDD'!$A$1:$P$1,0),FALSE)</f>
        <v>888</v>
      </c>
      <c r="H33" s="781"/>
      <c r="I33" t="s" s="792">
        <v>263</v>
      </c>
      <c r="J33" s="782"/>
      <c r="K33" s="782"/>
      <c r="L33" s="793"/>
      <c r="M33" s="784">
        <f>IF(N33="Exigences partiellement respectées",1,IF(N33="Exigences respectées",2,0))</f>
        <v>0</v>
      </c>
      <c r="N33" t="s" s="780">
        <f>VLOOKUP(VLOOKUP(E33,'BDD'!$A$2:$P$428,15,FALSE),'Suppl'!$D$64:$E$68,2,FALSE)</f>
        <v>1751</v>
      </c>
      <c r="O33" s="785"/>
      <c r="P33" s="786"/>
      <c r="Q33" s="786"/>
      <c r="R33" s="786"/>
      <c r="S33" s="787">
        <f>IF(N33='Suppl'!$E$65,0,IF(N33='Suppl'!$E$66,1/2/(_xlfn.COUNTIFS($D1:$D100,D33,$N1:$N100,"Exigences"&amp;"*",G1:G100,"&lt;&gt;0")+_xlfn.COUNTIFS($D1:$D100,D33,$N1:$N100,"Non"&amp;"*",G1:G100,"&lt;&gt;0")),IF(N33='Suppl'!$E$67,1/(_xlfn.COUNTIFS($D1:$D100,D33,$N1:$N100,"Exigences"&amp;"*",G1:G100,"&lt;&gt;0")+_xlfn.COUNTIFS($D1:$D100,D33,$N1:$N100,"Non"&amp;"*",G1:G100,"&lt;&gt;0")),0)))</f>
        <v>0</v>
      </c>
      <c r="T33" s="787"/>
      <c r="U33" s="787"/>
      <c r="V33" s="788"/>
      <c r="W33" s="789">
        <f>_xlfn.IFERROR(IF(N33='Suppl'!$E$65,0,IF(N33='Suppl'!$E$66,1/2/(_xlfn.COUNTIFS($N1:$N100,"Exigences"&amp;"*")+_xlfn.COUNTIFS($N1:$N100,"Non"&amp;"*")),IF(N33='Suppl'!$E$67,1/(_xlfn.COUNTIFS($N1:$N100,"Exigences"&amp;"*")+_xlfn.COUNTIFS($N1:$N100,"Non"&amp;"*")),0))),0)</f>
        <v>0</v>
      </c>
      <c r="X33" s="586"/>
      <c r="Y33" s="586"/>
      <c r="Z33" s="586"/>
      <c r="AA33" s="586"/>
      <c r="AB33" s="586"/>
      <c r="AC33" s="586"/>
      <c r="AD33" s="586"/>
      <c r="AE33" s="586"/>
      <c r="AF33" s="586"/>
      <c r="AG33" s="586"/>
      <c r="AH33" s="994"/>
      <c r="AI33" s="585"/>
    </row>
    <row r="34" ht="30" customHeight="1">
      <c r="A34" s="993"/>
      <c r="B34" s="753"/>
      <c r="C34" t="s" s="754">
        <f>IF(LEFT(RIGHT($B$1,2),1)=" ",RIGHT($B$1,1),RIGHT($B$1,2))</f>
        <v>2103</v>
      </c>
      <c r="D34" s="755">
        <f>IF(LEFT(F34,5)="Bonne",D32+1,D33)</f>
        <v>2</v>
      </c>
      <c r="E34" t="s" s="778">
        <f>C34&amp;D34&amp;RIGHT(F34,1)</f>
        <v>2114</v>
      </c>
      <c r="F34" t="s" s="790">
        <v>1837</v>
      </c>
      <c r="G34" t="s" s="791">
        <f>VLOOKUP(E34,'BDD'!$A$2:$N$567,MATCH(G$24,'BDD'!$A$1:$P$1,0),FALSE)</f>
        <v>891</v>
      </c>
      <c r="H34" t="s" s="799">
        <v>283</v>
      </c>
      <c r="I34" s="782"/>
      <c r="J34" s="782"/>
      <c r="K34" s="782"/>
      <c r="L34" s="793"/>
      <c r="M34" s="794">
        <f>IF(N34="Exigences partiellement respectées",1,IF(N34="Exigences respectées",2,0))</f>
        <v>0</v>
      </c>
      <c r="N34" t="s" s="791">
        <f>VLOOKUP(VLOOKUP(E34,'BDD'!$A$2:$P$428,15,FALSE),'Suppl'!$D$64:$E$68,2,FALSE)</f>
        <v>1751</v>
      </c>
      <c r="O34" s="795"/>
      <c r="P34" s="796"/>
      <c r="Q34" s="796"/>
      <c r="R34" s="796"/>
      <c r="S34" s="797">
        <f>IF(N34='Suppl'!$E$65,0,IF(N34='Suppl'!$E$66,1/2/(_xlfn.COUNTIFS($D1:$D100,D34,$N1:$N100,"Exigences"&amp;"*",G1:G100,"&lt;&gt;0")+_xlfn.COUNTIFS($D1:$D100,D34,$N1:$N100,"Non"&amp;"*",G1:G100,"&lt;&gt;0")),IF(N34='Suppl'!$E$67,1/(_xlfn.COUNTIFS($D1:$D100,D34,$N1:$N100,"Exigences"&amp;"*",G1:G100,"&lt;&gt;0")+_xlfn.COUNTIFS($D1:$D100,D34,$N1:$N100,"Non"&amp;"*",G1:G100,"&lt;&gt;0")),0)))</f>
        <v>0</v>
      </c>
      <c r="T34" s="797"/>
      <c r="U34" s="797"/>
      <c r="V34" s="798"/>
      <c r="W34" s="789">
        <f>_xlfn.IFERROR(IF(N34='Suppl'!$E$65,0,IF(N34='Suppl'!$E$66,1/2/(_xlfn.COUNTIFS($N1:$N100,"Exigences"&amp;"*")+_xlfn.COUNTIFS($N1:$N100,"Non"&amp;"*")),IF(N34='Suppl'!$E$67,1/(_xlfn.COUNTIFS($N1:$N100,"Exigences"&amp;"*")+_xlfn.COUNTIFS($N1:$N100,"Non"&amp;"*")),0))),0)</f>
        <v>0</v>
      </c>
      <c r="X34" s="586"/>
      <c r="Y34" s="586"/>
      <c r="Z34" s="586"/>
      <c r="AA34" s="586"/>
      <c r="AB34" s="586"/>
      <c r="AC34" s="586"/>
      <c r="AD34" s="586"/>
      <c r="AE34" s="586"/>
      <c r="AF34" s="586"/>
      <c r="AG34" s="586"/>
      <c r="AH34" s="994"/>
      <c r="AI34" s="585"/>
    </row>
    <row r="35" ht="46.2" customHeight="1">
      <c r="A35" s="993"/>
      <c r="B35" s="753"/>
      <c r="C35" t="s" s="754">
        <f>IF(LEFT(RIGHT($B$1,2),1)=" ",RIGHT($B$1,1),RIGHT($B$1,2))</f>
        <v>2103</v>
      </c>
      <c r="D35" s="755">
        <f>IF(LEFT(F35,5)="Bonne",D33+1,D34)</f>
        <v>2</v>
      </c>
      <c r="E35" t="s" s="778">
        <f>C35&amp;D35&amp;RIGHT(F35,1)</f>
        <v>2119</v>
      </c>
      <c r="F35" t="s" s="779">
        <v>1774</v>
      </c>
      <c r="G35" t="s" s="780">
        <f>VLOOKUP(E35,'BDD'!$A$2:$N$567,MATCH(G$24,'BDD'!$A$1:$P$1,0),FALSE)</f>
        <v>894</v>
      </c>
      <c r="H35" s="781"/>
      <c r="I35" s="782"/>
      <c r="J35" t="s" s="792">
        <v>271</v>
      </c>
      <c r="K35" s="782"/>
      <c r="L35" s="793"/>
      <c r="M35" s="794">
        <f>IF(N35="Exigences partiellement respectées",1,IF(N35="Exigences respectées",2,0))</f>
        <v>0</v>
      </c>
      <c r="N35" t="s" s="780">
        <f>VLOOKUP(VLOOKUP(E35,'BDD'!$A$2:$P$428,15,FALSE),'Suppl'!$D$64:$E$68,2,FALSE)</f>
        <v>1751</v>
      </c>
      <c r="O35" s="795"/>
      <c r="P35" s="796"/>
      <c r="Q35" s="796"/>
      <c r="R35" s="796"/>
      <c r="S35" s="797">
        <f>IF(N35='Suppl'!$E$65,0,IF(N35='Suppl'!$E$66,1/2/(_xlfn.COUNTIFS($D1:$D100,D35,$N1:$N100,"Exigences"&amp;"*",G1:G100,"&lt;&gt;0")+_xlfn.COUNTIFS($D1:$D100,D35,$N1:$N100,"Non"&amp;"*",G1:G100,"&lt;&gt;0")),IF(N35='Suppl'!$E$67,1/(_xlfn.COUNTIFS($D1:$D100,D35,$N1:$N100,"Exigences"&amp;"*",G1:G100,"&lt;&gt;0")+_xlfn.COUNTIFS($D1:$D100,D35,$N1:$N100,"Non"&amp;"*",G1:G100,"&lt;&gt;0")),0)))</f>
        <v>0</v>
      </c>
      <c r="T35" s="797"/>
      <c r="U35" s="797"/>
      <c r="V35" s="798"/>
      <c r="W35" s="789">
        <f>_xlfn.IFERROR(IF(N35='Suppl'!$E$65,0,IF(N35='Suppl'!$E$66,1/2/(_xlfn.COUNTIFS($N1:$N100,"Exigences"&amp;"*")+_xlfn.COUNTIFS($N1:$N100,"Non"&amp;"*")),IF(N35='Suppl'!$E$67,1/(_xlfn.COUNTIFS($N1:$N100,"Exigences"&amp;"*")+_xlfn.COUNTIFS($N1:$N100,"Non"&amp;"*")),0))),0)</f>
        <v>0</v>
      </c>
      <c r="X35" s="586"/>
      <c r="Y35" s="586"/>
      <c r="Z35" s="586"/>
      <c r="AA35" s="586"/>
      <c r="AB35" s="586"/>
      <c r="AC35" s="586"/>
      <c r="AD35" s="586"/>
      <c r="AE35" s="586"/>
      <c r="AF35" s="586"/>
      <c r="AG35" s="586"/>
      <c r="AH35" s="994"/>
      <c r="AI35" s="585"/>
    </row>
    <row r="36" ht="30" customHeight="1">
      <c r="A36" s="993"/>
      <c r="B36" s="753"/>
      <c r="C36" t="s" s="754">
        <f>IF(LEFT(RIGHT($B$1,2),1)=" ",RIGHT($B$1,1),RIGHT($B$1,2))</f>
        <v>2103</v>
      </c>
      <c r="D36" s="755">
        <f>IF(LEFT(F36,5)="Bonne",D34+1,D35)</f>
        <v>2</v>
      </c>
      <c r="E36" t="s" s="778">
        <f>C36&amp;D36&amp;RIGHT(F36,1)</f>
        <v>2120</v>
      </c>
      <c r="F36" t="s" s="790">
        <v>1776</v>
      </c>
      <c r="G36" t="s" s="791">
        <f>VLOOKUP(E36,'BDD'!$A$2:$N$567,MATCH(G$24,'BDD'!$A$1:$P$1,0),FALSE)</f>
        <v>897</v>
      </c>
      <c r="H36" s="781"/>
      <c r="I36" s="782"/>
      <c r="J36" s="782"/>
      <c r="K36" t="s" s="792">
        <v>291</v>
      </c>
      <c r="L36" s="793"/>
      <c r="M36" s="800">
        <f>IF(N36="Exigences partiellement respectées",1,IF(N36="Exigences respectées",2,0))</f>
        <v>0</v>
      </c>
      <c r="N36" t="s" s="791">
        <f>VLOOKUP(VLOOKUP(E36,'BDD'!$A$2:$P$428,15,FALSE),'Suppl'!$D$64:$E$68,2,FALSE)</f>
        <v>1751</v>
      </c>
      <c r="O36" s="801"/>
      <c r="P36" s="802"/>
      <c r="Q36" s="802"/>
      <c r="R36" s="802"/>
      <c r="S36" s="803">
        <f>IF(N36='Suppl'!$E$65,0,IF(N36='Suppl'!$E$66,1/2/(_xlfn.COUNTIFS($D1:$D100,D36,$N1:$N100,"Exigences"&amp;"*",G1:G100,"&lt;&gt;0")+_xlfn.COUNTIFS($D1:$D100,D36,$N1:$N100,"Non"&amp;"*",G1:G100,"&lt;&gt;0")),IF(N36='Suppl'!$E$67,1/(_xlfn.COUNTIFS($D1:$D100,D36,$N1:$N100,"Exigences"&amp;"*",G1:G100,"&lt;&gt;0")+_xlfn.COUNTIFS($D1:$D100,D36,$N1:$N100,"Non"&amp;"*",G1:G100,"&lt;&gt;0")),0)))</f>
        <v>0</v>
      </c>
      <c r="T36" s="803"/>
      <c r="U36" s="803"/>
      <c r="V36" s="804"/>
      <c r="W36" s="789">
        <f>_xlfn.IFERROR(IF(N36='Suppl'!$E$65,0,IF(N36='Suppl'!$E$66,1/2/(_xlfn.COUNTIFS($N1:$N100,"Exigences"&amp;"*")+_xlfn.COUNTIFS($N1:$N100,"Non"&amp;"*")),IF(N36='Suppl'!$E$67,1/(_xlfn.COUNTIFS($N1:$N100,"Exigences"&amp;"*")+_xlfn.COUNTIFS($N1:$N100,"Non"&amp;"*")),0))),0)</f>
        <v>0</v>
      </c>
      <c r="X36" s="586"/>
      <c r="Y36" s="586"/>
      <c r="Z36" s="586"/>
      <c r="AA36" s="586"/>
      <c r="AB36" s="586"/>
      <c r="AC36" s="586"/>
      <c r="AD36" s="586"/>
      <c r="AE36" s="586"/>
      <c r="AF36" s="586"/>
      <c r="AG36" s="586"/>
      <c r="AH36" s="994"/>
      <c r="AI36" s="585"/>
    </row>
    <row r="37" ht="30" customHeight="1">
      <c r="A37" s="993"/>
      <c r="B37" s="753"/>
      <c r="C37" t="s" s="754">
        <f>IF(LEFT(RIGHT($B$1,2),1)=" ",RIGHT($B$1,1),RIGHT($B$1,2))</f>
        <v>2103</v>
      </c>
      <c r="D37" s="755">
        <f>IF(LEFT(F37,5)="Bonne",D35+1,D36)</f>
        <v>3</v>
      </c>
      <c r="E37" t="s" s="778">
        <f>C37&amp;D37&amp;RIGHT(F37,1)</f>
        <v>2124</v>
      </c>
      <c r="F37" t="s" s="757">
        <v>1797</v>
      </c>
      <c r="G37" t="s" s="758">
        <f>VLOOKUP(E39,'BDD'!$A$2:$N$567,6,FALSE)</f>
        <v>902</v>
      </c>
      <c r="H37" s="759"/>
      <c r="I37" s="760"/>
      <c r="J37" s="760"/>
      <c r="K37" s="760"/>
      <c r="L37" s="761"/>
      <c r="M37" s="762"/>
      <c r="N37" s="763"/>
      <c r="O37" s="764">
        <v>0</v>
      </c>
      <c r="P37" s="764"/>
      <c r="Q37" s="764"/>
      <c r="R37" s="764"/>
      <c r="S37" s="765">
        <f>_xlfn.SUMIFS(S1:S100,$D1:$D100,D37,$N1:$N100,"Exigences"&amp;"*")</f>
      </c>
      <c r="T37" s="765"/>
      <c r="U37" s="765"/>
      <c r="V37" s="766"/>
      <c r="W37" s="789">
        <f>_xlfn.IFERROR(IF(N37='Suppl'!$E$65,0,IF(N37='Suppl'!$E$66,1/2/(_xlfn.COUNTIFS($N1:$N100,"Exigences"&amp;"*")+_xlfn.COUNTIFS($N1:$N100,"Non"&amp;"*")),IF(N37='Suppl'!$E$67,1/(_xlfn.COUNTIFS($N1:$N100,"Exigences"&amp;"*")+_xlfn.COUNTIFS($N1:$N100,"Non"&amp;"*")),0))),0)</f>
        <v>0</v>
      </c>
      <c r="X37" s="586"/>
      <c r="Y37" s="586"/>
      <c r="Z37" s="586"/>
      <c r="AA37" s="586"/>
      <c r="AB37" s="586"/>
      <c r="AC37" s="586"/>
      <c r="AD37" s="586"/>
      <c r="AE37" s="586"/>
      <c r="AF37" s="586"/>
      <c r="AG37" s="586"/>
      <c r="AH37" s="994"/>
      <c r="AI37" s="585"/>
    </row>
    <row r="38" ht="30" customHeight="1">
      <c r="A38" s="993"/>
      <c r="B38" s="753"/>
      <c r="C38" t="s" s="754">
        <f>IF(LEFT(RIGHT($B$1,2),1)=" ",RIGHT($B$1,1),RIGHT($B$1,2))</f>
        <v>2103</v>
      </c>
      <c r="D38" s="755">
        <f>IF(LEFT(F38,5)="Bonne",D36+1,D37)</f>
        <v>3</v>
      </c>
      <c r="E38" t="s" s="778">
        <f>C38&amp;D38&amp;RIGHT(F38,1)</f>
        <v>2126</v>
      </c>
      <c r="F38" t="s" s="769">
        <v>1835</v>
      </c>
      <c r="G38" t="s" s="809">
        <f>VLOOKUP(E40,'BDD'!$A$2:$N$567,7,FALSE)</f>
        <v>2154</v>
      </c>
      <c r="H38" s="810"/>
      <c r="I38" s="810"/>
      <c r="J38" s="810"/>
      <c r="K38" s="810"/>
      <c r="L38" s="810"/>
      <c r="M38" s="810"/>
      <c r="N38" s="811"/>
      <c r="O38" s="775"/>
      <c r="P38" s="775"/>
      <c r="Q38" s="775"/>
      <c r="R38" s="775"/>
      <c r="S38" s="776"/>
      <c r="T38" s="776"/>
      <c r="U38" s="776"/>
      <c r="V38" s="777"/>
      <c r="W38" s="789">
        <f>_xlfn.IFERROR(IF(N38='Suppl'!$E$65,0,IF(N38='Suppl'!$E$66,1/2/(_xlfn.COUNTIFS($N1:$N100,"Exigences"&amp;"*")+_xlfn.COUNTIFS($N1:$N100,"Non"&amp;"*")),IF(N38='Suppl'!$E$67,1/(_xlfn.COUNTIFS($N1:$N100,"Exigences"&amp;"*")+_xlfn.COUNTIFS($N1:$N100,"Non"&amp;"*")),0))),0)</f>
        <v>0</v>
      </c>
      <c r="X38" s="586"/>
      <c r="Y38" s="586"/>
      <c r="Z38" s="586"/>
      <c r="AA38" s="586"/>
      <c r="AB38" s="586"/>
      <c r="AC38" s="586"/>
      <c r="AD38" s="586"/>
      <c r="AE38" s="586"/>
      <c r="AF38" s="586"/>
      <c r="AG38" s="586"/>
      <c r="AH38" s="994"/>
      <c r="AI38" s="585"/>
    </row>
    <row r="39" ht="30" customHeight="1">
      <c r="A39" s="993"/>
      <c r="B39" s="753"/>
      <c r="C39" t="s" s="754">
        <f>IF(LEFT(RIGHT($B$1,2),1)=" ",RIGHT($B$1,1),RIGHT($B$1,2))</f>
        <v>2103</v>
      </c>
      <c r="D39" s="755">
        <f>IF(LEFT(F39,5)="Bonne",D37+1,D38)</f>
        <v>3</v>
      </c>
      <c r="E39" t="s" s="778">
        <f>C39&amp;D39&amp;RIGHT(F39,1)</f>
        <v>2126</v>
      </c>
      <c r="F39" t="s" s="779">
        <v>1769</v>
      </c>
      <c r="G39" t="s" s="780">
        <f>VLOOKUP(E39,'BDD'!$A$2:$N$567,MATCH(G$24,'BDD'!$A$1:$P$1,0),FALSE)</f>
        <v>904</v>
      </c>
      <c r="H39" t="s" s="799">
        <v>283</v>
      </c>
      <c r="I39" s="782"/>
      <c r="J39" s="782"/>
      <c r="K39" s="782"/>
      <c r="L39" s="793"/>
      <c r="M39" s="784">
        <f>IF(N39="Exigences partiellement respectées",1,IF(N39="Exigences respectées",2,0))</f>
        <v>0</v>
      </c>
      <c r="N39" t="s" s="780">
        <f>VLOOKUP(VLOOKUP(E39,'BDD'!$A$2:$P$428,15,FALSE),'Suppl'!$D$64:$E$68,2,FALSE)</f>
        <v>1751</v>
      </c>
      <c r="O39" s="785"/>
      <c r="P39" s="786"/>
      <c r="Q39" s="786"/>
      <c r="R39" s="786"/>
      <c r="S39" s="787">
        <f>IF(N39='Suppl'!$E$65,0,IF(N39='Suppl'!$E$66,1/2/(_xlfn.COUNTIFS($D1:$D100,D39,$N1:$N100,"Exigences"&amp;"*",G1:G100,"&lt;&gt;0")+_xlfn.COUNTIFS($D1:$D100,D39,$N1:$N100,"Non"&amp;"*",G1:G100,"&lt;&gt;0")),IF(N39='Suppl'!$E$67,1/(_xlfn.COUNTIFS($D1:$D100,D39,$N1:$N100,"Exigences"&amp;"*",G1:G100,"&lt;&gt;0")+_xlfn.COUNTIFS($D1:$D100,D39,$N1:$N100,"Non"&amp;"*",G1:G100,"&lt;&gt;0")),0)))</f>
        <v>0</v>
      </c>
      <c r="T39" s="787"/>
      <c r="U39" s="787"/>
      <c r="V39" s="788"/>
      <c r="W39" s="789">
        <f>_xlfn.IFERROR(IF(N39='Suppl'!$E$65,0,IF(N39='Suppl'!$E$66,1/2/(_xlfn.COUNTIFS($N1:$N100,"Exigences"&amp;"*")+_xlfn.COUNTIFS($N1:$N100,"Non"&amp;"*")),IF(N39='Suppl'!$E$67,1/(_xlfn.COUNTIFS($N1:$N100,"Exigences"&amp;"*")+_xlfn.COUNTIFS($N1:$N100,"Non"&amp;"*")),0))),0)</f>
        <v>0</v>
      </c>
      <c r="X39" s="586"/>
      <c r="Y39" s="586"/>
      <c r="Z39" s="586"/>
      <c r="AA39" s="586"/>
      <c r="AB39" s="586"/>
      <c r="AC39" s="586"/>
      <c r="AD39" s="586"/>
      <c r="AE39" s="586"/>
      <c r="AF39" s="586"/>
      <c r="AG39" s="586"/>
      <c r="AH39" s="994"/>
      <c r="AI39" s="585"/>
    </row>
    <row r="40" ht="30" customHeight="1">
      <c r="A40" s="993"/>
      <c r="B40" s="753"/>
      <c r="C40" t="s" s="754">
        <f>IF(LEFT(RIGHT($B$1,2),1)=" ",RIGHT($B$1,1),RIGHT($B$1,2))</f>
        <v>2103</v>
      </c>
      <c r="D40" s="755">
        <f>IF(LEFT(F40,5)="Bonne",D38+1,D39)</f>
        <v>3</v>
      </c>
      <c r="E40" t="s" s="778">
        <f>C40&amp;D40&amp;RIGHT(F40,1)</f>
        <v>2127</v>
      </c>
      <c r="F40" t="s" s="790">
        <v>1837</v>
      </c>
      <c r="G40" t="s" s="791">
        <f>VLOOKUP(E40,'BDD'!$A$2:$N$567,MATCH(G$24,'BDD'!$A$1:$P$1,0),FALSE)</f>
        <v>906</v>
      </c>
      <c r="H40" s="781"/>
      <c r="I40" s="782"/>
      <c r="J40" t="s" s="792">
        <v>271</v>
      </c>
      <c r="K40" s="782"/>
      <c r="L40" s="793"/>
      <c r="M40" s="794">
        <f>IF(N40="Exigences partiellement respectées",1,IF(N40="Exigences respectées",2,0))</f>
        <v>0</v>
      </c>
      <c r="N40" t="s" s="791">
        <f>VLOOKUP(VLOOKUP(E40,'BDD'!$A$2:$P$428,15,FALSE),'Suppl'!$D$64:$E$68,2,FALSE)</f>
        <v>1751</v>
      </c>
      <c r="O40" s="795"/>
      <c r="P40" s="796"/>
      <c r="Q40" s="796"/>
      <c r="R40" s="796"/>
      <c r="S40" s="797">
        <f>IF(N40='Suppl'!$E$65,0,IF(N40='Suppl'!$E$66,1/2/(_xlfn.COUNTIFS($D1:$D100,D40,$N1:$N100,"Exigences"&amp;"*",G1:G100,"&lt;&gt;0")+_xlfn.COUNTIFS($D1:$D100,D40,$N1:$N100,"Non"&amp;"*",G1:G100,"&lt;&gt;0")),IF(N40='Suppl'!$E$67,1/(_xlfn.COUNTIFS($D1:$D100,D40,$N1:$N100,"Exigences"&amp;"*",G1:G100,"&lt;&gt;0")+_xlfn.COUNTIFS($D1:$D100,D40,$N1:$N100,"Non"&amp;"*",G1:G100,"&lt;&gt;0")),0)))</f>
        <v>0</v>
      </c>
      <c r="T40" s="797"/>
      <c r="U40" s="797"/>
      <c r="V40" s="798"/>
      <c r="W40" s="789">
        <f>_xlfn.IFERROR(IF(N40='Suppl'!$E$65,0,IF(N40='Suppl'!$E$66,1/2/(_xlfn.COUNTIFS($N1:$N100,"Exigences"&amp;"*")+_xlfn.COUNTIFS($N1:$N100,"Non"&amp;"*")),IF(N40='Suppl'!$E$67,1/(_xlfn.COUNTIFS($N1:$N100,"Exigences"&amp;"*")+_xlfn.COUNTIFS($N1:$N100,"Non"&amp;"*")),0))),0)</f>
        <v>0</v>
      </c>
      <c r="X40" s="586"/>
      <c r="Y40" s="586"/>
      <c r="Z40" s="586"/>
      <c r="AA40" s="586"/>
      <c r="AB40" s="586"/>
      <c r="AC40" s="586"/>
      <c r="AD40" s="586"/>
      <c r="AE40" s="586"/>
      <c r="AF40" s="586"/>
      <c r="AG40" s="586"/>
      <c r="AH40" s="994"/>
      <c r="AI40" s="585"/>
    </row>
    <row r="41" ht="41.4" customHeight="1">
      <c r="A41" s="993"/>
      <c r="B41" s="753"/>
      <c r="C41" t="s" s="754">
        <f>IF(LEFT(RIGHT($B$1,2),1)=" ",RIGHT($B$1,1),RIGHT($B$1,2))</f>
        <v>2103</v>
      </c>
      <c r="D41" s="755">
        <f>IF(LEFT(F41,5)="Bonne",D39+1,D40)</f>
        <v>3</v>
      </c>
      <c r="E41" t="s" s="778">
        <f>C41&amp;D41&amp;RIGHT(F41,1)</f>
        <v>2124</v>
      </c>
      <c r="F41" t="s" s="779">
        <v>1774</v>
      </c>
      <c r="G41" t="s" s="780">
        <f>VLOOKUP(E41,'BDD'!$A$2:$N$567,MATCH(G$24,'BDD'!$A$1:$P$1,0),FALSE)</f>
        <v>909</v>
      </c>
      <c r="H41" s="781"/>
      <c r="I41" s="782"/>
      <c r="J41" s="782"/>
      <c r="K41" t="s" s="792">
        <v>291</v>
      </c>
      <c r="L41" s="793"/>
      <c r="M41" s="794">
        <f>IF(N41="Exigences partiellement respectées",1,IF(N41="Exigences respectées",2,0))</f>
        <v>0</v>
      </c>
      <c r="N41" t="s" s="780">
        <f>VLOOKUP(VLOOKUP(E41,'BDD'!$A$2:$P$428,15,FALSE),'Suppl'!$D$64:$E$68,2,FALSE)</f>
        <v>1751</v>
      </c>
      <c r="O41" s="795"/>
      <c r="P41" s="796"/>
      <c r="Q41" s="796"/>
      <c r="R41" s="796"/>
      <c r="S41" s="797">
        <f>IF(N41='Suppl'!$E$65,0,IF(N41='Suppl'!$E$66,1/2/(_xlfn.COUNTIFS($D1:$D100,D41,$N1:$N100,"Exigences"&amp;"*",G1:G100,"&lt;&gt;0")+_xlfn.COUNTIFS($D1:$D100,D41,$N1:$N100,"Non"&amp;"*",G1:G100,"&lt;&gt;0")),IF(N41='Suppl'!$E$67,1/(_xlfn.COUNTIFS($D1:$D100,D41,$N1:$N100,"Exigences"&amp;"*",G1:G100,"&lt;&gt;0")+_xlfn.COUNTIFS($D1:$D100,D41,$N1:$N100,"Non"&amp;"*",G1:G100,"&lt;&gt;0")),0)))</f>
        <v>0</v>
      </c>
      <c r="T41" s="797"/>
      <c r="U41" s="797"/>
      <c r="V41" s="798"/>
      <c r="W41" s="789">
        <f>_xlfn.IFERROR(IF(N41='Suppl'!$E$65,0,IF(N41='Suppl'!$E$66,1/2/(_xlfn.COUNTIFS($N1:$N100,"Exigences"&amp;"*")+_xlfn.COUNTIFS($N1:$N100,"Non"&amp;"*")),IF(N41='Suppl'!$E$67,1/(_xlfn.COUNTIFS($N1:$N100,"Exigences"&amp;"*")+_xlfn.COUNTIFS($N1:$N100,"Non"&amp;"*")),0))),0)</f>
        <v>0</v>
      </c>
      <c r="X41" s="586"/>
      <c r="Y41" s="586"/>
      <c r="Z41" s="586"/>
      <c r="AA41" s="586"/>
      <c r="AB41" s="586"/>
      <c r="AC41" s="586"/>
      <c r="AD41" s="586"/>
      <c r="AE41" s="586"/>
      <c r="AF41" s="586"/>
      <c r="AG41" s="586"/>
      <c r="AH41" s="994"/>
      <c r="AI41" s="585"/>
    </row>
    <row r="42" ht="41.4" customHeight="1">
      <c r="A42" s="993"/>
      <c r="B42" s="753"/>
      <c r="C42" t="s" s="754">
        <f>IF(LEFT(RIGHT($B$1,2),1)=" ",RIGHT($B$1,1),RIGHT($B$1,2))</f>
        <v>2103</v>
      </c>
      <c r="D42" s="755">
        <f>IF(LEFT(F42,5)="Bonne",D40+1,D41)</f>
        <v>3</v>
      </c>
      <c r="E42" t="s" s="778">
        <f>C42&amp;D42&amp;RIGHT(F42,1)</f>
        <v>2128</v>
      </c>
      <c r="F42" t="s" s="790">
        <v>1776</v>
      </c>
      <c r="G42" t="s" s="791">
        <f>VLOOKUP(E42,'BDD'!$A$2:$N$567,MATCH(G$24,'BDD'!$A$1:$P$1,0),FALSE)</f>
        <v>912</v>
      </c>
      <c r="H42" s="781"/>
      <c r="I42" s="782"/>
      <c r="J42" t="s" s="792">
        <v>271</v>
      </c>
      <c r="K42" s="782"/>
      <c r="L42" s="793"/>
      <c r="M42" s="794">
        <f>IF(N42="Exigences partiellement respectées",1,IF(N42="Exigences respectées",2,0))</f>
        <v>0</v>
      </c>
      <c r="N42" t="s" s="791">
        <f>VLOOKUP(VLOOKUP(E42,'BDD'!$A$2:$P$428,15,FALSE),'Suppl'!$D$64:$E$68,2,FALSE)</f>
        <v>1751</v>
      </c>
      <c r="O42" s="795"/>
      <c r="P42" s="796"/>
      <c r="Q42" s="796"/>
      <c r="R42" s="796"/>
      <c r="S42" s="797">
        <f>IF(N42='Suppl'!$E$65,0,IF(N42='Suppl'!$E$66,1/2/(_xlfn.COUNTIFS($D1:$D100,D42,$N1:$N100,"Exigences"&amp;"*",G1:G100,"&lt;&gt;0")+_xlfn.COUNTIFS($D1:$D100,D42,$N1:$N100,"Non"&amp;"*",G1:G100,"&lt;&gt;0")),IF(N42='Suppl'!$E$67,1/(_xlfn.COUNTIFS($D1:$D100,D42,$N1:$N100,"Exigences"&amp;"*",G1:G100,"&lt;&gt;0")+_xlfn.COUNTIFS($D1:$D100,D42,$N1:$N100,"Non"&amp;"*",G1:G100,"&lt;&gt;0")),0)))</f>
        <v>0</v>
      </c>
      <c r="T42" s="797"/>
      <c r="U42" s="797"/>
      <c r="V42" s="798"/>
      <c r="W42" s="789">
        <f>_xlfn.IFERROR(IF(N42='Suppl'!$E$65,0,IF(N42='Suppl'!$E$66,1/2/(_xlfn.COUNTIFS($N1:$N100,"Exigences"&amp;"*")+_xlfn.COUNTIFS($N1:$N100,"Non"&amp;"*")),IF(N42='Suppl'!$E$67,1/(_xlfn.COUNTIFS($N1:$N100,"Exigences"&amp;"*")+_xlfn.COUNTIFS($N1:$N100,"Non"&amp;"*")),0))),0)</f>
        <v>0</v>
      </c>
      <c r="X42" s="586"/>
      <c r="Y42" s="586"/>
      <c r="Z42" s="586"/>
      <c r="AA42" s="586"/>
      <c r="AB42" s="586"/>
      <c r="AC42" s="586"/>
      <c r="AD42" s="586"/>
      <c r="AE42" s="586"/>
      <c r="AF42" s="586"/>
      <c r="AG42" s="586"/>
      <c r="AH42" s="994"/>
      <c r="AI42" s="585"/>
    </row>
    <row r="43" ht="41.4" customHeight="1">
      <c r="A43" s="993"/>
      <c r="B43" s="753"/>
      <c r="C43" t="s" s="754">
        <f>IF(LEFT(RIGHT($B$1,2),1)=" ",RIGHT($B$1,1),RIGHT($B$1,2))</f>
        <v>2103</v>
      </c>
      <c r="D43" s="755">
        <f>IF(LEFT(F43,5)="Bonne",D41+1,D42)</f>
        <v>3</v>
      </c>
      <c r="E43" t="s" s="778">
        <f>C43&amp;D43&amp;RIGHT(F43,1)</f>
        <v>2129</v>
      </c>
      <c r="F43" t="s" s="779">
        <v>1778</v>
      </c>
      <c r="G43" t="s" s="780">
        <f>VLOOKUP(E43,'BDD'!$A$2:$N$567,MATCH(G$24,'BDD'!$A$1:$P$1,0),FALSE)</f>
        <v>914</v>
      </c>
      <c r="H43" s="781"/>
      <c r="I43" s="782"/>
      <c r="J43" s="782"/>
      <c r="K43" t="s" s="792">
        <v>291</v>
      </c>
      <c r="L43" s="793"/>
      <c r="M43" s="800">
        <f>IF(N43="Exigences partiellement respectées",1,IF(N43="Exigences respectées",2,0))</f>
        <v>0</v>
      </c>
      <c r="N43" t="s" s="780">
        <f>VLOOKUP(VLOOKUP(E43,'BDD'!$A$2:$P$428,15,FALSE),'Suppl'!$D$64:$E$68,2,FALSE)</f>
        <v>1751</v>
      </c>
      <c r="O43" s="801"/>
      <c r="P43" s="802"/>
      <c r="Q43" s="802"/>
      <c r="R43" s="802"/>
      <c r="S43" s="803">
        <f>IF(N43='Suppl'!$E$65,0,IF(N43='Suppl'!$E$66,1/2/(_xlfn.COUNTIFS($D1:$D100,D43,$N1:$N100,"Exigences"&amp;"*",G1:G100,"&lt;&gt;0")+_xlfn.COUNTIFS($D1:$D100,D43,$N1:$N100,"Non"&amp;"*",G1:G100,"&lt;&gt;0")),IF(N43='Suppl'!$E$67,1/(_xlfn.COUNTIFS($D1:$D100,D43,$N1:$N100,"Exigences"&amp;"*",G1:G100,"&lt;&gt;0")+_xlfn.COUNTIFS($D1:$D100,D43,$N1:$N100,"Non"&amp;"*",G1:G100,"&lt;&gt;0")),0)))</f>
        <v>0</v>
      </c>
      <c r="T43" s="803"/>
      <c r="U43" s="803"/>
      <c r="V43" s="804"/>
      <c r="W43" s="789">
        <f>_xlfn.IFERROR(IF(N43='Suppl'!$E$65,0,IF(N43='Suppl'!$E$66,1/2/(_xlfn.COUNTIFS($N1:$N100,"Exigences"&amp;"*")+_xlfn.COUNTIFS($N1:$N100,"Non"&amp;"*")),IF(N43='Suppl'!$E$67,1/(_xlfn.COUNTIFS($N1:$N100,"Exigences"&amp;"*")+_xlfn.COUNTIFS($N1:$N100,"Non"&amp;"*")),0))),0)</f>
        <v>0</v>
      </c>
      <c r="X43" s="586"/>
      <c r="Y43" s="586"/>
      <c r="Z43" s="586"/>
      <c r="AA43" s="586"/>
      <c r="AB43" s="586"/>
      <c r="AC43" s="586"/>
      <c r="AD43" s="586"/>
      <c r="AE43" s="586"/>
      <c r="AF43" s="586"/>
      <c r="AG43" s="586"/>
      <c r="AH43" s="994"/>
      <c r="AI43" s="585"/>
    </row>
    <row r="44" ht="30" customHeight="1">
      <c r="A44" s="993"/>
      <c r="B44" s="753"/>
      <c r="C44" t="s" s="754">
        <f>IF(LEFT(RIGHT($B$1,2),1)=" ",RIGHT($B$1,1),RIGHT($B$1,2))</f>
        <v>2103</v>
      </c>
      <c r="D44" s="755">
        <f>IF(LEFT(F44,5)="Bonne",D42+1,D43)</f>
        <v>4</v>
      </c>
      <c r="E44" t="s" s="778">
        <f>C44&amp;D44&amp;RIGHT(F44,1)</f>
        <v>2132</v>
      </c>
      <c r="F44" t="s" s="757">
        <v>1806</v>
      </c>
      <c r="G44" t="s" s="758">
        <f>VLOOKUP(E46,'BDD'!$A$2:$N$567,6,FALSE)</f>
        <v>918</v>
      </c>
      <c r="H44" s="759"/>
      <c r="I44" s="760"/>
      <c r="J44" s="760"/>
      <c r="K44" s="760"/>
      <c r="L44" s="761"/>
      <c r="M44" s="762"/>
      <c r="N44" s="763"/>
      <c r="O44" s="764">
        <v>0</v>
      </c>
      <c r="P44" s="764"/>
      <c r="Q44" s="764"/>
      <c r="R44" s="764"/>
      <c r="S44" s="765">
        <f>_xlfn.SUMIFS(S1:S100,$D1:$D100,D44,$N1:$N100,"Exigences"&amp;"*")</f>
      </c>
      <c r="T44" s="765"/>
      <c r="U44" s="765"/>
      <c r="V44" s="766"/>
      <c r="W44" s="789">
        <f>_xlfn.IFERROR(IF(N44='Suppl'!$E$65,0,IF(N44='Suppl'!$E$66,1/2/(_xlfn.COUNTIFS($N1:$N100,"Exigences"&amp;"*")+_xlfn.COUNTIFS($N1:$N100,"Non"&amp;"*")),IF(N44='Suppl'!$E$67,1/(_xlfn.COUNTIFS($N1:$N100,"Exigences"&amp;"*")+_xlfn.COUNTIFS($N1:$N100,"Non"&amp;"*")),0))),0)</f>
        <v>0</v>
      </c>
      <c r="X44" s="586"/>
      <c r="Y44" s="586"/>
      <c r="Z44" s="586"/>
      <c r="AA44" s="586"/>
      <c r="AB44" s="586"/>
      <c r="AC44" s="586"/>
      <c r="AD44" s="586"/>
      <c r="AE44" s="586"/>
      <c r="AF44" s="586"/>
      <c r="AG44" s="586"/>
      <c r="AH44" s="994"/>
      <c r="AI44" s="585"/>
    </row>
    <row r="45" ht="30" customHeight="1">
      <c r="A45" s="993"/>
      <c r="B45" s="753"/>
      <c r="C45" t="s" s="754">
        <f>IF(LEFT(RIGHT($B$1,2),1)=" ",RIGHT($B$1,1),RIGHT($B$1,2))</f>
        <v>2103</v>
      </c>
      <c r="D45" s="755">
        <f>IF(LEFT(F45,5)="Bonne",D43+1,D44)</f>
        <v>4</v>
      </c>
      <c r="E45" t="s" s="778">
        <f>C45&amp;D45&amp;RIGHT(F45,1)</f>
        <v>2136</v>
      </c>
      <c r="F45" t="s" s="769">
        <v>1835</v>
      </c>
      <c r="G45" t="s" s="809">
        <f>VLOOKUP(E47,'BDD'!$A$2:$N$567,7,FALSE)</f>
        <v>2155</v>
      </c>
      <c r="H45" s="810"/>
      <c r="I45" s="810"/>
      <c r="J45" s="810"/>
      <c r="K45" s="810"/>
      <c r="L45" s="810"/>
      <c r="M45" s="810"/>
      <c r="N45" s="811"/>
      <c r="O45" s="775"/>
      <c r="P45" s="775"/>
      <c r="Q45" s="775"/>
      <c r="R45" s="775"/>
      <c r="S45" s="776"/>
      <c r="T45" s="776"/>
      <c r="U45" s="776"/>
      <c r="V45" s="777"/>
      <c r="W45" s="789">
        <f>_xlfn.IFERROR(IF(N45='Suppl'!$E$65,0,IF(N45='Suppl'!$E$66,1/2/(_xlfn.COUNTIFS($N1:$N100,"Exigences"&amp;"*")+_xlfn.COUNTIFS($N1:$N100,"Non"&amp;"*")),IF(N45='Suppl'!$E$67,1/(_xlfn.COUNTIFS($N1:$N100,"Exigences"&amp;"*")+_xlfn.COUNTIFS($N1:$N100,"Non"&amp;"*")),0))),0)</f>
        <v>0</v>
      </c>
      <c r="X45" s="586"/>
      <c r="Y45" s="586"/>
      <c r="Z45" s="586"/>
      <c r="AA45" s="586"/>
      <c r="AB45" s="586"/>
      <c r="AC45" s="586"/>
      <c r="AD45" s="586"/>
      <c r="AE45" s="586"/>
      <c r="AF45" s="586"/>
      <c r="AG45" s="586"/>
      <c r="AH45" s="994"/>
      <c r="AI45" s="585"/>
    </row>
    <row r="46" ht="55.2" customHeight="1">
      <c r="A46" s="993"/>
      <c r="B46" s="753"/>
      <c r="C46" t="s" s="754">
        <f>IF(LEFT(RIGHT($B$1,2),1)=" ",RIGHT($B$1,1),RIGHT($B$1,2))</f>
        <v>2103</v>
      </c>
      <c r="D46" s="755">
        <f>IF(LEFT(F46,5)="Bonne",D44+1,D45)</f>
        <v>4</v>
      </c>
      <c r="E46" t="s" s="778">
        <f>C46&amp;D46&amp;RIGHT(F46,1)</f>
        <v>2136</v>
      </c>
      <c r="F46" t="s" s="779">
        <v>1769</v>
      </c>
      <c r="G46" t="s" s="780">
        <f>VLOOKUP(E46,'BDD'!$A$2:$N$567,MATCH(G$24,'BDD'!$A$1:$P$1,0),FALSE)</f>
        <v>920</v>
      </c>
      <c r="H46" s="781"/>
      <c r="I46" s="782"/>
      <c r="J46" t="s" s="792">
        <v>271</v>
      </c>
      <c r="K46" s="782"/>
      <c r="L46" s="793"/>
      <c r="M46" s="784">
        <f>IF(N46="Exigences partiellement respectées",1,IF(N46="Exigences respectées",2,0))</f>
        <v>0</v>
      </c>
      <c r="N46" t="s" s="780">
        <f>VLOOKUP(VLOOKUP(E46,'BDD'!$A$2:$P$428,15,FALSE),'Suppl'!$D$64:$E$68,2,FALSE)</f>
        <v>1751</v>
      </c>
      <c r="O46" s="785"/>
      <c r="P46" s="786"/>
      <c r="Q46" s="786"/>
      <c r="R46" s="786"/>
      <c r="S46" s="787">
        <f>IF(N46='Suppl'!$E$65,0,IF(N46='Suppl'!$E$66,1/2/(_xlfn.COUNTIFS($D1:$D100,D46,$N1:$N100,"Exigences"&amp;"*",G1:G100,"&lt;&gt;0")+_xlfn.COUNTIFS($D1:$D100,D46,$N1:$N100,"Non"&amp;"*",G1:G100,"&lt;&gt;0")),IF(N46='Suppl'!$E$67,1/(_xlfn.COUNTIFS($D1:$D100,D46,$N1:$N100,"Exigences"&amp;"*",G1:G100,"&lt;&gt;0")+_xlfn.COUNTIFS($D1:$D100,D46,$N1:$N100,"Non"&amp;"*",G1:G100,"&lt;&gt;0")),0)))</f>
        <v>0</v>
      </c>
      <c r="T46" s="787"/>
      <c r="U46" s="787"/>
      <c r="V46" s="788"/>
      <c r="W46" s="789">
        <f>_xlfn.IFERROR(IF(N46='Suppl'!$E$65,0,IF(N46='Suppl'!$E$66,1/2/(_xlfn.COUNTIFS($N1:$N100,"Exigences"&amp;"*")+_xlfn.COUNTIFS($N1:$N100,"Non"&amp;"*")),IF(N46='Suppl'!$E$67,1/(_xlfn.COUNTIFS($N1:$N100,"Exigences"&amp;"*")+_xlfn.COUNTIFS($N1:$N100,"Non"&amp;"*")),0))),0)</f>
        <v>0</v>
      </c>
      <c r="X46" s="586"/>
      <c r="Y46" s="586"/>
      <c r="Z46" s="586"/>
      <c r="AA46" s="586"/>
      <c r="AB46" s="586"/>
      <c r="AC46" s="586"/>
      <c r="AD46" s="586"/>
      <c r="AE46" s="586"/>
      <c r="AF46" s="586"/>
      <c r="AG46" s="586"/>
      <c r="AH46" s="994"/>
      <c r="AI46" s="585"/>
    </row>
    <row r="47" ht="41.4" customHeight="1">
      <c r="A47" s="993"/>
      <c r="B47" s="753"/>
      <c r="C47" t="s" s="754">
        <f>IF(LEFT(RIGHT($B$1,2),1)=" ",RIGHT($B$1,1),RIGHT($B$1,2))</f>
        <v>2103</v>
      </c>
      <c r="D47" s="755">
        <f>IF(LEFT(F47,5)="Bonne",D45+1,D46)</f>
        <v>4</v>
      </c>
      <c r="E47" t="s" s="778">
        <f>C47&amp;D47&amp;RIGHT(F47,1)</f>
        <v>2137</v>
      </c>
      <c r="F47" t="s" s="790">
        <v>1837</v>
      </c>
      <c r="G47" t="s" s="791">
        <f>VLOOKUP(E47,'BDD'!$A$2:$N$567,MATCH(G$24,'BDD'!$A$1:$P$1,0),FALSE)</f>
        <v>923</v>
      </c>
      <c r="H47" s="781"/>
      <c r="I47" s="782"/>
      <c r="J47" s="782"/>
      <c r="K47" t="s" s="792">
        <v>291</v>
      </c>
      <c r="L47" s="793"/>
      <c r="M47" s="794">
        <f>IF(N47="Exigences partiellement respectées",1,IF(N47="Exigences respectées",2,0))</f>
        <v>0</v>
      </c>
      <c r="N47" t="s" s="791">
        <f>VLOOKUP(VLOOKUP(E47,'BDD'!$A$2:$P$428,15,FALSE),'Suppl'!$D$64:$E$68,2,FALSE)</f>
        <v>1751</v>
      </c>
      <c r="O47" s="795"/>
      <c r="P47" s="796"/>
      <c r="Q47" s="796"/>
      <c r="R47" s="796"/>
      <c r="S47" s="797">
        <f>IF(N47='Suppl'!$E$65,0,IF(N47='Suppl'!$E$66,1/2/(_xlfn.COUNTIFS($D1:$D100,D47,$N1:$N100,"Exigences"&amp;"*",G1:G100,"&lt;&gt;0")+_xlfn.COUNTIFS($D1:$D100,D47,$N1:$N100,"Non"&amp;"*",G1:G100,"&lt;&gt;0")),IF(N47='Suppl'!$E$67,1/(_xlfn.COUNTIFS($D1:$D100,D47,$N1:$N100,"Exigences"&amp;"*",G1:G100,"&lt;&gt;0")+_xlfn.COUNTIFS($D1:$D100,D47,$N1:$N100,"Non"&amp;"*",G1:G100,"&lt;&gt;0")),0)))</f>
        <v>0</v>
      </c>
      <c r="T47" s="797"/>
      <c r="U47" s="797"/>
      <c r="V47" s="798"/>
      <c r="W47" s="789">
        <f>_xlfn.IFERROR(IF(N47='Suppl'!$E$65,0,IF(N47='Suppl'!$E$66,1/2/(_xlfn.COUNTIFS($N1:$N100,"Exigences"&amp;"*")+_xlfn.COUNTIFS($N1:$N100,"Non"&amp;"*")),IF(N47='Suppl'!$E$67,1/(_xlfn.COUNTIFS($N1:$N100,"Exigences"&amp;"*")+_xlfn.COUNTIFS($N1:$N100,"Non"&amp;"*")),0))),0)</f>
        <v>0</v>
      </c>
      <c r="X47" s="586"/>
      <c r="Y47" s="586"/>
      <c r="Z47" s="586"/>
      <c r="AA47" s="586"/>
      <c r="AB47" s="586"/>
      <c r="AC47" s="586"/>
      <c r="AD47" s="586"/>
      <c r="AE47" s="586"/>
      <c r="AF47" s="586"/>
      <c r="AG47" s="586"/>
      <c r="AH47" s="994"/>
      <c r="AI47" s="585"/>
    </row>
    <row r="48" ht="30" customHeight="1">
      <c r="A48" s="993"/>
      <c r="B48" s="753"/>
      <c r="C48" t="s" s="754">
        <f>IF(LEFT(RIGHT($B$1,2),1)=" ",RIGHT($B$1,1),RIGHT($B$1,2))</f>
        <v>2103</v>
      </c>
      <c r="D48" s="755">
        <f>IF(LEFT(F48,5)="Bonne",D46+1,D47)</f>
        <v>4</v>
      </c>
      <c r="E48" t="s" s="778">
        <f>C48&amp;D48&amp;RIGHT(F48,1)</f>
        <v>2138</v>
      </c>
      <c r="F48" t="s" s="779">
        <v>1774</v>
      </c>
      <c r="G48" t="s" s="780">
        <f>VLOOKUP(E48,'BDD'!$A$2:$N$567,MATCH(G$24,'BDD'!$A$1:$P$1,0),FALSE)</f>
        <v>925</v>
      </c>
      <c r="H48" t="s" s="799">
        <v>283</v>
      </c>
      <c r="I48" s="782"/>
      <c r="J48" s="782"/>
      <c r="K48" s="782"/>
      <c r="L48" s="793"/>
      <c r="M48" s="794">
        <f>IF(N48="Exigences partiellement respectées",1,IF(N48="Exigences respectées",2,0))</f>
        <v>0</v>
      </c>
      <c r="N48" t="s" s="780">
        <f>VLOOKUP(VLOOKUP(E48,'BDD'!$A$2:$P$428,15,FALSE),'Suppl'!$D$64:$E$68,2,FALSE)</f>
        <v>1751</v>
      </c>
      <c r="O48" s="795"/>
      <c r="P48" s="796"/>
      <c r="Q48" s="796"/>
      <c r="R48" s="796"/>
      <c r="S48" s="797">
        <f>IF(N48='Suppl'!$E$65,0,IF(N48='Suppl'!$E$66,1/2/(_xlfn.COUNTIFS($D1:$D100,D48,$N1:$N100,"Exigences"&amp;"*",G1:G100,"&lt;&gt;0")+_xlfn.COUNTIFS($D1:$D100,D48,$N1:$N100,"Non"&amp;"*",G1:G100,"&lt;&gt;0")),IF(N48='Suppl'!$E$67,1/(_xlfn.COUNTIFS($D1:$D100,D48,$N1:$N100,"Exigences"&amp;"*",G1:G100,"&lt;&gt;0")+_xlfn.COUNTIFS($D1:$D100,D48,$N1:$N100,"Non"&amp;"*",G1:G100,"&lt;&gt;0")),0)))</f>
        <v>0</v>
      </c>
      <c r="T48" s="797"/>
      <c r="U48" s="797"/>
      <c r="V48" s="798"/>
      <c r="W48" s="789">
        <f>_xlfn.IFERROR(IF(N48='Suppl'!$E$65,0,IF(N48='Suppl'!$E$66,1/2/(_xlfn.COUNTIFS($N1:$N100,"Exigences"&amp;"*")+_xlfn.COUNTIFS($N1:$N100,"Non"&amp;"*")),IF(N48='Suppl'!$E$67,1/(_xlfn.COUNTIFS($N1:$N100,"Exigences"&amp;"*")+_xlfn.COUNTIFS($N1:$N100,"Non"&amp;"*")),0))),0)</f>
        <v>0</v>
      </c>
      <c r="X48" s="586"/>
      <c r="Y48" s="586"/>
      <c r="Z48" s="586"/>
      <c r="AA48" s="586"/>
      <c r="AB48" s="586"/>
      <c r="AC48" s="586"/>
      <c r="AD48" s="586"/>
      <c r="AE48" s="586"/>
      <c r="AF48" s="586"/>
      <c r="AG48" s="586"/>
      <c r="AH48" s="994"/>
      <c r="AI48" s="585"/>
    </row>
    <row r="49" ht="55.2" customHeight="1">
      <c r="A49" s="993"/>
      <c r="B49" s="753"/>
      <c r="C49" t="s" s="754">
        <f>IF(LEFT(RIGHT($B$1,2),1)=" ",RIGHT($B$1,1),RIGHT($B$1,2))</f>
        <v>2103</v>
      </c>
      <c r="D49" s="755">
        <f>IF(LEFT(F49,5)="Bonne",D47+1,D48)</f>
        <v>4</v>
      </c>
      <c r="E49" t="s" s="778">
        <f>C49&amp;D49&amp;RIGHT(F49,1)</f>
        <v>2132</v>
      </c>
      <c r="F49" t="s" s="790">
        <v>1776</v>
      </c>
      <c r="G49" t="s" s="791">
        <f>VLOOKUP(E49,'BDD'!$A$2:$N$567,MATCH(G$24,'BDD'!$A$1:$P$1,0),FALSE)</f>
        <v>928</v>
      </c>
      <c r="H49" s="781"/>
      <c r="I49" s="782"/>
      <c r="J49" s="782"/>
      <c r="K49" s="782"/>
      <c r="L49" t="s" s="783">
        <v>256</v>
      </c>
      <c r="M49" s="800">
        <f>IF(N49="Exigences partiellement respectées",1,IF(N49="Exigences respectées",2,0))</f>
        <v>0</v>
      </c>
      <c r="N49" t="s" s="791">
        <f>VLOOKUP(VLOOKUP(E49,'BDD'!$A$2:$P$428,15,FALSE),'Suppl'!$D$64:$E$68,2,FALSE)</f>
        <v>1751</v>
      </c>
      <c r="O49" s="801"/>
      <c r="P49" s="802"/>
      <c r="Q49" s="802"/>
      <c r="R49" s="802"/>
      <c r="S49" s="803">
        <f>IF(N49='Suppl'!$E$65,0,IF(N49='Suppl'!$E$66,1/2/(_xlfn.COUNTIFS($D1:$D100,D49,$N1:$N100,"Exigences"&amp;"*",G1:G100,"&lt;&gt;0")+_xlfn.COUNTIFS($D1:$D100,D49,$N1:$N100,"Non"&amp;"*",G1:G100,"&lt;&gt;0")),IF(N49='Suppl'!$E$67,1/(_xlfn.COUNTIFS($D1:$D100,D49,$N1:$N100,"Exigences"&amp;"*",G1:G100,"&lt;&gt;0")+_xlfn.COUNTIFS($D1:$D100,D49,$N1:$N100,"Non"&amp;"*",G1:G100,"&lt;&gt;0")),0)))</f>
        <v>0</v>
      </c>
      <c r="T49" s="803"/>
      <c r="U49" s="803"/>
      <c r="V49" s="804"/>
      <c r="W49" s="789">
        <f>_xlfn.IFERROR(IF(N49='Suppl'!$E$65,0,IF(N49='Suppl'!$E$66,1/2/(_xlfn.COUNTIFS($N1:$N100,"Exigences"&amp;"*")+_xlfn.COUNTIFS($N1:$N100,"Non"&amp;"*")),IF(N49='Suppl'!$E$67,1/(_xlfn.COUNTIFS($N1:$N100,"Exigences"&amp;"*")+_xlfn.COUNTIFS($N1:$N100,"Non"&amp;"*")),0))),0)</f>
        <v>0</v>
      </c>
      <c r="X49" s="586"/>
      <c r="Y49" s="586"/>
      <c r="Z49" s="586"/>
      <c r="AA49" s="586"/>
      <c r="AB49" s="586"/>
      <c r="AC49" s="586"/>
      <c r="AD49" s="586"/>
      <c r="AE49" s="586"/>
      <c r="AF49" s="586"/>
      <c r="AG49" s="586"/>
      <c r="AH49" s="994"/>
      <c r="AI49" s="585"/>
    </row>
    <row r="50" ht="30" customHeight="1">
      <c r="A50" s="993"/>
      <c r="B50" s="753"/>
      <c r="C50" t="s" s="754">
        <f>IF(LEFT(RIGHT($B$1,2),1)=" ",RIGHT($B$1,1),RIGHT($B$1,2))</f>
        <v>2103</v>
      </c>
      <c r="D50" s="755">
        <f>IF(LEFT(F50,5)="Bonne",D48+1,D49)</f>
        <v>5</v>
      </c>
      <c r="E50" t="s" s="778">
        <f>C50&amp;D50&amp;RIGHT(F50,1)</f>
        <v>2156</v>
      </c>
      <c r="F50" t="s" s="757">
        <v>1814</v>
      </c>
      <c r="G50" t="s" s="758">
        <f>VLOOKUP(E52,'BDD'!$A$2:$N$567,6,FALSE)</f>
        <v>933</v>
      </c>
      <c r="H50" s="759"/>
      <c r="I50" s="760"/>
      <c r="J50" s="760"/>
      <c r="K50" s="760"/>
      <c r="L50" s="761"/>
      <c r="M50" s="762"/>
      <c r="N50" s="763"/>
      <c r="O50" s="764">
        <v>0</v>
      </c>
      <c r="P50" s="764"/>
      <c r="Q50" s="764"/>
      <c r="R50" s="764"/>
      <c r="S50" s="765">
        <f>_xlfn.SUMIFS(S1:S100,$D1:$D100,D50,$N1:$N100,"Exigences"&amp;"*")</f>
      </c>
      <c r="T50" s="765"/>
      <c r="U50" s="765"/>
      <c r="V50" s="766"/>
      <c r="W50" s="789">
        <f>_xlfn.IFERROR(IF(N50='Suppl'!$E$65,0,IF(N50='Suppl'!$E$66,1/2/(_xlfn.COUNTIFS($N1:$N100,"Exigences"&amp;"*")+_xlfn.COUNTIFS($N1:$N100,"Non"&amp;"*")),IF(N50='Suppl'!$E$67,1/(_xlfn.COUNTIFS($N1:$N100,"Exigences"&amp;"*")+_xlfn.COUNTIFS($N1:$N100,"Non"&amp;"*")),0))),0)</f>
        <v>0</v>
      </c>
      <c r="X50" s="586"/>
      <c r="Y50" s="586"/>
      <c r="Z50" s="586"/>
      <c r="AA50" s="586"/>
      <c r="AB50" s="586"/>
      <c r="AC50" s="586"/>
      <c r="AD50" s="586"/>
      <c r="AE50" s="586"/>
      <c r="AF50" s="586"/>
      <c r="AG50" s="586"/>
      <c r="AH50" s="994"/>
      <c r="AI50" s="585"/>
    </row>
    <row r="51" ht="30" customHeight="1">
      <c r="A51" s="993"/>
      <c r="B51" s="753"/>
      <c r="C51" t="s" s="754">
        <f>IF(LEFT(RIGHT($B$1,2),1)=" ",RIGHT($B$1,1),RIGHT($B$1,2))</f>
        <v>2103</v>
      </c>
      <c r="D51" s="755">
        <f>IF(LEFT(F51,5)="Bonne",D49+1,D50)</f>
        <v>5</v>
      </c>
      <c r="E51" t="s" s="778">
        <f>C51&amp;D51&amp;RIGHT(F51,1)</f>
        <v>2157</v>
      </c>
      <c r="F51" t="s" s="769">
        <v>1835</v>
      </c>
      <c r="G51" t="s" s="809">
        <f>VLOOKUP(E53,'BDD'!$A$2:$N$567,7,FALSE)</f>
        <v>2158</v>
      </c>
      <c r="H51" s="810"/>
      <c r="I51" s="810"/>
      <c r="J51" s="810"/>
      <c r="K51" s="810"/>
      <c r="L51" s="810"/>
      <c r="M51" s="810"/>
      <c r="N51" s="811"/>
      <c r="O51" s="775"/>
      <c r="P51" s="775"/>
      <c r="Q51" s="775"/>
      <c r="R51" s="775"/>
      <c r="S51" s="776"/>
      <c r="T51" s="776"/>
      <c r="U51" s="776"/>
      <c r="V51" s="777"/>
      <c r="W51" s="789">
        <f>_xlfn.IFERROR(IF(N51='Suppl'!$E$65,0,IF(N51='Suppl'!$E$66,1/2/(_xlfn.COUNTIFS($N1:$N100,"Exigences"&amp;"*")+_xlfn.COUNTIFS($N1:$N100,"Non"&amp;"*")),IF(N51='Suppl'!$E$67,1/(_xlfn.COUNTIFS($N1:$N100,"Exigences"&amp;"*")+_xlfn.COUNTIFS($N1:$N100,"Non"&amp;"*")),0))),0)</f>
        <v>0</v>
      </c>
      <c r="X51" s="586"/>
      <c r="Y51" s="586"/>
      <c r="Z51" s="586"/>
      <c r="AA51" s="586"/>
      <c r="AB51" s="586"/>
      <c r="AC51" s="586"/>
      <c r="AD51" s="586"/>
      <c r="AE51" s="586"/>
      <c r="AF51" s="586"/>
      <c r="AG51" s="586"/>
      <c r="AH51" s="994"/>
      <c r="AI51" s="585"/>
    </row>
    <row r="52" ht="55.2" customHeight="1">
      <c r="A52" s="993"/>
      <c r="B52" s="753"/>
      <c r="C52" t="s" s="754">
        <f>IF(LEFT(RIGHT($B$1,2),1)=" ",RIGHT($B$1,1),RIGHT($B$1,2))</f>
        <v>2103</v>
      </c>
      <c r="D52" s="755">
        <f>IF(LEFT(F52,5)="Bonne",D50+1,D51)</f>
        <v>5</v>
      </c>
      <c r="E52" t="s" s="778">
        <f>C52&amp;D52&amp;RIGHT(F52,1)</f>
        <v>2157</v>
      </c>
      <c r="F52" t="s" s="779">
        <v>1769</v>
      </c>
      <c r="G52" t="s" s="780">
        <f>VLOOKUP(E52,'BDD'!$A$2:$N$567,MATCH(G$24,'BDD'!$A$1:$P$1,0),FALSE)</f>
        <v>935</v>
      </c>
      <c r="H52" t="s" s="799">
        <v>283</v>
      </c>
      <c r="I52" s="782"/>
      <c r="J52" s="782"/>
      <c r="K52" s="782"/>
      <c r="L52" s="793"/>
      <c r="M52" s="784">
        <f>IF(N52="Exigences partiellement respectées",1,IF(N52="Exigences respectées",2,0))</f>
        <v>0</v>
      </c>
      <c r="N52" t="s" s="780">
        <f>VLOOKUP(VLOOKUP(E52,'BDD'!$A$2:$P$428,15,FALSE),'Suppl'!$D$64:$E$68,2,FALSE)</f>
        <v>1751</v>
      </c>
      <c r="O52" s="785"/>
      <c r="P52" s="786"/>
      <c r="Q52" s="786"/>
      <c r="R52" s="786"/>
      <c r="S52" s="787">
        <f>IF(N52='Suppl'!$E$65,0,IF(N52='Suppl'!$E$66,1/2/(_xlfn.COUNTIFS($D1:$D100,D52,$N1:$N100,"Exigences"&amp;"*",G1:G100,"&lt;&gt;0")+_xlfn.COUNTIFS($D1:$D100,D52,$N1:$N100,"Non"&amp;"*",G1:G100,"&lt;&gt;0")),IF(N52='Suppl'!$E$67,1/(_xlfn.COUNTIFS($D1:$D100,D52,$N1:$N100,"Exigences"&amp;"*",G1:G100,"&lt;&gt;0")+_xlfn.COUNTIFS($D1:$D100,D52,$N1:$N100,"Non"&amp;"*",G1:G100,"&lt;&gt;0")),0)))</f>
        <v>0</v>
      </c>
      <c r="T52" s="787"/>
      <c r="U52" s="787"/>
      <c r="V52" s="788"/>
      <c r="W52" s="789">
        <f>_xlfn.IFERROR(IF(N52='Suppl'!$E$65,0,IF(N52='Suppl'!$E$66,1/2/(_xlfn.COUNTIFS($N1:$N100,"Exigences"&amp;"*")+_xlfn.COUNTIFS($N1:$N100,"Non"&amp;"*")),IF(N52='Suppl'!$E$67,1/(_xlfn.COUNTIFS($N1:$N100,"Exigences"&amp;"*")+_xlfn.COUNTIFS($N1:$N100,"Non"&amp;"*")),0))),0)</f>
        <v>0</v>
      </c>
      <c r="X52" s="586"/>
      <c r="Y52" s="586"/>
      <c r="Z52" s="586"/>
      <c r="AA52" s="586"/>
      <c r="AB52" s="586"/>
      <c r="AC52" s="586"/>
      <c r="AD52" s="586"/>
      <c r="AE52" s="586"/>
      <c r="AF52" s="586"/>
      <c r="AG52" s="586"/>
      <c r="AH52" s="994"/>
      <c r="AI52" s="585"/>
    </row>
    <row r="53" ht="41.4" customHeight="1">
      <c r="A53" s="993"/>
      <c r="B53" s="753"/>
      <c r="C53" t="s" s="754">
        <f>IF(LEFT(RIGHT($B$1,2),1)=" ",RIGHT($B$1,1),RIGHT($B$1,2))</f>
        <v>2103</v>
      </c>
      <c r="D53" s="755">
        <f>IF(LEFT(F53,5)="Bonne",D51+1,D52)</f>
        <v>5</v>
      </c>
      <c r="E53" t="s" s="778">
        <f>C53&amp;D53&amp;RIGHT(F53,1)</f>
        <v>2159</v>
      </c>
      <c r="F53" t="s" s="790">
        <v>1837</v>
      </c>
      <c r="G53" t="s" s="791">
        <f>VLOOKUP(E53,'BDD'!$A$2:$N$567,MATCH(G$24,'BDD'!$A$1:$P$1,0),FALSE)</f>
        <v>2160</v>
      </c>
      <c r="H53" s="781"/>
      <c r="I53" t="s" s="792">
        <v>263</v>
      </c>
      <c r="J53" s="782"/>
      <c r="K53" s="782"/>
      <c r="L53" s="793"/>
      <c r="M53" s="794">
        <f>IF(N53="Exigences partiellement respectées",1,IF(N53="Exigences respectées",2,0))</f>
        <v>0</v>
      </c>
      <c r="N53" t="s" s="791">
        <f>VLOOKUP(VLOOKUP(E53,'BDD'!$A$2:$P$428,15,FALSE),'Suppl'!$D$64:$E$68,2,FALSE)</f>
        <v>1751</v>
      </c>
      <c r="O53" s="795"/>
      <c r="P53" s="796"/>
      <c r="Q53" s="796"/>
      <c r="R53" s="796"/>
      <c r="S53" s="797">
        <f>IF(N53='Suppl'!$E$65,0,IF(N53='Suppl'!$E$66,1/2/(_xlfn.COUNTIFS($D1:$D100,D53,$N1:$N100,"Exigences"&amp;"*",G1:G100,"&lt;&gt;0")+_xlfn.COUNTIFS($D1:$D100,D53,$N1:$N100,"Non"&amp;"*",G1:G100,"&lt;&gt;0")),IF(N53='Suppl'!$E$67,1/(_xlfn.COUNTIFS($D1:$D100,D53,$N1:$N100,"Exigences"&amp;"*",G1:G100,"&lt;&gt;0")+_xlfn.COUNTIFS($D1:$D100,D53,$N1:$N100,"Non"&amp;"*",G1:G100,"&lt;&gt;0")),0)))</f>
        <v>0</v>
      </c>
      <c r="T53" s="797"/>
      <c r="U53" s="797"/>
      <c r="V53" s="798"/>
      <c r="W53" s="789">
        <f>_xlfn.IFERROR(IF(N53='Suppl'!$E$65,0,IF(N53='Suppl'!$E$66,1/2/(_xlfn.COUNTIFS($N1:$N100,"Exigences"&amp;"*")+_xlfn.COUNTIFS($N1:$N100,"Non"&amp;"*")),IF(N53='Suppl'!$E$67,1/(_xlfn.COUNTIFS($N1:$N100,"Exigences"&amp;"*")+_xlfn.COUNTIFS($N1:$N100,"Non"&amp;"*")),0))),0)</f>
        <v>0</v>
      </c>
      <c r="X53" s="586"/>
      <c r="Y53" s="586"/>
      <c r="Z53" s="586"/>
      <c r="AA53" s="586"/>
      <c r="AB53" s="586"/>
      <c r="AC53" s="586"/>
      <c r="AD53" s="586"/>
      <c r="AE53" s="586"/>
      <c r="AF53" s="586"/>
      <c r="AG53" s="586"/>
      <c r="AH53" s="994"/>
      <c r="AI53" s="585"/>
    </row>
    <row r="54" ht="41.4" customHeight="1">
      <c r="A54" s="993"/>
      <c r="B54" s="753"/>
      <c r="C54" t="s" s="754">
        <f>IF(LEFT(RIGHT($B$1,2),1)=" ",RIGHT($B$1,1),RIGHT($B$1,2))</f>
        <v>2103</v>
      </c>
      <c r="D54" s="755">
        <f>IF(LEFT(F54,5)="Bonne",D52+1,D53)</f>
        <v>5</v>
      </c>
      <c r="E54" t="s" s="778">
        <f>C54&amp;D54&amp;RIGHT(F54,1)</f>
        <v>2161</v>
      </c>
      <c r="F54" t="s" s="779">
        <v>1774</v>
      </c>
      <c r="G54" t="s" s="780">
        <f>VLOOKUP(E54,'BDD'!$A$2:$N$567,MATCH(G$24,'BDD'!$A$1:$P$1,0),FALSE)</f>
        <v>941</v>
      </c>
      <c r="H54" s="781"/>
      <c r="I54" s="782"/>
      <c r="J54" s="782"/>
      <c r="K54" t="s" s="792">
        <v>291</v>
      </c>
      <c r="L54" s="793"/>
      <c r="M54" s="794">
        <f>IF(N54="Exigences partiellement respectées",1,IF(N54="Exigences respectées",2,0))</f>
        <v>0</v>
      </c>
      <c r="N54" t="s" s="780">
        <f>VLOOKUP(VLOOKUP(E54,'BDD'!$A$2:$P$428,15,FALSE),'Suppl'!$D$64:$E$68,2,FALSE)</f>
        <v>1751</v>
      </c>
      <c r="O54" s="795"/>
      <c r="P54" s="796"/>
      <c r="Q54" s="796"/>
      <c r="R54" s="796"/>
      <c r="S54" s="797">
        <f>IF(N54='Suppl'!$E$65,0,IF(N54='Suppl'!$E$66,1/2/(_xlfn.COUNTIFS($D1:$D100,D54,$N1:$N100,"Exigences"&amp;"*",G1:G100,"&lt;&gt;0")+_xlfn.COUNTIFS($D1:$D100,D54,$N1:$N100,"Non"&amp;"*",G1:G100,"&lt;&gt;0")),IF(N54='Suppl'!$E$67,1/(_xlfn.COUNTIFS($D1:$D100,D54,$N1:$N100,"Exigences"&amp;"*",G1:G100,"&lt;&gt;0")+_xlfn.COUNTIFS($D1:$D100,D54,$N1:$N100,"Non"&amp;"*",G1:G100,"&lt;&gt;0")),0)))</f>
        <v>0</v>
      </c>
      <c r="T54" s="797"/>
      <c r="U54" s="797"/>
      <c r="V54" s="798"/>
      <c r="W54" s="789">
        <f>_xlfn.IFERROR(IF(N54='Suppl'!$E$65,0,IF(N54='Suppl'!$E$66,1/2/(_xlfn.COUNTIFS($N1:$N100,"Exigences"&amp;"*")+_xlfn.COUNTIFS($N1:$N100,"Non"&amp;"*")),IF(N54='Suppl'!$E$67,1/(_xlfn.COUNTIFS($N1:$N100,"Exigences"&amp;"*")+_xlfn.COUNTIFS($N1:$N100,"Non"&amp;"*")),0))),0)</f>
        <v>0</v>
      </c>
      <c r="X54" s="586"/>
      <c r="Y54" s="586"/>
      <c r="Z54" s="586"/>
      <c r="AA54" s="586"/>
      <c r="AB54" s="586"/>
      <c r="AC54" s="586"/>
      <c r="AD54" s="586"/>
      <c r="AE54" s="586"/>
      <c r="AF54" s="586"/>
      <c r="AG54" s="586"/>
      <c r="AH54" s="994"/>
      <c r="AI54" s="585"/>
    </row>
    <row r="55" ht="30" customHeight="1">
      <c r="A55" s="993"/>
      <c r="B55" s="753"/>
      <c r="C55" t="s" s="754">
        <f>IF(LEFT(RIGHT($B$1,2),1)=" ",RIGHT($B$1,1),RIGHT($B$1,2))</f>
        <v>2103</v>
      </c>
      <c r="D55" s="755">
        <f>IF(LEFT(F55,5)="Bonne",D53+1,D54)</f>
        <v>5</v>
      </c>
      <c r="E55" t="s" s="778">
        <f>C55&amp;D55&amp;RIGHT(F55,1)</f>
        <v>2162</v>
      </c>
      <c r="F55" t="s" s="790">
        <v>1776</v>
      </c>
      <c r="G55" t="s" s="791">
        <f>VLOOKUP(E55,'BDD'!$A$2:$N$567,MATCH(G$24,'BDD'!$A$1:$P$1,0),FALSE)</f>
        <v>944</v>
      </c>
      <c r="H55" s="781"/>
      <c r="I55" t="s" s="792">
        <v>263</v>
      </c>
      <c r="J55" s="782"/>
      <c r="K55" s="782"/>
      <c r="L55" s="793"/>
      <c r="M55" s="794">
        <f>IF(N55="Exigences partiellement respectées",1,IF(N55="Exigences respectées",2,0))</f>
        <v>0</v>
      </c>
      <c r="N55" t="s" s="791">
        <f>VLOOKUP(VLOOKUP(E55,'BDD'!$A$2:$P$428,15,FALSE),'Suppl'!$D$64:$E$68,2,FALSE)</f>
        <v>1751</v>
      </c>
      <c r="O55" s="795"/>
      <c r="P55" s="796"/>
      <c r="Q55" s="796"/>
      <c r="R55" s="796"/>
      <c r="S55" s="797">
        <f>IF(N55='Suppl'!$E$65,0,IF(N55='Suppl'!$E$66,1/2/(_xlfn.COUNTIFS($D1:$D100,D55,$N1:$N100,"Exigences"&amp;"*",G1:G100,"&lt;&gt;0")+_xlfn.COUNTIFS($D1:$D100,D55,$N1:$N100,"Non"&amp;"*",G1:G100,"&lt;&gt;0")),IF(N55='Suppl'!$E$67,1/(_xlfn.COUNTIFS($D1:$D100,D55,$N1:$N100,"Exigences"&amp;"*",G1:G100,"&lt;&gt;0")+_xlfn.COUNTIFS($D1:$D100,D55,$N1:$N100,"Non"&amp;"*",G1:G100,"&lt;&gt;0")),0)))</f>
        <v>0</v>
      </c>
      <c r="T55" s="797"/>
      <c r="U55" s="797"/>
      <c r="V55" s="798"/>
      <c r="W55" s="789">
        <f>_xlfn.IFERROR(IF(N55='Suppl'!$E$65,0,IF(N55='Suppl'!$E$66,1/2/(_xlfn.COUNTIFS($N1:$N100,"Exigences"&amp;"*")+_xlfn.COUNTIFS($N1:$N100,"Non"&amp;"*")),IF(N55='Suppl'!$E$67,1/(_xlfn.COUNTIFS($N1:$N100,"Exigences"&amp;"*")+_xlfn.COUNTIFS($N1:$N100,"Non"&amp;"*")),0))),0)</f>
        <v>0</v>
      </c>
      <c r="X55" s="586"/>
      <c r="Y55" s="586"/>
      <c r="Z55" s="586"/>
      <c r="AA55" s="586"/>
      <c r="AB55" s="586"/>
      <c r="AC55" s="586"/>
      <c r="AD55" s="586"/>
      <c r="AE55" s="586"/>
      <c r="AF55" s="586"/>
      <c r="AG55" s="586"/>
      <c r="AH55" s="994"/>
      <c r="AI55" s="585"/>
    </row>
    <row r="56" ht="41.4" customHeight="1">
      <c r="A56" s="993"/>
      <c r="B56" s="753"/>
      <c r="C56" t="s" s="754">
        <f>IF(LEFT(RIGHT($B$1,2),1)=" ",RIGHT($B$1,1),RIGHT($B$1,2))</f>
        <v>2103</v>
      </c>
      <c r="D56" s="755">
        <f>IF(LEFT(F56,5)="Bonne",D54+1,D55)</f>
        <v>5</v>
      </c>
      <c r="E56" t="s" s="778">
        <f>C56&amp;D56&amp;RIGHT(F56,1)</f>
        <v>2156</v>
      </c>
      <c r="F56" t="s" s="779">
        <v>1778</v>
      </c>
      <c r="G56" t="s" s="780">
        <f>VLOOKUP(E56,'BDD'!$A$2:$N$567,MATCH(G$24,'BDD'!$A$1:$P$1,0),FALSE)</f>
        <v>947</v>
      </c>
      <c r="H56" s="781"/>
      <c r="I56" s="782"/>
      <c r="J56" t="s" s="792">
        <v>271</v>
      </c>
      <c r="K56" s="782"/>
      <c r="L56" s="793"/>
      <c r="M56" s="794">
        <f>IF(N56="Exigences partiellement respectées",1,IF(N56="Exigences respectées",2,0))</f>
        <v>0</v>
      </c>
      <c r="N56" t="s" s="780">
        <f>VLOOKUP(VLOOKUP(E56,'BDD'!$A$2:$P$428,15,FALSE),'Suppl'!$D$64:$E$68,2,FALSE)</f>
        <v>1751</v>
      </c>
      <c r="O56" s="795"/>
      <c r="P56" s="796"/>
      <c r="Q56" s="796"/>
      <c r="R56" s="796"/>
      <c r="S56" s="797">
        <f>IF(N56='Suppl'!$E$65,0,IF(N56='Suppl'!$E$66,1/2/(_xlfn.COUNTIFS($D1:$D100,D56,$N1:$N100,"Exigences"&amp;"*",G1:G100,"&lt;&gt;0")+_xlfn.COUNTIFS($D1:$D100,D56,$N1:$N100,"Non"&amp;"*",G1:G100,"&lt;&gt;0")),IF(N56='Suppl'!$E$67,1/(_xlfn.COUNTIFS($D1:$D100,D56,$N1:$N100,"Exigences"&amp;"*",G1:G100,"&lt;&gt;0")+_xlfn.COUNTIFS($D1:$D100,D56,$N1:$N100,"Non"&amp;"*",G1:G100,"&lt;&gt;0")),0)))</f>
        <v>0</v>
      </c>
      <c r="T56" s="797"/>
      <c r="U56" s="797"/>
      <c r="V56" s="798"/>
      <c r="W56" s="789">
        <f>_xlfn.IFERROR(IF(N56='Suppl'!$E$65,0,IF(N56='Suppl'!$E$66,1/2/(_xlfn.COUNTIFS($N1:$N100,"Exigences"&amp;"*")+_xlfn.COUNTIFS($N1:$N100,"Non"&amp;"*")),IF(N56='Suppl'!$E$67,1/(_xlfn.COUNTIFS($N1:$N100,"Exigences"&amp;"*")+_xlfn.COUNTIFS($N1:$N100,"Non"&amp;"*")),0))),0)</f>
        <v>0</v>
      </c>
      <c r="X56" s="586"/>
      <c r="Y56" s="586"/>
      <c r="Z56" s="586"/>
      <c r="AA56" s="586"/>
      <c r="AB56" s="586"/>
      <c r="AC56" s="586"/>
      <c r="AD56" s="586"/>
      <c r="AE56" s="586"/>
      <c r="AF56" s="586"/>
      <c r="AG56" s="586"/>
      <c r="AH56" s="994"/>
      <c r="AI56" s="585"/>
    </row>
    <row r="57" ht="41.4" customHeight="1">
      <c r="A57" s="993"/>
      <c r="B57" s="753"/>
      <c r="C57" t="s" s="754">
        <f>IF(LEFT(RIGHT($B$1,2),1)=" ",RIGHT($B$1,1),RIGHT($B$1,2))</f>
        <v>2103</v>
      </c>
      <c r="D57" s="755">
        <f>IF(LEFT(F57,5)="Bonne",D55+1,D56)</f>
        <v>5</v>
      </c>
      <c r="E57" t="s" s="778">
        <f>C57&amp;D57&amp;RIGHT(F57,1)</f>
        <v>2163</v>
      </c>
      <c r="F57" t="s" s="790">
        <v>1780</v>
      </c>
      <c r="G57" t="s" s="791">
        <f>VLOOKUP(E57,'BDD'!$A$2:$N$567,MATCH(G$24,'BDD'!$A$1:$P$1,0),FALSE)</f>
        <v>950</v>
      </c>
      <c r="H57" s="781"/>
      <c r="I57" s="782"/>
      <c r="J57" s="782"/>
      <c r="K57" t="s" s="792">
        <v>291</v>
      </c>
      <c r="L57" s="793"/>
      <c r="M57" s="800">
        <f>IF(N57="Exigences partiellement respectées",1,IF(N57="Exigences respectées",2,0))</f>
        <v>0</v>
      </c>
      <c r="N57" t="s" s="980">
        <f>VLOOKUP(VLOOKUP(E57,'BDD'!$A$2:$P$428,15,FALSE),'Suppl'!$D$64:$E$68,2,FALSE)</f>
        <v>1751</v>
      </c>
      <c r="O57" s="801"/>
      <c r="P57" s="802"/>
      <c r="Q57" s="802"/>
      <c r="R57" s="802"/>
      <c r="S57" s="803">
        <f>IF(N57='Suppl'!$E$65,0,IF(N57='Suppl'!$E$66,1/2/(_xlfn.COUNTIFS($D1:$D100,D57,$N1:$N100,"Exigences"&amp;"*",G1:G100,"&lt;&gt;0")+_xlfn.COUNTIFS($D1:$D100,D57,$N1:$N100,"Non"&amp;"*",G1:G100,"&lt;&gt;0")),IF(N57='Suppl'!$E$67,1/(_xlfn.COUNTIFS($D1:$D100,D57,$N1:$N100,"Exigences"&amp;"*",G1:G100,"&lt;&gt;0")+_xlfn.COUNTIFS($D1:$D100,D57,$N1:$N100,"Non"&amp;"*",G1:G100,"&lt;&gt;0")),0)))</f>
        <v>0</v>
      </c>
      <c r="T57" s="803"/>
      <c r="U57" s="803"/>
      <c r="V57" s="804"/>
      <c r="W57" s="789">
        <f>_xlfn.IFERROR(IF(N57='Suppl'!$E$65,0,IF(N57='Suppl'!$E$66,1/2/(_xlfn.COUNTIFS($N1:$N100,"Exigences"&amp;"*")+_xlfn.COUNTIFS($N1:$N100,"Non"&amp;"*")),IF(N57='Suppl'!$E$67,1/(_xlfn.COUNTIFS($N1:$N100,"Exigences"&amp;"*")+_xlfn.COUNTIFS($N1:$N100,"Non"&amp;"*")),0))),0)</f>
        <v>0</v>
      </c>
      <c r="X57" s="586"/>
      <c r="Y57" s="586"/>
      <c r="Z57" s="586"/>
      <c r="AA57" s="586"/>
      <c r="AB57" s="586"/>
      <c r="AC57" s="586"/>
      <c r="AD57" s="586"/>
      <c r="AE57" s="586"/>
      <c r="AF57" s="586"/>
      <c r="AG57" s="586"/>
      <c r="AH57" s="994"/>
      <c r="AI57" s="585"/>
    </row>
    <row r="58" ht="30" customHeight="1">
      <c r="A58" s="993"/>
      <c r="B58" s="753"/>
      <c r="C58" t="s" s="754">
        <f>IF(LEFT(RIGHT($B$1,2),1)=" ",RIGHT($B$1,1),RIGHT($B$1,2))</f>
        <v>2103</v>
      </c>
      <c r="D58" s="755">
        <f>IF(LEFT(F58,5)="Bonne",D56+1,D57)</f>
        <v>6</v>
      </c>
      <c r="E58" t="s" s="778">
        <f>C58&amp;D58&amp;RIGHT(F58,1)</f>
        <v>2164</v>
      </c>
      <c r="F58" t="s" s="757">
        <v>1887</v>
      </c>
      <c r="G58" t="s" s="758">
        <f>VLOOKUP(E60,'BDD'!$A$2:$N$567,6,FALSE)</f>
        <v>953</v>
      </c>
      <c r="H58" s="759"/>
      <c r="I58" s="760"/>
      <c r="J58" s="760"/>
      <c r="K58" s="760"/>
      <c r="L58" s="761"/>
      <c r="M58" s="762"/>
      <c r="N58" s="763"/>
      <c r="O58" s="764">
        <v>0</v>
      </c>
      <c r="P58" s="764"/>
      <c r="Q58" s="764"/>
      <c r="R58" s="764"/>
      <c r="S58" s="765">
        <f>_xlfn.SUMIFS(S1:S100,$D1:$D100,D58,$N1:$N100,"Exigences"&amp;"*")</f>
      </c>
      <c r="T58" s="765"/>
      <c r="U58" s="765"/>
      <c r="V58" s="766"/>
      <c r="W58" s="789">
        <f>_xlfn.IFERROR(IF(N58='Suppl'!$E$65,0,IF(N58='Suppl'!$E$66,1/2/(_xlfn.COUNTIFS($N1:$N100,"Exigences"&amp;"*")+_xlfn.COUNTIFS($N1:$N100,"Non"&amp;"*")),IF(N58='Suppl'!$E$67,1/(_xlfn.COUNTIFS($N1:$N100,"Exigences"&amp;"*")+_xlfn.COUNTIFS($N1:$N100,"Non"&amp;"*")),0))),0)</f>
        <v>0</v>
      </c>
      <c r="X58" s="586"/>
      <c r="Y58" s="586"/>
      <c r="Z58" s="586"/>
      <c r="AA58" s="586"/>
      <c r="AB58" s="586"/>
      <c r="AC58" s="586"/>
      <c r="AD58" s="586"/>
      <c r="AE58" s="586"/>
      <c r="AF58" s="586"/>
      <c r="AG58" s="586"/>
      <c r="AH58" s="994"/>
      <c r="AI58" s="585"/>
    </row>
    <row r="59" ht="30" customHeight="1">
      <c r="A59" s="993"/>
      <c r="B59" s="753"/>
      <c r="C59" t="s" s="754">
        <f>IF(LEFT(RIGHT($B$1,2),1)=" ",RIGHT($B$1,1),RIGHT($B$1,2))</f>
        <v>2103</v>
      </c>
      <c r="D59" s="755">
        <f>IF(LEFT(F59,5)="Bonne",D57+1,D58)</f>
        <v>6</v>
      </c>
      <c r="E59" t="s" s="778">
        <f>C59&amp;D59&amp;RIGHT(F59,1)</f>
        <v>2165</v>
      </c>
      <c r="F59" t="s" s="769">
        <v>1835</v>
      </c>
      <c r="G59" t="s" s="809">
        <f>VLOOKUP(E61,'BDD'!$A$2:$N$567,7,FALSE)</f>
        <v>2166</v>
      </c>
      <c r="H59" s="810"/>
      <c r="I59" s="810"/>
      <c r="J59" s="810"/>
      <c r="K59" s="810"/>
      <c r="L59" s="810"/>
      <c r="M59" s="810"/>
      <c r="N59" s="811"/>
      <c r="O59" s="775"/>
      <c r="P59" s="775"/>
      <c r="Q59" s="775"/>
      <c r="R59" s="775"/>
      <c r="S59" s="776"/>
      <c r="T59" s="776"/>
      <c r="U59" s="776"/>
      <c r="V59" s="777"/>
      <c r="W59" s="789">
        <f>_xlfn.IFERROR(IF(N59='Suppl'!$E$65,0,IF(N59='Suppl'!$E$66,1/2/(_xlfn.COUNTIFS($N1:$N100,"Exigences"&amp;"*")+_xlfn.COUNTIFS($N1:$N100,"Non"&amp;"*")),IF(N59='Suppl'!$E$67,1/(_xlfn.COUNTIFS($N1:$N100,"Exigences"&amp;"*")+_xlfn.COUNTIFS($N1:$N100,"Non"&amp;"*")),0))),0)</f>
        <v>0</v>
      </c>
      <c r="X59" s="586"/>
      <c r="Y59" s="586"/>
      <c r="Z59" s="586"/>
      <c r="AA59" s="586"/>
      <c r="AB59" s="586"/>
      <c r="AC59" s="586"/>
      <c r="AD59" s="586"/>
      <c r="AE59" s="586"/>
      <c r="AF59" s="586"/>
      <c r="AG59" s="586"/>
      <c r="AH59" s="994"/>
      <c r="AI59" s="585"/>
    </row>
    <row r="60" ht="55.2" customHeight="1">
      <c r="A60" s="993"/>
      <c r="B60" s="753"/>
      <c r="C60" t="s" s="754">
        <f>IF(LEFT(RIGHT($B$1,2),1)=" ",RIGHT($B$1,1),RIGHT($B$1,2))</f>
        <v>2103</v>
      </c>
      <c r="D60" s="755">
        <f>IF(LEFT(F60,5)="Bonne",D58+1,D59)</f>
        <v>6</v>
      </c>
      <c r="E60" t="s" s="778">
        <f>C60&amp;D60&amp;RIGHT(F60,1)</f>
        <v>2165</v>
      </c>
      <c r="F60" t="s" s="779">
        <v>1769</v>
      </c>
      <c r="G60" t="s" s="780">
        <f>VLOOKUP(E60,'BDD'!$A$2:$N$567,MATCH(G$24,'BDD'!$A$1:$P$1,0),FALSE)</f>
        <v>956</v>
      </c>
      <c r="H60" s="781"/>
      <c r="I60" t="s" s="792">
        <v>263</v>
      </c>
      <c r="J60" s="782"/>
      <c r="K60" s="782"/>
      <c r="L60" s="793"/>
      <c r="M60" s="784">
        <f>IF(N60="Exigences partiellement respectées",1,IF(N60="Exigences respectées",2,0))</f>
        <v>0</v>
      </c>
      <c r="N60" t="s" s="780">
        <f>VLOOKUP(VLOOKUP(E60,'BDD'!$A$2:$P$428,15,FALSE),'Suppl'!$D$64:$E$68,2,FALSE)</f>
        <v>1751</v>
      </c>
      <c r="O60" s="785"/>
      <c r="P60" s="786"/>
      <c r="Q60" s="786"/>
      <c r="R60" s="786"/>
      <c r="S60" s="787">
        <f>IF(N60='Suppl'!$E$65,0,IF(N60='Suppl'!$E$66,1/2/(_xlfn.COUNTIFS($D1:$D100,D60,$N1:$N100,"Exigences"&amp;"*",G1:G100,"&lt;&gt;0")+_xlfn.COUNTIFS($D1:$D100,D60,$N1:$N100,"Non"&amp;"*",G1:G100,"&lt;&gt;0")),IF(N60='Suppl'!$E$67,1/(_xlfn.COUNTIFS($D1:$D100,D60,$N1:$N100,"Exigences"&amp;"*",G1:G100,"&lt;&gt;0")+_xlfn.COUNTIFS($D1:$D100,D60,$N1:$N100,"Non"&amp;"*",G1:G100,"&lt;&gt;0")),0)))</f>
        <v>0</v>
      </c>
      <c r="T60" s="787"/>
      <c r="U60" s="787"/>
      <c r="V60" s="788"/>
      <c r="W60" s="789">
        <f>_xlfn.IFERROR(IF(N60='Suppl'!$E$65,0,IF(N60='Suppl'!$E$66,1/2/(_xlfn.COUNTIFS($N1:$N100,"Exigences"&amp;"*")+_xlfn.COUNTIFS($N1:$N100,"Non"&amp;"*")),IF(N60='Suppl'!$E$67,1/(_xlfn.COUNTIFS($N1:$N100,"Exigences"&amp;"*")+_xlfn.COUNTIFS($N1:$N100,"Non"&amp;"*")),0))),0)</f>
        <v>0</v>
      </c>
      <c r="X60" s="586"/>
      <c r="Y60" s="586"/>
      <c r="Z60" s="586"/>
      <c r="AA60" s="586"/>
      <c r="AB60" s="586"/>
      <c r="AC60" s="586"/>
      <c r="AD60" s="586"/>
      <c r="AE60" s="586"/>
      <c r="AF60" s="586"/>
      <c r="AG60" s="586"/>
      <c r="AH60" s="994"/>
      <c r="AI60" s="585"/>
    </row>
    <row r="61" ht="55.2" customHeight="1">
      <c r="A61" s="993"/>
      <c r="B61" s="753"/>
      <c r="C61" t="s" s="754">
        <f>IF(LEFT(RIGHT($B$1,2),1)=" ",RIGHT($B$1,1),RIGHT($B$1,2))</f>
        <v>2103</v>
      </c>
      <c r="D61" s="755">
        <f>IF(LEFT(F61,5)="Bonne",D59+1,D60)</f>
        <v>6</v>
      </c>
      <c r="E61" t="s" s="778">
        <f>C61&amp;D61&amp;RIGHT(F61,1)</f>
        <v>2167</v>
      </c>
      <c r="F61" t="s" s="790">
        <v>1837</v>
      </c>
      <c r="G61" t="s" s="791">
        <f>VLOOKUP(E61,'BDD'!$A$2:$N$567,MATCH(G$24,'BDD'!$A$1:$P$1,0),FALSE)</f>
        <v>959</v>
      </c>
      <c r="H61" s="781"/>
      <c r="I61" t="s" s="792">
        <v>263</v>
      </c>
      <c r="J61" s="782"/>
      <c r="K61" s="782"/>
      <c r="L61" s="793"/>
      <c r="M61" s="794">
        <f>IF(N61="Exigences partiellement respectées",1,IF(N61="Exigences respectées",2,0))</f>
        <v>0</v>
      </c>
      <c r="N61" t="s" s="791">
        <f>VLOOKUP(VLOOKUP(E61,'BDD'!$A$2:$P$428,15,FALSE),'Suppl'!$D$64:$E$68,2,FALSE)</f>
        <v>1751</v>
      </c>
      <c r="O61" s="795"/>
      <c r="P61" s="796"/>
      <c r="Q61" s="796"/>
      <c r="R61" s="796"/>
      <c r="S61" s="797">
        <f>IF(N61='Suppl'!$E$65,0,IF(N61='Suppl'!$E$66,1/2/(_xlfn.COUNTIFS($D1:$D100,D61,$N1:$N100,"Exigences"&amp;"*",G1:G100,"&lt;&gt;0")+_xlfn.COUNTIFS($D1:$D100,D61,$N1:$N100,"Non"&amp;"*",G1:G100,"&lt;&gt;0")),IF(N61='Suppl'!$E$67,1/(_xlfn.COUNTIFS($D1:$D100,D61,$N1:$N100,"Exigences"&amp;"*",G1:G100,"&lt;&gt;0")+_xlfn.COUNTIFS($D1:$D100,D61,$N1:$N100,"Non"&amp;"*",G1:G100,"&lt;&gt;0")),0)))</f>
        <v>0</v>
      </c>
      <c r="T61" s="797"/>
      <c r="U61" s="797"/>
      <c r="V61" s="798"/>
      <c r="W61" s="789">
        <f>_xlfn.IFERROR(IF(N61='Suppl'!$E$65,0,IF(N61='Suppl'!$E$66,1/2/(_xlfn.COUNTIFS($N1:$N100,"Exigences"&amp;"*")+_xlfn.COUNTIFS($N1:$N100,"Non"&amp;"*")),IF(N61='Suppl'!$E$67,1/(_xlfn.COUNTIFS($N1:$N100,"Exigences"&amp;"*")+_xlfn.COUNTIFS($N1:$N100,"Non"&amp;"*")),0))),0)</f>
        <v>0</v>
      </c>
      <c r="X61" s="586"/>
      <c r="Y61" s="586"/>
      <c r="Z61" s="586"/>
      <c r="AA61" s="586"/>
      <c r="AB61" s="586"/>
      <c r="AC61" s="586"/>
      <c r="AD61" s="586"/>
      <c r="AE61" s="586"/>
      <c r="AF61" s="586"/>
      <c r="AG61" s="586"/>
      <c r="AH61" s="994"/>
      <c r="AI61" s="585"/>
    </row>
    <row r="62" ht="41.4" customHeight="1">
      <c r="A62" s="993"/>
      <c r="B62" s="753"/>
      <c r="C62" t="s" s="754">
        <f>IF(LEFT(RIGHT($B$1,2),1)=" ",RIGHT($B$1,1),RIGHT($B$1,2))</f>
        <v>2103</v>
      </c>
      <c r="D62" s="755">
        <f>IF(LEFT(F62,5)="Bonne",D60+1,D61)</f>
        <v>6</v>
      </c>
      <c r="E62" t="s" s="778">
        <f>C62&amp;D62&amp;RIGHT(F62,1)</f>
        <v>2168</v>
      </c>
      <c r="F62" t="s" s="779">
        <v>1774</v>
      </c>
      <c r="G62" t="s" s="780">
        <f>VLOOKUP(E62,'BDD'!$A$2:$N$567,MATCH(G$24,'BDD'!$A$1:$P$1,0),FALSE)</f>
        <v>962</v>
      </c>
      <c r="H62" s="781"/>
      <c r="I62" s="782"/>
      <c r="J62" t="s" s="792">
        <v>271</v>
      </c>
      <c r="K62" s="782"/>
      <c r="L62" s="793"/>
      <c r="M62" s="794">
        <f>IF(N62="Exigences partiellement respectées",1,IF(N62="Exigences respectées",2,0))</f>
        <v>0</v>
      </c>
      <c r="N62" t="s" s="780">
        <f>VLOOKUP(VLOOKUP(E62,'BDD'!$A$2:$P$428,15,FALSE),'Suppl'!$D$64:$E$68,2,FALSE)</f>
        <v>1751</v>
      </c>
      <c r="O62" s="795"/>
      <c r="P62" s="796"/>
      <c r="Q62" s="796"/>
      <c r="R62" s="796"/>
      <c r="S62" s="797">
        <f>IF(N62='Suppl'!$E$65,0,IF(N62='Suppl'!$E$66,1/2/(_xlfn.COUNTIFS($D1:$D100,D62,$N1:$N100,"Exigences"&amp;"*",G1:G100,"&lt;&gt;0")+_xlfn.COUNTIFS($D1:$D100,D62,$N1:$N100,"Non"&amp;"*",G1:G100,"&lt;&gt;0")),IF(N62='Suppl'!$E$67,1/(_xlfn.COUNTIFS($D1:$D100,D62,$N1:$N100,"Exigences"&amp;"*",G1:G100,"&lt;&gt;0")+_xlfn.COUNTIFS($D1:$D100,D62,$N1:$N100,"Non"&amp;"*",G1:G100,"&lt;&gt;0")),0)))</f>
        <v>0</v>
      </c>
      <c r="T62" s="797"/>
      <c r="U62" s="797"/>
      <c r="V62" s="798"/>
      <c r="W62" s="789">
        <f>_xlfn.IFERROR(IF(N62='Suppl'!$E$65,0,IF(N62='Suppl'!$E$66,1/2/(_xlfn.COUNTIFS($N1:$N100,"Exigences"&amp;"*")+_xlfn.COUNTIFS($N1:$N100,"Non"&amp;"*")),IF(N62='Suppl'!$E$67,1/(_xlfn.COUNTIFS($N1:$N100,"Exigences"&amp;"*")+_xlfn.COUNTIFS($N1:$N100,"Non"&amp;"*")),0))),0)</f>
        <v>0</v>
      </c>
      <c r="X62" s="586"/>
      <c r="Y62" s="586"/>
      <c r="Z62" s="586"/>
      <c r="AA62" s="586"/>
      <c r="AB62" s="586"/>
      <c r="AC62" s="586"/>
      <c r="AD62" s="586"/>
      <c r="AE62" s="586"/>
      <c r="AF62" s="586"/>
      <c r="AG62" s="586"/>
      <c r="AH62" s="994"/>
      <c r="AI62" s="585"/>
    </row>
    <row r="63" ht="30" customHeight="1">
      <c r="A63" s="993"/>
      <c r="B63" s="753"/>
      <c r="C63" t="s" s="754">
        <f>IF(LEFT(RIGHT($B$1,2),1)=" ",RIGHT($B$1,1),RIGHT($B$1,2))</f>
        <v>2103</v>
      </c>
      <c r="D63" s="755">
        <f>IF(LEFT(F63,5)="Bonne",D61+1,D62)</f>
        <v>6</v>
      </c>
      <c r="E63" t="s" s="778">
        <f>C63&amp;D63&amp;RIGHT(F63,1)</f>
        <v>2169</v>
      </c>
      <c r="F63" t="s" s="790">
        <v>1776</v>
      </c>
      <c r="G63" t="s" s="791">
        <f>VLOOKUP(E63,'BDD'!$A$2:$N$567,MATCH(G$24,'BDD'!$A$1:$P$1,0),FALSE)</f>
        <v>965</v>
      </c>
      <c r="H63" s="781"/>
      <c r="I63" s="782"/>
      <c r="J63" s="782"/>
      <c r="K63" t="s" s="792">
        <v>291</v>
      </c>
      <c r="L63" s="793"/>
      <c r="M63" s="794">
        <f>IF(N63="Exigences partiellement respectées",1,IF(N63="Exigences respectées",2,0))</f>
        <v>0</v>
      </c>
      <c r="N63" t="s" s="791">
        <f>VLOOKUP(VLOOKUP(E63,'BDD'!$A$2:$P$428,15,FALSE),'Suppl'!$D$64:$E$68,2,FALSE)</f>
        <v>1751</v>
      </c>
      <c r="O63" s="795"/>
      <c r="P63" s="796"/>
      <c r="Q63" s="796"/>
      <c r="R63" s="796"/>
      <c r="S63" s="797">
        <f>IF(N63='Suppl'!$E$65,0,IF(N63='Suppl'!$E$66,1/2/(_xlfn.COUNTIFS($D1:$D100,D63,$N1:$N100,"Exigences"&amp;"*",G1:G100,"&lt;&gt;0")+_xlfn.COUNTIFS($D1:$D100,D63,$N1:$N100,"Non"&amp;"*",G1:G100,"&lt;&gt;0")),IF(N63='Suppl'!$E$67,1/(_xlfn.COUNTIFS($D1:$D100,D63,$N1:$N100,"Exigences"&amp;"*",G1:G100,"&lt;&gt;0")+_xlfn.COUNTIFS($D1:$D100,D63,$N1:$N100,"Non"&amp;"*",G1:G100,"&lt;&gt;0")),0)))</f>
        <v>0</v>
      </c>
      <c r="T63" s="797"/>
      <c r="U63" s="797"/>
      <c r="V63" s="798"/>
      <c r="W63" s="789">
        <f>_xlfn.IFERROR(IF(N63='Suppl'!$E$65,0,IF(N63='Suppl'!$E$66,1/2/(_xlfn.COUNTIFS($N1:$N100,"Exigences"&amp;"*")+_xlfn.COUNTIFS($N1:$N100,"Non"&amp;"*")),IF(N63='Suppl'!$E$67,1/(_xlfn.COUNTIFS($N1:$N100,"Exigences"&amp;"*")+_xlfn.COUNTIFS($N1:$N100,"Non"&amp;"*")),0))),0)</f>
        <v>0</v>
      </c>
      <c r="X63" s="586"/>
      <c r="Y63" s="586"/>
      <c r="Z63" s="586"/>
      <c r="AA63" s="586"/>
      <c r="AB63" s="586"/>
      <c r="AC63" s="586"/>
      <c r="AD63" s="586"/>
      <c r="AE63" s="586"/>
      <c r="AF63" s="586"/>
      <c r="AG63" s="586"/>
      <c r="AH63" s="994"/>
      <c r="AI63" s="585"/>
    </row>
    <row r="64" ht="30" customHeight="1">
      <c r="A64" s="993"/>
      <c r="B64" s="753"/>
      <c r="C64" t="s" s="754">
        <f>IF(LEFT(RIGHT($B$1,2),1)=" ",RIGHT($B$1,1),RIGHT($B$1,2))</f>
        <v>2103</v>
      </c>
      <c r="D64" s="755">
        <f>IF(LEFT(F64,5)="Bonne",D62+1,D63)</f>
        <v>6</v>
      </c>
      <c r="E64" t="s" s="778">
        <f>C64&amp;D64&amp;RIGHT(F64,1)</f>
        <v>2170</v>
      </c>
      <c r="F64" t="s" s="779">
        <v>1778</v>
      </c>
      <c r="G64" t="s" s="780">
        <f>VLOOKUP(E64,'BDD'!$A$2:$N$567,MATCH(G$24,'BDD'!$A$1:$P$1,0),FALSE)</f>
        <v>968</v>
      </c>
      <c r="H64" t="s" s="799">
        <v>283</v>
      </c>
      <c r="I64" s="782"/>
      <c r="J64" s="782"/>
      <c r="K64" s="782"/>
      <c r="L64" s="793"/>
      <c r="M64" s="794">
        <f>IF(N64="Exigences partiellement respectées",1,IF(N64="Exigences respectées",2,0))</f>
        <v>0</v>
      </c>
      <c r="N64" t="s" s="780">
        <f>VLOOKUP(VLOOKUP(E64,'BDD'!$A$2:$P$428,15,FALSE),'Suppl'!$D$64:$E$68,2,FALSE)</f>
        <v>1751</v>
      </c>
      <c r="O64" s="795"/>
      <c r="P64" s="796"/>
      <c r="Q64" s="796"/>
      <c r="R64" s="796"/>
      <c r="S64" s="797">
        <f>IF(N64='Suppl'!$E$65,0,IF(N64='Suppl'!$E$66,1/2/(_xlfn.COUNTIFS($D1:$D100,D64,$N1:$N100,"Exigences"&amp;"*",G1:G100,"&lt;&gt;0")+_xlfn.COUNTIFS($D1:$D100,D64,$N1:$N100,"Non"&amp;"*",G1:G100,"&lt;&gt;0")),IF(N64='Suppl'!$E$67,1/(_xlfn.COUNTIFS($D1:$D100,D64,$N1:$N100,"Exigences"&amp;"*",G1:G100,"&lt;&gt;0")+_xlfn.COUNTIFS($D1:$D100,D64,$N1:$N100,"Non"&amp;"*",G1:G100,"&lt;&gt;0")),0)))</f>
        <v>0</v>
      </c>
      <c r="T64" s="797"/>
      <c r="U64" s="797"/>
      <c r="V64" s="798"/>
      <c r="W64" s="789">
        <f>_xlfn.IFERROR(IF(N64='Suppl'!$E$65,0,IF(N64='Suppl'!$E$66,1/2/(_xlfn.COUNTIFS($N1:$N100,"Exigences"&amp;"*")+_xlfn.COUNTIFS($N1:$N100,"Non"&amp;"*")),IF(N64='Suppl'!$E$67,1/(_xlfn.COUNTIFS($N1:$N100,"Exigences"&amp;"*")+_xlfn.COUNTIFS($N1:$N100,"Non"&amp;"*")),0))),0)</f>
        <v>0</v>
      </c>
      <c r="X64" s="586"/>
      <c r="Y64" s="586"/>
      <c r="Z64" s="586"/>
      <c r="AA64" s="586"/>
      <c r="AB64" s="586"/>
      <c r="AC64" s="586"/>
      <c r="AD64" s="586"/>
      <c r="AE64" s="586"/>
      <c r="AF64" s="586"/>
      <c r="AG64" s="586"/>
      <c r="AH64" s="994"/>
      <c r="AI64" s="585"/>
    </row>
    <row r="65" ht="41.4" customHeight="1">
      <c r="A65" s="993"/>
      <c r="B65" s="753"/>
      <c r="C65" t="s" s="754">
        <f>IF(LEFT(RIGHT($B$1,2),1)=" ",RIGHT($B$1,1),RIGHT($B$1,2))</f>
        <v>2103</v>
      </c>
      <c r="D65" s="755">
        <f>IF(LEFT(F65,5)="Bonne",D63+1,D64)</f>
        <v>6</v>
      </c>
      <c r="E65" t="s" s="778">
        <f>C65&amp;D65&amp;RIGHT(F65,1)</f>
        <v>2164</v>
      </c>
      <c r="F65" t="s" s="790">
        <v>1780</v>
      </c>
      <c r="G65" t="s" s="791">
        <f>VLOOKUP(E65,'BDD'!$A$2:$N$567,MATCH(G$24,'BDD'!$A$1:$P$1,0),FALSE)</f>
        <v>970</v>
      </c>
      <c r="H65" s="781"/>
      <c r="I65" t="s" s="792">
        <v>263</v>
      </c>
      <c r="J65" s="782"/>
      <c r="K65" s="782"/>
      <c r="L65" s="793"/>
      <c r="M65" s="794">
        <f>IF(N65="Exigences partiellement respectées",1,IF(N65="Exigences respectées",2,0))</f>
        <v>0</v>
      </c>
      <c r="N65" t="s" s="980">
        <f>VLOOKUP(VLOOKUP(E65,'BDD'!$A$2:$P$428,15,FALSE),'Suppl'!$D$64:$E$68,2,FALSE)</f>
        <v>1751</v>
      </c>
      <c r="O65" s="795"/>
      <c r="P65" s="796"/>
      <c r="Q65" s="796"/>
      <c r="R65" s="796"/>
      <c r="S65" s="797">
        <f>IF(N65='Suppl'!$E$65,0,IF(N65='Suppl'!$E$66,1/2/(_xlfn.COUNTIFS($D1:$D100,D65,$N1:$N100,"Exigences"&amp;"*",G1:G100,"&lt;&gt;0")+_xlfn.COUNTIFS($D1:$D100,D65,$N1:$N100,"Non"&amp;"*",G1:G100,"&lt;&gt;0")),IF(N65='Suppl'!$E$67,1/(_xlfn.COUNTIFS($D1:$D100,D65,$N1:$N100,"Exigences"&amp;"*",G1:G100,"&lt;&gt;0")+_xlfn.COUNTIFS($D1:$D100,D65,$N1:$N100,"Non"&amp;"*",G1:G100,"&lt;&gt;0")),0)))</f>
        <v>0</v>
      </c>
      <c r="T65" s="797"/>
      <c r="U65" s="797"/>
      <c r="V65" s="798"/>
      <c r="W65" s="789">
        <f>_xlfn.IFERROR(IF(N65='Suppl'!$E$65,0,IF(N65='Suppl'!$E$66,1/2/(_xlfn.COUNTIFS($N1:$N100,"Exigences"&amp;"*")+_xlfn.COUNTIFS($N1:$N100,"Non"&amp;"*")),IF(N65='Suppl'!$E$67,1/(_xlfn.COUNTIFS($N1:$N100,"Exigences"&amp;"*")+_xlfn.COUNTIFS($N1:$N100,"Non"&amp;"*")),0))),0)</f>
        <v>0</v>
      </c>
      <c r="X65" s="586"/>
      <c r="Y65" s="586"/>
      <c r="Z65" s="586"/>
      <c r="AA65" s="586"/>
      <c r="AB65" s="586"/>
      <c r="AC65" s="586"/>
      <c r="AD65" s="586"/>
      <c r="AE65" s="586"/>
      <c r="AF65" s="586"/>
      <c r="AG65" s="586"/>
      <c r="AH65" s="994"/>
      <c r="AI65" s="585"/>
    </row>
    <row r="66" ht="55.2" customHeight="1">
      <c r="A66" s="993"/>
      <c r="B66" s="753"/>
      <c r="C66" t="s" s="754">
        <f>IF(LEFT(RIGHT($B$1,2),1)=" ",RIGHT($B$1,1),RIGHT($B$1,2))</f>
        <v>2103</v>
      </c>
      <c r="D66" s="755">
        <f>IF(LEFT(F66,5)="Bonne",D64+1,D65)</f>
        <v>6</v>
      </c>
      <c r="E66" t="s" s="778">
        <f>C66&amp;D66&amp;RIGHT(F66,1)</f>
        <v>2171</v>
      </c>
      <c r="F66" t="s" s="779">
        <v>1782</v>
      </c>
      <c r="G66" t="s" s="780">
        <f>VLOOKUP(E66,'BDD'!$A$2:$N$567,MATCH(G$24,'BDD'!$A$1:$P$1,0),FALSE)</f>
        <v>973</v>
      </c>
      <c r="H66" s="781"/>
      <c r="I66" s="782"/>
      <c r="J66" s="782"/>
      <c r="K66" t="s" s="792">
        <v>291</v>
      </c>
      <c r="L66" s="793"/>
      <c r="M66" s="794">
        <f>IF(N66="Exigences partiellement respectées",1,IF(N66="Exigences respectées",2,0))</f>
        <v>0</v>
      </c>
      <c r="N66" t="s" s="780">
        <f>VLOOKUP(VLOOKUP(E66,'BDD'!$A$2:$P$428,15,FALSE),'Suppl'!$D$64:$E$68,2,FALSE)</f>
        <v>1751</v>
      </c>
      <c r="O66" s="863"/>
      <c r="P66" s="864"/>
      <c r="Q66" s="864"/>
      <c r="R66" s="864"/>
      <c r="S66" s="815">
        <f>IF(N66='Suppl'!$E$65,0,IF(N66='Suppl'!$E$66,1/2/(_xlfn.COUNTIFS($D1:$D100,D66,$N1:$N100,"Exigences"&amp;"*",G1:G100,"&lt;&gt;0")+_xlfn.COUNTIFS($D1:$D100,D66,$N1:$N100,"Non"&amp;"*",G1:G100,"&lt;&gt;0")),IF(N66='Suppl'!$E$67,1/(_xlfn.COUNTIFS($D1:$D100,D66,$N1:$N100,"Exigences"&amp;"*",G1:G100,"&lt;&gt;0")+_xlfn.COUNTIFS($D1:$D100,D66,$N1:$N100,"Non"&amp;"*",G1:G100,"&lt;&gt;0")),0)))</f>
        <v>0</v>
      </c>
      <c r="T66" s="815"/>
      <c r="U66" s="815"/>
      <c r="V66" s="816"/>
      <c r="W66" s="789">
        <f>_xlfn.IFERROR(IF(N66='Suppl'!$E$65,0,IF(N66='Suppl'!$E$66,1/2/(_xlfn.COUNTIFS($N1:$N100,"Exigences"&amp;"*")+_xlfn.COUNTIFS($N1:$N100,"Non"&amp;"*")),IF(N66='Suppl'!$E$67,1/(_xlfn.COUNTIFS($N1:$N100,"Exigences"&amp;"*")+_xlfn.COUNTIFS($N1:$N100,"Non"&amp;"*")),0))),0)</f>
        <v>0</v>
      </c>
      <c r="X66" s="586"/>
      <c r="Y66" s="586"/>
      <c r="Z66" s="586"/>
      <c r="AA66" s="586"/>
      <c r="AB66" s="586"/>
      <c r="AC66" s="586"/>
      <c r="AD66" s="586"/>
      <c r="AE66" s="586"/>
      <c r="AF66" s="586"/>
      <c r="AG66" s="586"/>
      <c r="AH66" s="994"/>
      <c r="AI66" s="585"/>
    </row>
    <row r="67" ht="30" customHeight="1">
      <c r="A67" s="993"/>
      <c r="B67" s="586"/>
      <c r="C67" s="586"/>
      <c r="D67" s="587"/>
      <c r="E67" s="587"/>
      <c r="F67" s="817"/>
      <c r="G67" s="818"/>
      <c r="H67" s="818"/>
      <c r="I67" s="818"/>
      <c r="J67" s="818"/>
      <c r="K67" s="818"/>
      <c r="L67" s="818"/>
      <c r="M67" s="102"/>
      <c r="N67" s="817"/>
      <c r="O67" s="819"/>
      <c r="P67" s="819"/>
      <c r="Q67" s="819"/>
      <c r="R67" s="819"/>
      <c r="S67" s="819"/>
      <c r="T67" s="819"/>
      <c r="U67" s="819"/>
      <c r="V67" s="819"/>
      <c r="W67" s="588"/>
      <c r="X67" s="586"/>
      <c r="Y67" s="586"/>
      <c r="Z67" s="586"/>
      <c r="AA67" s="586"/>
      <c r="AB67" s="586"/>
      <c r="AC67" s="586"/>
      <c r="AD67" s="586"/>
      <c r="AE67" s="586"/>
      <c r="AF67" s="586"/>
      <c r="AG67" s="586"/>
      <c r="AH67" s="994"/>
      <c r="AI67" s="585"/>
    </row>
    <row r="68" ht="30" customHeight="1">
      <c r="A68" t="s" s="1003">
        <v>171</v>
      </c>
      <c r="B68" s="994"/>
      <c r="C68" s="994"/>
      <c r="D68" s="994"/>
      <c r="E68" s="994"/>
      <c r="F68" s="994"/>
      <c r="G68" s="998"/>
      <c r="H68" s="998"/>
      <c r="I68" s="998"/>
      <c r="J68" s="998"/>
      <c r="K68" s="998"/>
      <c r="L68" s="998"/>
      <c r="M68" s="998"/>
      <c r="N68" s="994"/>
      <c r="O68" s="994"/>
      <c r="P68" s="994"/>
      <c r="Q68" s="994"/>
      <c r="R68" s="994"/>
      <c r="S68" s="994"/>
      <c r="T68" s="994"/>
      <c r="U68" s="994"/>
      <c r="V68" s="994"/>
      <c r="W68" s="1004"/>
      <c r="X68" s="994"/>
      <c r="Y68" s="994"/>
      <c r="Z68" s="994"/>
      <c r="AA68" s="994"/>
      <c r="AB68" s="994"/>
      <c r="AC68" s="994"/>
      <c r="AD68" s="994"/>
      <c r="AE68" s="994"/>
      <c r="AF68" s="994"/>
      <c r="AG68" s="994"/>
      <c r="AH68" t="s" s="1005">
        <v>171</v>
      </c>
      <c r="AI68" s="585"/>
    </row>
    <row r="69" ht="30" customHeight="1">
      <c r="A69" s="1006"/>
      <c r="B69" s="586"/>
      <c r="C69" s="586"/>
      <c r="D69" s="586"/>
      <c r="E69" s="586"/>
      <c r="F69" s="586"/>
      <c r="G69" s="587"/>
      <c r="H69" s="587"/>
      <c r="I69" s="587"/>
      <c r="J69" s="587"/>
      <c r="K69" s="587"/>
      <c r="L69" s="587"/>
      <c r="M69" s="587"/>
      <c r="N69" s="586"/>
      <c r="O69" s="586"/>
      <c r="P69" s="586"/>
      <c r="Q69" s="586"/>
      <c r="R69" s="586"/>
      <c r="S69" s="586"/>
      <c r="T69" s="586"/>
      <c r="U69" s="586"/>
      <c r="V69" s="586"/>
      <c r="W69" s="588"/>
      <c r="X69" s="586"/>
      <c r="Y69" s="586"/>
      <c r="Z69" s="586"/>
      <c r="AA69" s="586"/>
      <c r="AB69" s="586"/>
      <c r="AC69" s="586"/>
      <c r="AD69" s="586"/>
      <c r="AE69" s="586"/>
      <c r="AF69" s="586"/>
      <c r="AG69" s="586"/>
      <c r="AH69" s="586"/>
      <c r="AI69" s="585"/>
    </row>
    <row r="70" ht="30" customHeight="1">
      <c r="A70" s="1006"/>
      <c r="B70" s="586"/>
      <c r="C70" s="586"/>
      <c r="D70" s="586"/>
      <c r="E70" s="586"/>
      <c r="F70" s="586"/>
      <c r="G70" s="587"/>
      <c r="H70" s="587"/>
      <c r="I70" s="587"/>
      <c r="J70" s="587"/>
      <c r="K70" s="587"/>
      <c r="L70" s="587"/>
      <c r="M70" s="587"/>
      <c r="N70" s="586"/>
      <c r="O70" s="586"/>
      <c r="P70" s="586"/>
      <c r="Q70" s="586"/>
      <c r="R70" s="586"/>
      <c r="S70" s="586"/>
      <c r="T70" s="586"/>
      <c r="U70" s="586"/>
      <c r="V70" s="586"/>
      <c r="W70" s="588"/>
      <c r="X70" s="586"/>
      <c r="Y70" s="586"/>
      <c r="Z70" s="586"/>
      <c r="AA70" s="586"/>
      <c r="AB70" s="586"/>
      <c r="AC70" s="586"/>
      <c r="AD70" s="586"/>
      <c r="AE70" s="586"/>
      <c r="AF70" s="586"/>
      <c r="AG70" s="586"/>
      <c r="AH70" s="586"/>
      <c r="AI70" s="585"/>
    </row>
    <row r="71" ht="30" customHeight="1">
      <c r="A71" s="822"/>
      <c r="B71" s="25"/>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823"/>
    </row>
    <row r="72" ht="30" customHeight="1">
      <c r="A72" s="822"/>
      <c r="B72" s="25"/>
      <c r="C72" s="25"/>
      <c r="D72" s="25"/>
      <c r="E72" s="25"/>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823"/>
    </row>
    <row r="73" ht="30" customHeight="1">
      <c r="A73" s="822"/>
      <c r="B73" s="25"/>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823"/>
    </row>
    <row r="74" ht="30" customHeight="1">
      <c r="A74" s="822"/>
      <c r="B74" s="25"/>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823"/>
    </row>
    <row r="75" ht="30" customHeight="1">
      <c r="A75" s="822"/>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823"/>
    </row>
    <row r="76" ht="30" customHeight="1">
      <c r="A76" s="822"/>
      <c r="B76" s="25"/>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823"/>
    </row>
    <row r="77" ht="30" customHeight="1">
      <c r="A77" s="822"/>
      <c r="B77" s="25"/>
      <c r="C77" s="25"/>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823"/>
    </row>
    <row r="78" ht="30" customHeight="1">
      <c r="A78" s="822"/>
      <c r="B78" s="25"/>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823"/>
    </row>
    <row r="79" ht="30" customHeight="1">
      <c r="A79" s="822"/>
      <c r="B79" s="25"/>
      <c r="C79" s="25"/>
      <c r="D79" s="25"/>
      <c r="E79" s="25"/>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823"/>
    </row>
    <row r="80" ht="30" customHeight="1">
      <c r="A80" s="822"/>
      <c r="B80" s="25"/>
      <c r="C80" s="25"/>
      <c r="D80" s="25"/>
      <c r="E80" s="25"/>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823"/>
    </row>
    <row r="81" ht="14.4" customHeight="1">
      <c r="A81" s="822"/>
      <c r="B81" s="25"/>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823"/>
    </row>
    <row r="82" ht="14.4" customHeight="1">
      <c r="A82" s="822"/>
      <c r="B82" s="25"/>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823"/>
    </row>
    <row r="83" ht="14.4" customHeight="1">
      <c r="A83" s="822"/>
      <c r="B83" s="25"/>
      <c r="C83" s="25"/>
      <c r="D83" s="25"/>
      <c r="E83" s="25"/>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c r="AH83" s="25"/>
      <c r="AI83" s="823"/>
    </row>
    <row r="84" ht="14.4" customHeight="1">
      <c r="A84" s="822"/>
      <c r="B84" s="25"/>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823"/>
    </row>
    <row r="85" ht="14.4" customHeight="1">
      <c r="A85" s="822"/>
      <c r="B85" s="25"/>
      <c r="C85" s="25"/>
      <c r="D85" s="25"/>
      <c r="E85" s="25"/>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823"/>
    </row>
    <row r="86" ht="14.4" customHeight="1">
      <c r="A86" s="822"/>
      <c r="B86" s="25"/>
      <c r="C86" s="25"/>
      <c r="D86" s="25"/>
      <c r="E86" s="25"/>
      <c r="F86" s="2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823"/>
    </row>
    <row r="87" ht="14.4" customHeight="1">
      <c r="A87" s="822"/>
      <c r="B87" s="25"/>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823"/>
    </row>
    <row r="88" ht="14.4" customHeight="1">
      <c r="A88" s="822"/>
      <c r="B88" s="25"/>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823"/>
    </row>
    <row r="89" ht="14.4" customHeight="1">
      <c r="A89" s="822"/>
      <c r="B89" s="25"/>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823"/>
    </row>
    <row r="90" ht="14.4" customHeight="1">
      <c r="A90" s="822"/>
      <c r="B90" s="25"/>
      <c r="C90" s="25"/>
      <c r="D90" s="25"/>
      <c r="E90" s="25"/>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823"/>
    </row>
    <row r="91" ht="14.4" customHeight="1">
      <c r="A91" s="822"/>
      <c r="B91" s="25"/>
      <c r="C91" s="25"/>
      <c r="D91" s="25"/>
      <c r="E91" s="25"/>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823"/>
    </row>
    <row r="92" ht="14.4" customHeight="1">
      <c r="A92" s="822"/>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823"/>
    </row>
    <row r="93" ht="14.4" customHeight="1">
      <c r="A93" s="822"/>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823"/>
    </row>
    <row r="94" ht="14.4" customHeight="1">
      <c r="A94" s="822"/>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823"/>
    </row>
    <row r="95" ht="14.4" customHeight="1">
      <c r="A95" s="822"/>
      <c r="B95" s="25"/>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823"/>
    </row>
    <row r="96" ht="14.4" customHeight="1">
      <c r="A96" s="822"/>
      <c r="B96" s="25"/>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823"/>
    </row>
    <row r="97" ht="14.4" customHeight="1">
      <c r="A97" s="822"/>
      <c r="B97" s="25"/>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823"/>
    </row>
    <row r="98" ht="14.4" customHeight="1">
      <c r="A98" s="822"/>
      <c r="B98" s="25"/>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823"/>
    </row>
    <row r="99" ht="14.4" customHeight="1">
      <c r="A99" s="822"/>
      <c r="B99" s="25"/>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823"/>
    </row>
    <row r="100" ht="14.4" customHeight="1">
      <c r="A100" s="824"/>
      <c r="B100" s="825"/>
      <c r="C100" s="825"/>
      <c r="D100" s="825"/>
      <c r="E100" s="825"/>
      <c r="F100" s="825"/>
      <c r="G100" s="825"/>
      <c r="H100" s="825"/>
      <c r="I100" s="825"/>
      <c r="J100" s="825"/>
      <c r="K100" s="825"/>
      <c r="L100" s="825"/>
      <c r="M100" s="825"/>
      <c r="N100" s="825"/>
      <c r="O100" s="825"/>
      <c r="P100" s="825"/>
      <c r="Q100" s="825"/>
      <c r="R100" s="825"/>
      <c r="S100" s="825"/>
      <c r="T100" s="825"/>
      <c r="U100" s="825"/>
      <c r="V100" s="825"/>
      <c r="W100" s="825"/>
      <c r="X100" s="825"/>
      <c r="Y100" s="825"/>
      <c r="Z100" s="825"/>
      <c r="AA100" s="825"/>
      <c r="AB100" s="825"/>
      <c r="AC100" s="825"/>
      <c r="AD100" s="825"/>
      <c r="AE100" s="825"/>
      <c r="AF100" s="825"/>
      <c r="AG100" s="825"/>
      <c r="AH100" s="825"/>
      <c r="AI100" s="826"/>
    </row>
  </sheetData>
  <mergeCells count="84">
    <mergeCell ref="G59:N59"/>
    <mergeCell ref="G32:N32"/>
    <mergeCell ref="G26:N26"/>
    <mergeCell ref="G38:N38"/>
    <mergeCell ref="G45:N45"/>
    <mergeCell ref="G51:N51"/>
    <mergeCell ref="O65:R65"/>
    <mergeCell ref="S65:V65"/>
    <mergeCell ref="O66:R66"/>
    <mergeCell ref="S66:V66"/>
    <mergeCell ref="O62:R62"/>
    <mergeCell ref="S62:V62"/>
    <mergeCell ref="O63:R63"/>
    <mergeCell ref="S63:V63"/>
    <mergeCell ref="O64:R64"/>
    <mergeCell ref="S64:V64"/>
    <mergeCell ref="O58:R59"/>
    <mergeCell ref="S58:V59"/>
    <mergeCell ref="O60:R60"/>
    <mergeCell ref="S60:V60"/>
    <mergeCell ref="O61:R61"/>
    <mergeCell ref="S61:V61"/>
    <mergeCell ref="O56:R56"/>
    <mergeCell ref="S56:V56"/>
    <mergeCell ref="O57:R57"/>
    <mergeCell ref="S57:V57"/>
    <mergeCell ref="O53:R53"/>
    <mergeCell ref="S53:V53"/>
    <mergeCell ref="O54:R54"/>
    <mergeCell ref="S54:V54"/>
    <mergeCell ref="O55:R55"/>
    <mergeCell ref="S55:V55"/>
    <mergeCell ref="O50:R51"/>
    <mergeCell ref="S50:V51"/>
    <mergeCell ref="O52:R52"/>
    <mergeCell ref="S52:V52"/>
    <mergeCell ref="O49:R49"/>
    <mergeCell ref="S49:V49"/>
    <mergeCell ref="O46:R46"/>
    <mergeCell ref="S46:V46"/>
    <mergeCell ref="O47:R47"/>
    <mergeCell ref="S47:V47"/>
    <mergeCell ref="O48:R48"/>
    <mergeCell ref="S48:V48"/>
    <mergeCell ref="O44:R45"/>
    <mergeCell ref="S44:V45"/>
    <mergeCell ref="O41:R41"/>
    <mergeCell ref="S41:V41"/>
    <mergeCell ref="O42:R42"/>
    <mergeCell ref="S42:V42"/>
    <mergeCell ref="O43:R43"/>
    <mergeCell ref="S43:V43"/>
    <mergeCell ref="O37:R38"/>
    <mergeCell ref="S37:V38"/>
    <mergeCell ref="O39:R39"/>
    <mergeCell ref="S39:V39"/>
    <mergeCell ref="O40:R40"/>
    <mergeCell ref="S40:V40"/>
    <mergeCell ref="O34:R34"/>
    <mergeCell ref="S34:V34"/>
    <mergeCell ref="O35:R35"/>
    <mergeCell ref="S35:V35"/>
    <mergeCell ref="O36:R36"/>
    <mergeCell ref="S36:V36"/>
    <mergeCell ref="O31:R32"/>
    <mergeCell ref="S31:V32"/>
    <mergeCell ref="O33:R33"/>
    <mergeCell ref="S33:V33"/>
    <mergeCell ref="O27:R27"/>
    <mergeCell ref="S27:V27"/>
    <mergeCell ref="O28:R28"/>
    <mergeCell ref="S28:V28"/>
    <mergeCell ref="O29:R29"/>
    <mergeCell ref="S29:V29"/>
    <mergeCell ref="O25:R26"/>
    <mergeCell ref="S25:V26"/>
    <mergeCell ref="O30:R30"/>
    <mergeCell ref="S30:V30"/>
    <mergeCell ref="AD7:AD10"/>
    <mergeCell ref="O21:R21"/>
    <mergeCell ref="O22:R22"/>
    <mergeCell ref="O24:R24"/>
    <mergeCell ref="S24:V24"/>
    <mergeCell ref="O20:R20"/>
  </mergeCells>
  <conditionalFormatting sqref="O8:U13">
    <cfRule type="cellIs" dxfId="18" priority="1" operator="equal" stopIfTrue="1">
      <formula>3</formula>
    </cfRule>
    <cfRule type="cellIs" dxfId="19" priority="2" operator="equal" stopIfTrue="1">
      <formula>2</formula>
    </cfRule>
    <cfRule type="cellIs" dxfId="20" priority="3" operator="equal" stopIfTrue="1">
      <formula>1</formula>
    </cfRule>
  </conditionalFormatting>
  <dataValidations count="1">
    <dataValidation type="list" allowBlank="1" showInputMessage="1" showErrorMessage="1" sqref="W8:W13 W16">
      <formula1>"Exigences non respectées,Exigences partiellement respectées,Exigences respectées,Non évalué,N/A"</formula1>
    </dataValidation>
  </dataValidations>
  <pageMargins left="0.7" right="0.7" top="0.75" bottom="0.75" header="0.3" footer="0.3"/>
  <pageSetup firstPageNumber="1" fitToHeight="1" fitToWidth="1" scale="100" useFirstPageNumber="0" orientation="portrait" pageOrder="downThenOver"/>
  <headerFooter>
    <oddFooter>&amp;C&amp;"Helvetica Neue,Regular"&amp;12&amp;K000000&amp;P</oddFooter>
  </headerFooter>
  <drawing r:id="rId1"/>
</worksheet>
</file>

<file path=xl/worksheets/sheet2.xml><?xml version="1.0" encoding="utf-8"?>
<worksheet xmlns:r="http://schemas.openxmlformats.org/officeDocument/2006/relationships" xmlns="http://schemas.openxmlformats.org/spreadsheetml/2006/main">
  <dimension ref="A1:F14"/>
  <sheetViews>
    <sheetView workbookViewId="0" showGridLines="0" defaultGridColor="1"/>
  </sheetViews>
  <sheetFormatPr defaultColWidth="10.8333" defaultRowHeight="14.4" customHeight="1" outlineLevelRow="0" outlineLevelCol="0"/>
  <cols>
    <col min="1" max="2" width="5.85156" style="15" customWidth="1"/>
    <col min="3" max="3" width="23.8516" style="15" customWidth="1"/>
    <col min="4" max="4" width="68.8516" style="15" customWidth="1"/>
    <col min="5" max="6" width="5.85156" style="15" customWidth="1"/>
    <col min="7" max="16384" width="10.8516" style="15" customWidth="1"/>
  </cols>
  <sheetData>
    <row r="1" ht="16" customHeight="1">
      <c r="A1" s="16"/>
      <c r="B1" s="17"/>
      <c r="C1" s="18"/>
      <c r="D1" s="18"/>
      <c r="E1" s="18"/>
      <c r="F1" s="19"/>
    </row>
    <row r="2" ht="21" customHeight="1">
      <c r="A2" s="20"/>
      <c r="B2" s="21"/>
      <c r="C2" s="22"/>
      <c r="D2" t="s" s="23">
        <v>3</v>
      </c>
      <c r="E2" s="22"/>
      <c r="F2" s="24"/>
    </row>
    <row r="3" ht="16" customHeight="1">
      <c r="A3" s="20"/>
      <c r="B3" s="21"/>
      <c r="C3" s="22"/>
      <c r="D3" s="22"/>
      <c r="E3" s="22"/>
      <c r="F3" s="24"/>
    </row>
    <row r="4" ht="16" customHeight="1">
      <c r="A4" s="20"/>
      <c r="B4" s="25"/>
      <c r="C4" s="25"/>
      <c r="D4" s="25"/>
      <c r="E4" s="25"/>
      <c r="F4" s="26"/>
    </row>
    <row r="5" ht="16" customHeight="1">
      <c r="A5" s="20"/>
      <c r="B5" s="25"/>
      <c r="C5" s="27"/>
      <c r="D5" s="27"/>
      <c r="E5" s="25"/>
      <c r="F5" s="26"/>
    </row>
    <row r="6" ht="30" customHeight="1">
      <c r="A6" s="20"/>
      <c r="B6" s="28"/>
      <c r="C6" t="s" s="29">
        <v>4</v>
      </c>
      <c r="D6" s="30"/>
      <c r="E6" s="31"/>
      <c r="F6" s="26"/>
    </row>
    <row r="7" ht="30" customHeight="1">
      <c r="A7" s="20"/>
      <c r="B7" s="28"/>
      <c r="C7" t="s" s="29">
        <v>5</v>
      </c>
      <c r="D7" s="30"/>
      <c r="E7" s="31"/>
      <c r="F7" s="26"/>
    </row>
    <row r="8" ht="30" customHeight="1">
      <c r="A8" s="20"/>
      <c r="B8" s="28"/>
      <c r="C8" t="s" s="29">
        <v>6</v>
      </c>
      <c r="D8" s="30"/>
      <c r="E8" s="31"/>
      <c r="F8" s="26"/>
    </row>
    <row r="9" ht="30" customHeight="1">
      <c r="A9" s="20"/>
      <c r="B9" s="28"/>
      <c r="C9" t="s" s="29">
        <v>7</v>
      </c>
      <c r="D9" s="32"/>
      <c r="E9" s="31"/>
      <c r="F9" s="26"/>
    </row>
    <row r="10" ht="30" customHeight="1">
      <c r="A10" s="20"/>
      <c r="B10" s="28"/>
      <c r="C10" t="s" s="29">
        <v>8</v>
      </c>
      <c r="D10" s="30"/>
      <c r="E10" s="31"/>
      <c r="F10" s="26"/>
    </row>
    <row r="11" ht="16" customHeight="1">
      <c r="A11" s="20"/>
      <c r="B11" s="25"/>
      <c r="C11" s="33"/>
      <c r="D11" s="33"/>
      <c r="E11" s="25"/>
      <c r="F11" s="26"/>
    </row>
    <row r="12" ht="16" customHeight="1">
      <c r="A12" s="20"/>
      <c r="B12" s="25"/>
      <c r="C12" s="25"/>
      <c r="D12" s="25"/>
      <c r="E12" s="25"/>
      <c r="F12" s="26"/>
    </row>
    <row r="13" ht="16" customHeight="1">
      <c r="A13" s="20"/>
      <c r="B13" s="21"/>
      <c r="C13" s="21"/>
      <c r="D13" s="21"/>
      <c r="E13" s="21"/>
      <c r="F13" s="26"/>
    </row>
    <row r="14" ht="16" customHeight="1">
      <c r="A14" s="34"/>
      <c r="B14" s="35"/>
      <c r="C14" s="35"/>
      <c r="D14" s="35"/>
      <c r="E14" s="35"/>
      <c r="F14" s="36"/>
    </row>
  </sheetData>
  <pageMargins left="0.7" right="0.7" top="0.75" bottom="0.75" header="0.3" footer="0.3"/>
  <pageSetup firstPageNumber="1" fitToHeight="1" fitToWidth="1" scale="100" useFirstPageNumber="0" orientation="portrait" pageOrder="downThenOver"/>
  <headerFooter>
    <oddFooter>&amp;C&amp;"Helvetica Neue,Regular"&amp;12&amp;K000000&amp;P</oddFooter>
  </headerFooter>
</worksheet>
</file>

<file path=xl/worksheets/sheet20.xml><?xml version="1.0" encoding="utf-8"?>
<worksheet xmlns:r="http://schemas.openxmlformats.org/officeDocument/2006/relationships" xmlns="http://schemas.openxmlformats.org/spreadsheetml/2006/main">
  <dimension ref="A1:P118"/>
  <sheetViews>
    <sheetView workbookViewId="0" showGridLines="0" defaultGridColor="1"/>
  </sheetViews>
  <sheetFormatPr defaultColWidth="10.8333" defaultRowHeight="14.4" customHeight="1" outlineLevelRow="0" outlineLevelCol="0"/>
  <cols>
    <col min="1" max="1" width="2.85156" style="1007" customWidth="1"/>
    <col min="2" max="2" width="4" style="1007" customWidth="1"/>
    <col min="3" max="5" hidden="1" width="10.8333" style="1007" customWidth="1"/>
    <col min="6" max="6" width="10.8516" style="1007" customWidth="1"/>
    <col min="7" max="7" width="36.1719" style="1007" customWidth="1"/>
    <col min="8" max="8" width="28.5" style="1007" customWidth="1"/>
    <col min="9" max="9" width="17.6719" style="1007" customWidth="1"/>
    <col min="10" max="10" width="66.8516" style="1007" customWidth="1"/>
    <col min="11" max="11" width="82.1719" style="1007" customWidth="1"/>
    <col min="12" max="12" width="10.8516" style="1007" customWidth="1"/>
    <col min="13" max="13" width="28" style="1007" customWidth="1"/>
    <col min="14" max="14" width="16.5" style="1007" customWidth="1"/>
    <col min="15" max="16" width="4" style="1007" customWidth="1"/>
    <col min="17" max="16384" width="10.8516" style="1007" customWidth="1"/>
  </cols>
  <sheetData>
    <row r="1" ht="45" customHeight="1">
      <c r="A1" s="880"/>
      <c r="B1" t="s" s="881">
        <v>2172</v>
      </c>
      <c r="C1" s="882"/>
      <c r="D1" s="882"/>
      <c r="E1" s="882"/>
      <c r="F1" s="882"/>
      <c r="G1" s="883"/>
      <c r="H1" s="884"/>
      <c r="I1" s="884"/>
      <c r="J1" t="s" s="885">
        <f>VLOOKUP($E$12,'BDD'!$A$2:$N$567,3,FALSE)</f>
        <v>230</v>
      </c>
      <c r="K1" s="884"/>
      <c r="L1" s="883"/>
      <c r="M1" s="883"/>
      <c r="N1" s="883"/>
      <c r="O1" s="883"/>
      <c r="P1" s="886"/>
    </row>
    <row r="2" ht="45" customHeight="1">
      <c r="A2" s="887"/>
      <c r="B2" s="888"/>
      <c r="C2" s="888"/>
      <c r="D2" s="888"/>
      <c r="E2" s="888"/>
      <c r="F2" s="888"/>
      <c r="G2" s="888"/>
      <c r="H2" s="888"/>
      <c r="I2" s="888"/>
      <c r="J2" t="s" s="889">
        <f>VLOOKUP($E$12,'BDD'!$A$2:$N$567,4,FALSE)</f>
        <v>975</v>
      </c>
      <c r="K2" s="888"/>
      <c r="L2" s="888"/>
      <c r="M2" s="888"/>
      <c r="N2" s="888"/>
      <c r="O2" s="888"/>
      <c r="P2" s="890"/>
    </row>
    <row r="3" ht="18" customHeight="1">
      <c r="A3" s="887"/>
      <c r="B3" s="61"/>
      <c r="C3" s="61"/>
      <c r="D3" s="61"/>
      <c r="E3" s="61"/>
      <c r="F3" s="61"/>
      <c r="G3" t="s" s="508">
        <f>IF('Suppl'!B64=2,"Le vecteur n'est pas utilisé","")</f>
      </c>
      <c r="H3" s="509"/>
      <c r="I3" s="509"/>
      <c r="J3" s="509"/>
      <c r="K3" s="509"/>
      <c r="L3" s="510"/>
      <c r="M3" s="61"/>
      <c r="N3" s="61"/>
      <c r="O3" s="61"/>
      <c r="P3" s="890"/>
    </row>
    <row r="4" ht="14.4" customHeight="1">
      <c r="A4" s="887"/>
      <c r="B4" s="61"/>
      <c r="C4" s="61"/>
      <c r="D4" s="61"/>
      <c r="E4" s="61"/>
      <c r="F4" s="61"/>
      <c r="G4" s="61"/>
      <c r="H4" s="61"/>
      <c r="I4" s="61"/>
      <c r="J4" s="61"/>
      <c r="K4" s="61"/>
      <c r="L4" s="61"/>
      <c r="M4" s="61"/>
      <c r="N4" s="61"/>
      <c r="O4" s="61"/>
      <c r="P4" s="890"/>
    </row>
    <row r="5" ht="25.8" customHeight="1">
      <c r="A5" s="891"/>
      <c r="B5" s="512"/>
      <c r="C5" t="s" s="513">
        <f>IF(LEFT(RIGHT($B$1,2),1)=" ",RIGHT($B$1,1),RIGHT($B$1,2))</f>
        <v>2173</v>
      </c>
      <c r="D5" s="514">
        <f>IF(LEFT(F5,14)="Bonne pratique",D4+1,D4)</f>
        <v>1</v>
      </c>
      <c r="E5" s="515"/>
      <c r="F5" t="s" s="516">
        <v>1762</v>
      </c>
      <c r="G5" s="517"/>
      <c r="H5" s="518"/>
      <c r="I5" s="519"/>
      <c r="J5" t="s" s="520">
        <f>VLOOKUP(E12,'BDD'!$A$2:$N$567,6,FALSE)</f>
        <v>976</v>
      </c>
      <c r="K5" s="521"/>
      <c r="L5" s="517"/>
      <c r="M5" s="517"/>
      <c r="N5" s="517"/>
      <c r="O5" s="512"/>
      <c r="P5" s="892"/>
    </row>
    <row r="6" ht="14.4" customHeight="1">
      <c r="A6" s="887"/>
      <c r="B6" s="61"/>
      <c r="C6" t="s" s="513">
        <f>IF(LEFT(RIGHT($B$1,2),1)=" ",RIGHT($B$1,1),RIGHT($B$1,2))</f>
        <v>2173</v>
      </c>
      <c r="D6" s="514">
        <f>IF(LEFT(F6,14)="Bonne pratique",D5+1,D5)</f>
        <v>1</v>
      </c>
      <c r="E6" s="61"/>
      <c r="F6" s="61"/>
      <c r="G6" s="61"/>
      <c r="H6" s="61"/>
      <c r="I6" s="61"/>
      <c r="J6" s="61"/>
      <c r="K6" s="61"/>
      <c r="L6" s="61"/>
      <c r="M6" s="61"/>
      <c r="N6" s="61"/>
      <c r="O6" s="61"/>
      <c r="P6" s="890"/>
    </row>
    <row r="7" ht="23.4" customHeight="1">
      <c r="A7" s="893"/>
      <c r="B7" s="524"/>
      <c r="C7" t="s" s="513">
        <f>IF(LEFT(RIGHT($B$1,2),1)=" ",RIGHT($B$1,1),RIGHT($B$1,2))</f>
        <v>2173</v>
      </c>
      <c r="D7" s="514">
        <f>IF(LEFT(F7,14)="Bonne pratique",D6+1,D6)</f>
        <v>1</v>
      </c>
      <c r="E7" s="524"/>
      <c r="F7" s="524"/>
      <c r="G7" s="524"/>
      <c r="H7" s="524"/>
      <c r="I7" s="525"/>
      <c r="J7" t="s" s="526">
        <v>977</v>
      </c>
      <c r="K7" s="525"/>
      <c r="L7" s="524"/>
      <c r="M7" s="524"/>
      <c r="N7" s="524"/>
      <c r="O7" s="524"/>
      <c r="P7" s="894"/>
    </row>
    <row r="8" ht="18" customHeight="1">
      <c r="A8" s="887"/>
      <c r="B8" s="61"/>
      <c r="C8" t="s" s="513">
        <f>IF(LEFT(RIGHT($B$1,2),1)=" ",RIGHT($B$1,1),RIGHT($B$1,2))</f>
        <v>2173</v>
      </c>
      <c r="D8" s="514">
        <f>IF(LEFT(F8,14)="Bonne pratique",D7+1,D7)</f>
        <v>1</v>
      </c>
      <c r="E8" s="61"/>
      <c r="F8" s="61"/>
      <c r="G8" s="61"/>
      <c r="H8" s="61"/>
      <c r="I8" s="61"/>
      <c r="J8" s="528"/>
      <c r="K8" s="61"/>
      <c r="L8" s="61"/>
      <c r="M8" s="529"/>
      <c r="N8" s="529"/>
      <c r="O8" s="61"/>
      <c r="P8" s="890"/>
    </row>
    <row r="9" ht="14.4" customHeight="1">
      <c r="A9" s="887"/>
      <c r="B9" s="61"/>
      <c r="C9" t="s" s="513">
        <f>IF(LEFT(RIGHT($B$1,2),1)=" ",RIGHT($B$1,1),RIGHT($B$1,2))</f>
        <v>2173</v>
      </c>
      <c r="D9" s="514">
        <f>IF(LEFT(F9,14)="Bonne pratique",D8+1,D8)</f>
        <v>1</v>
      </c>
      <c r="E9" s="61"/>
      <c r="F9" s="61"/>
      <c r="G9" s="530"/>
      <c r="H9" s="530"/>
      <c r="I9" s="530"/>
      <c r="J9" s="530"/>
      <c r="K9" s="530"/>
      <c r="L9" s="531"/>
      <c r="M9" t="s" s="532">
        <v>1763</v>
      </c>
      <c r="N9" s="533"/>
      <c r="O9" s="534"/>
      <c r="P9" s="890"/>
    </row>
    <row r="10" ht="33" customHeight="1">
      <c r="A10" s="887"/>
      <c r="B10" s="61"/>
      <c r="C10" t="s" s="513">
        <f>IF(LEFT(RIGHT($B$1,2),1)=" ",RIGHT($B$1,1),RIGHT($B$1,2))</f>
        <v>2173</v>
      </c>
      <c r="D10" s="514">
        <f>IF(LEFT(F10,14)="Bonne pratique",D9+1,D9)</f>
        <v>1</v>
      </c>
      <c r="E10" s="61"/>
      <c r="F10" s="535"/>
      <c r="G10" t="s" s="536">
        <v>244</v>
      </c>
      <c r="H10" t="s" s="536">
        <v>1764</v>
      </c>
      <c r="I10" t="s" s="537">
        <v>245</v>
      </c>
      <c r="J10" t="s" s="536">
        <v>1765</v>
      </c>
      <c r="K10" t="s" s="536">
        <v>246</v>
      </c>
      <c r="L10" s="538"/>
      <c r="M10" t="s" s="539">
        <v>1766</v>
      </c>
      <c r="N10" t="s" s="540">
        <v>1767</v>
      </c>
      <c r="O10" s="534"/>
      <c r="P10" s="890"/>
    </row>
    <row r="11" ht="14.4" customHeight="1">
      <c r="A11" s="887"/>
      <c r="B11" s="61"/>
      <c r="C11" t="s" s="513">
        <f>IF(LEFT(RIGHT($B$1,2),1)=" ",RIGHT($B$1,1),RIGHT($B$1,2))</f>
        <v>2173</v>
      </c>
      <c r="D11" s="514">
        <f>IF(LEFT(F11,14)="Bonne pratique",D10+1,D10)</f>
        <v>1</v>
      </c>
      <c r="E11" s="61"/>
      <c r="F11" s="529"/>
      <c r="G11" s="541"/>
      <c r="H11" s="541"/>
      <c r="I11" s="541"/>
      <c r="J11" s="541"/>
      <c r="K11" s="541"/>
      <c r="L11" s="61"/>
      <c r="M11" s="541"/>
      <c r="N11" s="541"/>
      <c r="O11" s="61"/>
      <c r="P11" s="890"/>
    </row>
    <row r="12" ht="130.05" customHeight="1">
      <c r="A12" s="887"/>
      <c r="B12" s="542"/>
      <c r="C12" t="s" s="543">
        <f>IF(LEFT(RIGHT($B$1,2),1)=" ",RIGHT($B$1,1),RIGHT($B$1,2))</f>
        <v>2173</v>
      </c>
      <c r="D12" s="544">
        <f>IF(LEFT(F12,14)="Bonne pratique",D11+1,D11)</f>
        <v>1</v>
      </c>
      <c r="E12" t="s" s="545">
        <f>C12&amp;D12&amp;RIGHT(F12,1)</f>
        <v>2174</v>
      </c>
      <c r="F12" t="s" s="546">
        <v>1769</v>
      </c>
      <c r="G12" t="s" s="547">
        <f>_xlfn.IFERROR(IF(VLOOKUP($E12,'BDD'!$A$1:$S$567,MATCH(G$10,'BDD'!$A$1:$P$1,0),FALSE)=0,"",VLOOKUP($E12,'BDD'!$A$1:$S$567,MATCH(G$10,'BDD'!$A$1:$P$1,0),FALSE)),"")</f>
        <v>979</v>
      </c>
      <c r="H12" t="s" s="548">
        <f>IF(VLOOKUP(E12,'BDD'!$A$1:$S$567,15,FALSE)=0,"Critère non évalué","")</f>
        <v>1770</v>
      </c>
      <c r="I12" t="s" s="546">
        <f>_xlfn.IFERROR(IF(VLOOKUP($E12,'BDD'!$A$1:$S$567,MATCH(I$10,'BDD'!$A$1:$P$1,0),FALSE)=0,"",VLOOKUP($E12,'BDD'!$A$1:$S$567,MATCH(I$10,'BDD'!$A$1:$P$1,0),FALSE)),"")</f>
        <v>283</v>
      </c>
      <c r="J12" s="549"/>
      <c r="K12" t="s" s="547">
        <f>_xlfn.IFERROR(IF(VLOOKUP($E12,'BDD'!$A$1:$S$567,MATCH(K$10,'BDD'!$A$1:$P$1,0),FALSE)=0,"",VLOOKUP($E12,'BDD'!$A$1:$S$567,MATCH(K$10,'BDD'!$A$1:$P$1,0),FALSE)),"")</f>
        <v>980</v>
      </c>
      <c r="L12" s="550"/>
      <c r="M12" s="551"/>
      <c r="N12" s="551"/>
      <c r="O12" s="534"/>
      <c r="P12" s="890"/>
    </row>
    <row r="13" ht="311.4" customHeight="1">
      <c r="A13" s="887"/>
      <c r="B13" s="542"/>
      <c r="C13" t="s" s="543">
        <f>IF(LEFT(RIGHT($B$1,2),1)=" ",RIGHT($B$1,1),RIGHT($B$1,2))</f>
        <v>2173</v>
      </c>
      <c r="D13" s="544">
        <f>IF(LEFT(F13,14)="Bonne pratique",D12+1,D12)</f>
        <v>1</v>
      </c>
      <c r="E13" t="s" s="545">
        <f>C13&amp;D13&amp;RIGHT(F13,1)</f>
        <v>2175</v>
      </c>
      <c r="F13" t="s" s="552">
        <v>1772</v>
      </c>
      <c r="G13" t="s" s="540">
        <f>_xlfn.IFERROR(IF(VLOOKUP($E13,'BDD'!$A$1:$S$567,MATCH(G$10,'BDD'!$A$1:$P$1,0),FALSE)=0,"",VLOOKUP($E13,'BDD'!$A$1:$S$567,MATCH(G$10,'BDD'!$A$1:$P$1,0),FALSE)),"")</f>
        <v>984</v>
      </c>
      <c r="H13" t="s" s="553">
        <f>IF(VLOOKUP(E13,'BDD'!$A$1:$S$567,15,FALSE)=0,"Critère non évalué","")</f>
        <v>1770</v>
      </c>
      <c r="I13" t="s" s="552">
        <f>_xlfn.IFERROR(IF(VLOOKUP($E13,'BDD'!$A$1:$S$567,MATCH(I$10,'BDD'!$A$1:$P$1,0),FALSE)=0,"",VLOOKUP($E13,'BDD'!$A$1:$S$567,MATCH(I$10,'BDD'!$A$1:$P$1,0),FALSE)),"")</f>
        <v>263</v>
      </c>
      <c r="J13" s="554"/>
      <c r="K13" t="s" s="540">
        <f>_xlfn.IFERROR(IF(VLOOKUP($E13,'BDD'!$A$1:$S$567,MATCH(K$10,'BDD'!$A$1:$P$1,0),FALSE)=0,"",VLOOKUP($E13,'BDD'!$A$1:$S$567,MATCH(K$10,'BDD'!$A$1:$P$1,0),FALSE)),"")</f>
        <v>985</v>
      </c>
      <c r="L13" s="550"/>
      <c r="M13" s="555"/>
      <c r="N13" s="555"/>
      <c r="O13" s="534"/>
      <c r="P13" s="890"/>
    </row>
    <row r="14" ht="130.05" customHeight="1">
      <c r="A14" s="887"/>
      <c r="B14" s="542"/>
      <c r="C14" t="s" s="543">
        <f>IF(LEFT(RIGHT($B$1,2),1)=" ",RIGHT($B$1,1),RIGHT($B$1,2))</f>
        <v>2173</v>
      </c>
      <c r="D14" s="544">
        <f>IF(LEFT(F14,14)="Bonne pratique",D13+1,D13)</f>
        <v>1</v>
      </c>
      <c r="E14" t="s" s="545">
        <f>C14&amp;D14&amp;RIGHT(F14,1)</f>
        <v>2176</v>
      </c>
      <c r="F14" t="s" s="546">
        <v>1774</v>
      </c>
      <c r="G14" t="s" s="547">
        <f>_xlfn.IFERROR(IF(VLOOKUP($E14,'BDD'!$A$1:$S$567,MATCH(G$10,'BDD'!$A$1:$P$1,0),FALSE)=0,"",VLOOKUP($E14,'BDD'!$A$1:$S$567,MATCH(G$10,'BDD'!$A$1:$P$1,0),FALSE)),"")</f>
        <v>990</v>
      </c>
      <c r="H14" t="s" s="548">
        <f>IF(VLOOKUP(E14,'BDD'!$A$1:$S$567,15,FALSE)=0,"Critère non évalué","")</f>
        <v>1770</v>
      </c>
      <c r="I14" t="s" s="546">
        <f>_xlfn.IFERROR(IF(VLOOKUP($E14,'BDD'!$A$1:$S$567,MATCH(I$10,'BDD'!$A$1:$P$1,0),FALSE)=0,"",VLOOKUP($E14,'BDD'!$A$1:$S$567,MATCH(I$10,'BDD'!$A$1:$P$1,0),FALSE)),"")</f>
        <v>263</v>
      </c>
      <c r="J14" s="549"/>
      <c r="K14" t="s" s="547">
        <f>_xlfn.IFERROR(IF(VLOOKUP($E14,'BDD'!$A$1:$S$567,MATCH(K$10,'BDD'!$A$1:$P$1,0),FALSE)=0,"",VLOOKUP($E14,'BDD'!$A$1:$S$567,MATCH(K$10,'BDD'!$A$1:$P$1,0),FALSE)),"")</f>
      </c>
      <c r="L14" s="550"/>
      <c r="M14" s="551"/>
      <c r="N14" s="551"/>
      <c r="O14" s="534"/>
      <c r="P14" s="890"/>
    </row>
    <row r="15" ht="130.05" customHeight="1">
      <c r="A15" s="887"/>
      <c r="B15" s="542"/>
      <c r="C15" t="s" s="543">
        <f>IF(LEFT(RIGHT($B$1,2),1)=" ",RIGHT($B$1,1),RIGHT($B$1,2))</f>
        <v>2173</v>
      </c>
      <c r="D15" s="544">
        <f>IF(LEFT(F15,14)="Bonne pratique",D14+1,D14)</f>
        <v>1</v>
      </c>
      <c r="E15" t="s" s="545">
        <f>C15&amp;D15&amp;RIGHT(F15,1)</f>
        <v>2177</v>
      </c>
      <c r="F15" t="s" s="552">
        <v>1776</v>
      </c>
      <c r="G15" t="s" s="540">
        <f>_xlfn.IFERROR(IF(VLOOKUP($E15,'BDD'!$A$1:$S$567,MATCH(G$10,'BDD'!$A$1:$P$1,0),FALSE)=0,"",VLOOKUP($E15,'BDD'!$A$1:$S$567,MATCH(G$10,'BDD'!$A$1:$P$1,0),FALSE)),"")</f>
        <v>994</v>
      </c>
      <c r="H15" t="s" s="553">
        <f>IF(VLOOKUP(E15,'BDD'!$A$1:$S$567,15,FALSE)=0,"Critère non évalué","")</f>
        <v>1770</v>
      </c>
      <c r="I15" t="s" s="552">
        <f>_xlfn.IFERROR(IF(VLOOKUP($E15,'BDD'!$A$1:$S$567,MATCH(I$10,'BDD'!$A$1:$P$1,0),FALSE)=0,"",VLOOKUP($E15,'BDD'!$A$1:$S$567,MATCH(I$10,'BDD'!$A$1:$P$1,0),FALSE)),"")</f>
        <v>271</v>
      </c>
      <c r="J15" s="556"/>
      <c r="K15" t="s" s="540">
        <f>_xlfn.IFERROR(IF(VLOOKUP($E15,'BDD'!$A$1:$S$567,MATCH(K$10,'BDD'!$A$1:$P$1,0),FALSE)=0,"",VLOOKUP($E15,'BDD'!$A$1:$S$567,MATCH(K$10,'BDD'!$A$1:$P$1,0),FALSE)),"")</f>
        <v>995</v>
      </c>
      <c r="L15" s="550"/>
      <c r="M15" s="555"/>
      <c r="N15" s="555"/>
      <c r="O15" s="534"/>
      <c r="P15" s="890"/>
    </row>
    <row r="16" ht="130.05" customHeight="1" hidden="1">
      <c r="A16" s="887"/>
      <c r="B16" s="542"/>
      <c r="C16" t="s" s="543">
        <f>IF(LEFT(RIGHT($B$1,2),1)=" ",RIGHT($B$1,1),RIGHT($B$1,2))</f>
        <v>2173</v>
      </c>
      <c r="D16" s="544">
        <f>IF(LEFT(F16,14)="Bonne pratique",D15+1,D15)</f>
        <v>1</v>
      </c>
      <c r="E16" t="s" s="545">
        <f>C16&amp;D16&amp;RIGHT(F16,1)</f>
        <v>2178</v>
      </c>
      <c r="F16" t="s" s="546">
        <v>1778</v>
      </c>
      <c r="G16" t="s" s="547">
        <f>_xlfn.IFERROR(IF(VLOOKUP($E16,'BDD'!$A$1:$S$567,MATCH(G$10,'BDD'!$A$1:$P$1,0),FALSE)=0,"",VLOOKUP($E16,'BDD'!$A$1:$S$567,MATCH(G$10,'BDD'!$A$1:$P$1,0),FALSE)),"")</f>
      </c>
      <c r="H16" t="s" s="548">
        <f>IF(VLOOKUP(E16,'BDD'!$A$1:$S$567,15,FALSE)=0,"Critère non évalué","")</f>
        <v>1770</v>
      </c>
      <c r="I16" t="s" s="546">
        <f>_xlfn.IFERROR(IF(VLOOKUP($E16,'BDD'!$A$1:$S$567,MATCH(I$10,'BDD'!$A$1:$P$1,0),FALSE)=0,"",VLOOKUP($E16,'BDD'!$A$1:$S$567,MATCH(I$10,'BDD'!$A$1:$P$1,0),FALSE)),"")</f>
        <v>171</v>
      </c>
      <c r="J16" s="549"/>
      <c r="K16" t="s" s="547">
        <f>_xlfn.IFERROR(IF(VLOOKUP($E16,'BDD'!$A$1:$S$567,MATCH(K$10,'BDD'!$A$1:$P$1,0),FALSE)=0,"",VLOOKUP($E16,'BDD'!$A$1:$S$567,MATCH(K$10,'BDD'!$A$1:$P$1,0),FALSE)),"")</f>
      </c>
      <c r="L16" s="550"/>
      <c r="M16" s="557"/>
      <c r="N16" s="557"/>
      <c r="O16" s="534"/>
      <c r="P16" s="890"/>
    </row>
    <row r="17" ht="130.05" customHeight="1" hidden="1">
      <c r="A17" s="887"/>
      <c r="B17" s="542"/>
      <c r="C17" t="s" s="543">
        <f>IF(LEFT(RIGHT($B$1,2),1)=" ",RIGHT($B$1,1),RIGHT($B$1,2))</f>
        <v>2173</v>
      </c>
      <c r="D17" s="544">
        <f>IF(LEFT(F17,14)="Bonne pratique",D16+1,D16)</f>
        <v>1</v>
      </c>
      <c r="E17" t="s" s="545">
        <f>C17&amp;D17&amp;RIGHT(F17,1)</f>
        <v>2179</v>
      </c>
      <c r="F17" t="s" s="552">
        <v>1780</v>
      </c>
      <c r="G17" t="s" s="540">
        <f>_xlfn.IFERROR(IF(VLOOKUP($E17,'BDD'!$A$1:$S$567,MATCH(G$10,'BDD'!$A$1:$P$1,0),FALSE)=0,"",VLOOKUP($E17,'BDD'!$A$1:$S$567,MATCH(G$10,'BDD'!$A$1:$P$1,0),FALSE)),"")</f>
      </c>
      <c r="H17" t="s" s="553">
        <f>IF(VLOOKUP(E17,'BDD'!$A$1:$S$567,15,FALSE)=0,"Critère non évalué","")</f>
        <v>1770</v>
      </c>
      <c r="I17" t="s" s="552">
        <f>_xlfn.IFERROR(IF(VLOOKUP($E17,'BDD'!$A$1:$S$567,MATCH(I$10,'BDD'!$A$1:$P$1,0),FALSE)=0,"",VLOOKUP($E17,'BDD'!$A$1:$S$567,MATCH(I$10,'BDD'!$A$1:$P$1,0),FALSE)),"")</f>
        <v>171</v>
      </c>
      <c r="J17" s="554"/>
      <c r="K17" t="s" s="540">
        <f>_xlfn.IFERROR(IF(VLOOKUP($E17,'BDD'!$A$1:$S$567,MATCH(K$10,'BDD'!$A$1:$P$1,0),FALSE)=0,"",VLOOKUP($E17,'BDD'!$A$1:$S$567,MATCH(K$10,'BDD'!$A$1:$P$1,0),FALSE)),"")</f>
      </c>
      <c r="L17" s="550"/>
      <c r="M17" s="555"/>
      <c r="N17" s="555"/>
      <c r="O17" s="534"/>
      <c r="P17" s="890"/>
    </row>
    <row r="18" ht="130.05" customHeight="1" hidden="1">
      <c r="A18" s="887"/>
      <c r="B18" s="542"/>
      <c r="C18" t="s" s="543">
        <f>IF(LEFT(RIGHT($B$1,2),1)=" ",RIGHT($B$1,1),RIGHT($B$1,2))</f>
        <v>2173</v>
      </c>
      <c r="D18" s="544">
        <f>IF(LEFT(F18,14)="Bonne pratique",D17+1,D17)</f>
        <v>1</v>
      </c>
      <c r="E18" t="s" s="545">
        <f>C18&amp;D18&amp;RIGHT(F18,1)</f>
        <v>2180</v>
      </c>
      <c r="F18" t="s" s="546">
        <v>1782</v>
      </c>
      <c r="G18" t="s" s="547">
        <f>_xlfn.IFERROR(IF(VLOOKUP($E18,'BDD'!$A$1:$S$567,MATCH(G$10,'BDD'!$A$1:$P$1,0),FALSE)=0,"",VLOOKUP($E18,'BDD'!$A$1:$S$567,MATCH(G$10,'BDD'!$A$1:$P$1,0),FALSE)),"")</f>
      </c>
      <c r="H18" t="s" s="548">
        <f>IF(VLOOKUP(E18,'BDD'!$A$1:$S$567,15,FALSE)=0,"Critère non évalué","")</f>
        <v>1770</v>
      </c>
      <c r="I18" t="s" s="546">
        <f>_xlfn.IFERROR(IF(VLOOKUP($E18,'BDD'!$A$1:$S$567,MATCH(I$10,'BDD'!$A$1:$P$1,0),FALSE)=0,"",VLOOKUP($E18,'BDD'!$A$1:$S$567,MATCH(I$10,'BDD'!$A$1:$P$1,0),FALSE)),"")</f>
        <v>171</v>
      </c>
      <c r="J18" s="549"/>
      <c r="K18" t="s" s="547">
        <f>_xlfn.IFERROR(IF(VLOOKUP($E18,'BDD'!$A$1:$S$567,MATCH(K$10,'BDD'!$A$1:$P$1,0),FALSE)=0,"",VLOOKUP($E18,'BDD'!$A$1:$S$567,MATCH(K$10,'BDD'!$A$1:$P$1,0),FALSE)),"")</f>
      </c>
      <c r="L18" s="550"/>
      <c r="M18" s="557"/>
      <c r="N18" s="557"/>
      <c r="O18" s="534"/>
      <c r="P18" s="890"/>
    </row>
    <row r="19" ht="18" customHeight="1">
      <c r="A19" s="887"/>
      <c r="B19" s="61"/>
      <c r="C19" t="s" s="513">
        <f>IF(LEFT(RIGHT($B$1,2),1)=" ",RIGHT($B$1,1),RIGHT($B$1,2))</f>
        <v>2173</v>
      </c>
      <c r="D19" s="514">
        <f>IF(LEFT(F19,14)="Bonne pratique",D18+1,D18)</f>
        <v>1</v>
      </c>
      <c r="E19" t="s" s="558">
        <f>C19&amp;D19&amp;RIGHT(F19,1)</f>
        <v>2181</v>
      </c>
      <c r="F19" s="559"/>
      <c r="G19" t="s" s="560">
        <f>IF('Suppl'!B80=2,"Le vecteur n'est pas utilisé","")</f>
      </c>
      <c r="H19" s="561"/>
      <c r="I19" s="561"/>
      <c r="J19" s="561"/>
      <c r="K19" s="561"/>
      <c r="L19" s="510"/>
      <c r="M19" s="559"/>
      <c r="N19" s="559"/>
      <c r="O19" s="61"/>
      <c r="P19" s="890"/>
    </row>
    <row r="20" ht="15" customHeight="1">
      <c r="A20" s="887"/>
      <c r="B20" s="61"/>
      <c r="C20" t="s" s="513">
        <f>IF(LEFT(RIGHT($B$1,2),1)=" ",RIGHT($B$1,1),RIGHT($B$1,2))</f>
        <v>2173</v>
      </c>
      <c r="D20" s="514">
        <f>IF(LEFT(F20,14)="Bonne pratique",D19+1,D19)</f>
        <v>1</v>
      </c>
      <c r="E20" t="s" s="558">
        <f>C20&amp;D20&amp;RIGHT(F20,1)</f>
        <v>2181</v>
      </c>
      <c r="F20" s="61"/>
      <c r="G20" s="61"/>
      <c r="H20" s="61"/>
      <c r="I20" s="61"/>
      <c r="J20" s="61"/>
      <c r="K20" s="61"/>
      <c r="L20" s="61"/>
      <c r="M20" s="61"/>
      <c r="N20" s="61"/>
      <c r="O20" s="61"/>
      <c r="P20" s="890"/>
    </row>
    <row r="21" ht="25.8" customHeight="1">
      <c r="A21" s="891"/>
      <c r="B21" s="512"/>
      <c r="C21" t="s" s="513">
        <f>IF(LEFT(RIGHT($B$1,2),1)=" ",RIGHT($B$1,1),RIGHT($B$1,2))</f>
        <v>2173</v>
      </c>
      <c r="D21" s="514">
        <f>IF(LEFT(F21,14)="Bonne pratique",D20+1,D20)</f>
        <v>2</v>
      </c>
      <c r="E21" t="s" s="558">
        <f>C21&amp;D21&amp;RIGHT(F21,1)</f>
        <v>2182</v>
      </c>
      <c r="F21" t="s" s="516">
        <v>1785</v>
      </c>
      <c r="G21" s="517"/>
      <c r="H21" s="518"/>
      <c r="I21" s="519"/>
      <c r="J21" t="s" s="520">
        <f>VLOOKUP(E28,'BDD'!$A$2:$N$567,6,FALSE)</f>
        <v>1000</v>
      </c>
      <c r="K21" s="521"/>
      <c r="L21" s="517"/>
      <c r="M21" s="517"/>
      <c r="N21" s="517"/>
      <c r="O21" s="512"/>
      <c r="P21" s="892"/>
    </row>
    <row r="22" ht="15" customHeight="1">
      <c r="A22" s="887"/>
      <c r="B22" s="61"/>
      <c r="C22" t="s" s="513">
        <f>IF(LEFT(RIGHT($B$1,2),1)=" ",RIGHT($B$1,1),RIGHT($B$1,2))</f>
        <v>2173</v>
      </c>
      <c r="D22" s="514">
        <f>IF(LEFT(F22,14)="Bonne pratique",D21+1,D21)</f>
        <v>2</v>
      </c>
      <c r="E22" t="s" s="558">
        <f>C22&amp;D22&amp;RIGHT(F22,1)</f>
        <v>2183</v>
      </c>
      <c r="F22" s="61"/>
      <c r="G22" s="61"/>
      <c r="H22" s="61"/>
      <c r="I22" s="61"/>
      <c r="J22" s="61"/>
      <c r="K22" s="61"/>
      <c r="L22" s="61"/>
      <c r="M22" s="61"/>
      <c r="N22" s="61"/>
      <c r="O22" s="61"/>
      <c r="P22" s="890"/>
    </row>
    <row r="23" ht="18" customHeight="1">
      <c r="A23" s="893"/>
      <c r="B23" s="524"/>
      <c r="C23" t="s" s="513">
        <f>IF(LEFT(RIGHT($B$1,2),1)=" ",RIGHT($B$1,1),RIGHT($B$1,2))</f>
        <v>2173</v>
      </c>
      <c r="D23" s="514">
        <f>IF(LEFT(F23,14)="Bonne pratique",D22+1,D22)</f>
        <v>2</v>
      </c>
      <c r="E23" t="s" s="558">
        <f>C23&amp;D23&amp;RIGHT(F23,1)</f>
        <v>2183</v>
      </c>
      <c r="F23" s="524"/>
      <c r="G23" s="524"/>
      <c r="H23" s="524"/>
      <c r="I23" s="525"/>
      <c r="J23" t="s" s="526">
        <v>1001</v>
      </c>
      <c r="K23" s="525"/>
      <c r="L23" s="524"/>
      <c r="M23" s="524"/>
      <c r="N23" s="524"/>
      <c r="O23" s="524"/>
      <c r="P23" s="894"/>
    </row>
    <row r="24" ht="18" customHeight="1">
      <c r="A24" s="887"/>
      <c r="B24" s="61"/>
      <c r="C24" t="s" s="513">
        <f>IF(LEFT(RIGHT($B$1,2),1)=" ",RIGHT($B$1,1),RIGHT($B$1,2))</f>
        <v>2173</v>
      </c>
      <c r="D24" s="514">
        <f>IF(LEFT(F24,14)="Bonne pratique",D23+1,D23)</f>
        <v>2</v>
      </c>
      <c r="E24" t="s" s="558">
        <f>C24&amp;D24&amp;RIGHT(F24,1)</f>
        <v>2183</v>
      </c>
      <c r="F24" s="61"/>
      <c r="G24" s="61"/>
      <c r="H24" s="61"/>
      <c r="I24" s="61"/>
      <c r="J24" s="528"/>
      <c r="K24" s="61"/>
      <c r="L24" s="61"/>
      <c r="M24" s="529"/>
      <c r="N24" s="529"/>
      <c r="O24" s="61"/>
      <c r="P24" s="890"/>
    </row>
    <row r="25" ht="15" customHeight="1">
      <c r="A25" s="887"/>
      <c r="B25" s="61"/>
      <c r="C25" t="s" s="513">
        <f>IF(LEFT(RIGHT($B$1,2),1)=" ",RIGHT($B$1,1),RIGHT($B$1,2))</f>
        <v>2173</v>
      </c>
      <c r="D25" s="514">
        <f>IF(LEFT(F25,14)="Bonne pratique",D24+1,D24)</f>
        <v>2</v>
      </c>
      <c r="E25" t="s" s="558">
        <f>C25&amp;D25&amp;RIGHT(F25,1)</f>
        <v>2183</v>
      </c>
      <c r="F25" s="61"/>
      <c r="G25" s="529"/>
      <c r="H25" s="529"/>
      <c r="I25" s="529"/>
      <c r="J25" s="530"/>
      <c r="K25" s="529"/>
      <c r="L25" s="542"/>
      <c r="M25" t="s" s="562">
        <v>1763</v>
      </c>
      <c r="N25" s="563"/>
      <c r="O25" s="534"/>
      <c r="P25" s="890"/>
    </row>
    <row r="26" ht="33" customHeight="1">
      <c r="A26" s="887"/>
      <c r="B26" s="61"/>
      <c r="C26" t="s" s="513">
        <f>IF(LEFT(RIGHT($B$1,2),1)=" ",RIGHT($B$1,1),RIGHT($B$1,2))</f>
        <v>2173</v>
      </c>
      <c r="D26" s="514">
        <f>IF(LEFT(F26,14)="Bonne pratique",D25+1,D25)</f>
        <v>2</v>
      </c>
      <c r="E26" t="s" s="558">
        <f>C26&amp;D26&amp;RIGHT(F26,1)</f>
        <v>2183</v>
      </c>
      <c r="F26" s="564"/>
      <c r="G26" t="s" s="536">
        <v>244</v>
      </c>
      <c r="H26" t="s" s="536">
        <v>1764</v>
      </c>
      <c r="I26" t="s" s="536">
        <v>1787</v>
      </c>
      <c r="J26" t="s" s="536">
        <v>1765</v>
      </c>
      <c r="K26" t="s" s="536">
        <v>1788</v>
      </c>
      <c r="L26" s="538"/>
      <c r="M26" t="s" s="539">
        <v>1766</v>
      </c>
      <c r="N26" t="s" s="540">
        <v>1767</v>
      </c>
      <c r="O26" s="534"/>
      <c r="P26" s="890"/>
    </row>
    <row r="27" ht="15" customHeight="1">
      <c r="A27" s="887"/>
      <c r="B27" s="61"/>
      <c r="C27" t="s" s="513">
        <f>IF(LEFT(RIGHT($B$1,2),1)=" ",RIGHT($B$1,1),RIGHT($B$1,2))</f>
        <v>2173</v>
      </c>
      <c r="D27" s="514">
        <f>IF(LEFT(F27,14)="Bonne pratique",D26+1,D26)</f>
        <v>2</v>
      </c>
      <c r="E27" t="s" s="558">
        <f>C27&amp;D27&amp;RIGHT(F27,1)</f>
        <v>2183</v>
      </c>
      <c r="F27" s="529"/>
      <c r="G27" s="541"/>
      <c r="H27" s="541"/>
      <c r="I27" s="541"/>
      <c r="J27" s="541"/>
      <c r="K27" s="541"/>
      <c r="L27" s="61"/>
      <c r="M27" s="541"/>
      <c r="N27" s="541"/>
      <c r="O27" s="61"/>
      <c r="P27" s="890"/>
    </row>
    <row r="28" ht="210.6" customHeight="1">
      <c r="A28" s="887"/>
      <c r="B28" s="542"/>
      <c r="C28" t="s" s="543">
        <f>IF(LEFT(RIGHT($B$1,2),1)=" ",RIGHT($B$1,1),RIGHT($B$1,2))</f>
        <v>2173</v>
      </c>
      <c r="D28" s="544">
        <f>IF(LEFT(F28,14)="Bonne pratique",D27+1,D27)</f>
        <v>2</v>
      </c>
      <c r="E28" t="s" s="545">
        <f>C28&amp;D28&amp;RIGHT(F28,1)</f>
        <v>2184</v>
      </c>
      <c r="F28" t="s" s="546">
        <v>1769</v>
      </c>
      <c r="G28" t="s" s="547">
        <f>_xlfn.IFERROR(IF(VLOOKUP($E28,'BDD'!$A$1:$S$567,MATCH(G$10,'BDD'!$A$1:$P$1,0),FALSE)=0,"",VLOOKUP($E28,'BDD'!$A$1:$S$567,MATCH(G$10,'BDD'!$A$1:$P$1,0),FALSE)),"")</f>
        <v>1003</v>
      </c>
      <c r="H28" t="s" s="548">
        <f>IF(VLOOKUP(E28,'BDD'!$A$1:$S$567,15,FALSE)=0,"Critère non évalué","")</f>
        <v>1770</v>
      </c>
      <c r="I28" t="s" s="546">
        <f>_xlfn.IFERROR(IF(VLOOKUP($E28,'BDD'!$A$1:$S$567,MATCH(I$10,'BDD'!$A$1:$P$1,0),FALSE)=0,"",VLOOKUP($E28,'BDD'!$A$1:$S$567,MATCH(I$10,'BDD'!$A$1:$P$1,0),FALSE)),"")</f>
        <v>283</v>
      </c>
      <c r="J28" s="549"/>
      <c r="K28" t="s" s="547">
        <f>_xlfn.IFERROR(IF(VLOOKUP($E28,'BDD'!$A$1:$S$567,MATCH(K$10,'BDD'!$A$1:$P$1,0),FALSE)=0,"",VLOOKUP($E28,'BDD'!$A$1:$S$567,MATCH(K$10,'BDD'!$A$1:$P$1,0),FALSE)),"")</f>
        <v>1004</v>
      </c>
      <c r="L28" s="550"/>
      <c r="M28" s="551"/>
      <c r="N28" s="551"/>
      <c r="O28" s="534"/>
      <c r="P28" s="890"/>
    </row>
    <row r="29" ht="130.05" customHeight="1">
      <c r="A29" s="887"/>
      <c r="B29" s="542"/>
      <c r="C29" t="s" s="543">
        <f>IF(LEFT(RIGHT($B$1,2),1)=" ",RIGHT($B$1,1),RIGHT($B$1,2))</f>
        <v>2173</v>
      </c>
      <c r="D29" s="544">
        <f>IF(LEFT(F29,14)="Bonne pratique",D28+1,D28)</f>
        <v>2</v>
      </c>
      <c r="E29" t="s" s="545">
        <f>C29&amp;D29&amp;RIGHT(F29,1)</f>
        <v>2182</v>
      </c>
      <c r="F29" t="s" s="552">
        <v>1772</v>
      </c>
      <c r="G29" t="s" s="540">
        <f>_xlfn.IFERROR(IF(VLOOKUP($E29,'BDD'!$A$1:$S$567,MATCH(G$10,'BDD'!$A$1:$P$1,0),FALSE)=0,"",VLOOKUP($E29,'BDD'!$A$1:$S$567,MATCH(G$10,'BDD'!$A$1:$P$1,0),FALSE)),"")</f>
        <v>1006</v>
      </c>
      <c r="H29" t="s" s="553">
        <f>IF(VLOOKUP(E29,'BDD'!$A$1:$S$567,15,FALSE)=0,"Critère non évalué","")</f>
        <v>1770</v>
      </c>
      <c r="I29" t="s" s="552">
        <f>_xlfn.IFERROR(IF(VLOOKUP($E29,'BDD'!$A$1:$S$567,MATCH(I$10,'BDD'!$A$1:$P$1,0),FALSE)=0,"",VLOOKUP($E29,'BDD'!$A$1:$S$567,MATCH(I$10,'BDD'!$A$1:$P$1,0),FALSE)),"")</f>
        <v>263</v>
      </c>
      <c r="J29" s="554"/>
      <c r="K29" t="s" s="540">
        <f>_xlfn.IFERROR(IF(VLOOKUP($E29,'BDD'!$A$1:$S$567,MATCH(K$10,'BDD'!$A$1:$P$1,0),FALSE)=0,"",VLOOKUP($E29,'BDD'!$A$1:$S$567,MATCH(K$10,'BDD'!$A$1:$P$1,0),FALSE)),"")</f>
        <v>1007</v>
      </c>
      <c r="L29" s="550"/>
      <c r="M29" s="555"/>
      <c r="N29" s="555"/>
      <c r="O29" s="534"/>
      <c r="P29" s="890"/>
    </row>
    <row r="30" ht="130.05" customHeight="1">
      <c r="A30" s="887"/>
      <c r="B30" s="542"/>
      <c r="C30" t="s" s="543">
        <f>IF(LEFT(RIGHT($B$1,2),1)=" ",RIGHT($B$1,1),RIGHT($B$1,2))</f>
        <v>2173</v>
      </c>
      <c r="D30" s="544">
        <f>IF(LEFT(F30,14)="Bonne pratique",D29+1,D29)</f>
        <v>2</v>
      </c>
      <c r="E30" t="s" s="545">
        <f>C30&amp;D30&amp;RIGHT(F30,1)</f>
        <v>2185</v>
      </c>
      <c r="F30" t="s" s="546">
        <v>1774</v>
      </c>
      <c r="G30" t="s" s="547">
        <f>_xlfn.IFERROR(IF(VLOOKUP($E30,'BDD'!$A$1:$S$567,MATCH(G$10,'BDD'!$A$1:$P$1,0),FALSE)=0,"",VLOOKUP($E30,'BDD'!$A$1:$S$567,MATCH(G$10,'BDD'!$A$1:$P$1,0),FALSE)),"")</f>
        <v>1009</v>
      </c>
      <c r="H30" t="s" s="548">
        <f>IF(VLOOKUP(E30,'BDD'!$A$1:$S$567,15,FALSE)=0,"Critère non évalué","")</f>
        <v>1770</v>
      </c>
      <c r="I30" t="s" s="546">
        <f>_xlfn.IFERROR(IF(VLOOKUP($E30,'BDD'!$A$1:$S$567,MATCH(I$10,'BDD'!$A$1:$P$1,0),FALSE)=0,"",VLOOKUP($E30,'BDD'!$A$1:$S$567,MATCH(I$10,'BDD'!$A$1:$P$1,0),FALSE)),"")</f>
        <v>271</v>
      </c>
      <c r="J30" s="549"/>
      <c r="K30" t="s" s="547">
        <f>_xlfn.IFERROR(IF(VLOOKUP($E30,'BDD'!$A$1:$S$567,MATCH(K$10,'BDD'!$A$1:$P$1,0),FALSE)=0,"",VLOOKUP($E30,'BDD'!$A$1:$S$567,MATCH(K$10,'BDD'!$A$1:$P$1,0),FALSE)),"")</f>
        <v>1010</v>
      </c>
      <c r="L30" s="550"/>
      <c r="M30" s="551"/>
      <c r="N30" s="551"/>
      <c r="O30" s="534"/>
      <c r="P30" s="890"/>
    </row>
    <row r="31" ht="130.05" customHeight="1">
      <c r="A31" s="887"/>
      <c r="B31" s="542"/>
      <c r="C31" t="s" s="543">
        <f>IF(LEFT(RIGHT($B$1,2),1)=" ",RIGHT($B$1,1),RIGHT($B$1,2))</f>
        <v>2173</v>
      </c>
      <c r="D31" s="544">
        <f>IF(LEFT(F31,14)="Bonne pratique",D30+1,D30)</f>
        <v>2</v>
      </c>
      <c r="E31" t="s" s="545">
        <f>C31&amp;D31&amp;RIGHT(F31,1)</f>
        <v>2186</v>
      </c>
      <c r="F31" t="s" s="552">
        <v>1776</v>
      </c>
      <c r="G31" t="s" s="540">
        <f>_xlfn.IFERROR(IF(VLOOKUP($E31,'BDD'!$A$1:$S$567,MATCH(G$10,'BDD'!$A$1:$P$1,0),FALSE)=0,"",VLOOKUP($E31,'BDD'!$A$1:$S$567,MATCH(G$10,'BDD'!$A$1:$P$1,0),FALSE)),"")</f>
        <v>1012</v>
      </c>
      <c r="H31" t="s" s="553">
        <f>IF(VLOOKUP(E31,'BDD'!$A$1:$S$567,15,FALSE)=0,"Critère non évalué","")</f>
        <v>1770</v>
      </c>
      <c r="I31" t="s" s="552">
        <f>_xlfn.IFERROR(IF(VLOOKUP($E31,'BDD'!$A$1:$S$567,MATCH(I$10,'BDD'!$A$1:$P$1,0),FALSE)=0,"",VLOOKUP($E31,'BDD'!$A$1:$S$567,MATCH(I$10,'BDD'!$A$1:$P$1,0),FALSE)),"")</f>
        <v>263</v>
      </c>
      <c r="J31" s="556"/>
      <c r="K31" t="s" s="540">
        <f>_xlfn.IFERROR(IF(VLOOKUP($E31,'BDD'!$A$1:$S$567,MATCH(K$10,'BDD'!$A$1:$P$1,0),FALSE)=0,"",VLOOKUP($E31,'BDD'!$A$1:$S$567,MATCH(K$10,'BDD'!$A$1:$P$1,0),FALSE)),"")</f>
        <v>1013</v>
      </c>
      <c r="L31" s="550"/>
      <c r="M31" s="555"/>
      <c r="N31" s="555"/>
      <c r="O31" s="534"/>
      <c r="P31" s="890"/>
    </row>
    <row r="32" ht="130.05" customHeight="1">
      <c r="A32" s="887"/>
      <c r="B32" s="542"/>
      <c r="C32" t="s" s="543">
        <f>IF(LEFT(RIGHT($B$1,2),1)=" ",RIGHT($B$1,1),RIGHT($B$1,2))</f>
        <v>2173</v>
      </c>
      <c r="D32" s="544">
        <f>IF(LEFT(F32,14)="Bonne pratique",D31+1,D31)</f>
        <v>2</v>
      </c>
      <c r="E32" t="s" s="545">
        <f>C32&amp;D32&amp;RIGHT(F32,1)</f>
        <v>2187</v>
      </c>
      <c r="F32" t="s" s="546">
        <v>1778</v>
      </c>
      <c r="G32" t="s" s="547">
        <f>_xlfn.IFERROR(IF(VLOOKUP($E32,'BDD'!$A$1:$S$567,MATCH(G$10,'BDD'!$A$1:$P$1,0),FALSE)=0,"",VLOOKUP($E32,'BDD'!$A$1:$S$567,MATCH(G$10,'BDD'!$A$1:$P$1,0),FALSE)),"")</f>
        <v>1015</v>
      </c>
      <c r="H32" t="s" s="548">
        <f>IF(VLOOKUP(E32,'BDD'!$A$1:$S$567,15,FALSE)=0,"Critère non évalué","")</f>
        <v>1770</v>
      </c>
      <c r="I32" t="s" s="546">
        <f>_xlfn.IFERROR(IF(VLOOKUP($E32,'BDD'!$A$1:$S$567,MATCH(I$10,'BDD'!$A$1:$P$1,0),FALSE)=0,"",VLOOKUP($E32,'BDD'!$A$1:$S$567,MATCH(I$10,'BDD'!$A$1:$P$1,0),FALSE)),"")</f>
        <v>291</v>
      </c>
      <c r="J32" s="549"/>
      <c r="K32" t="s" s="547">
        <f>_xlfn.IFERROR(IF(VLOOKUP($E32,'BDD'!$A$1:$S$567,MATCH(K$10,'BDD'!$A$1:$P$1,0),FALSE)=0,"",VLOOKUP($E32,'BDD'!$A$1:$S$567,MATCH(K$10,'BDD'!$A$1:$P$1,0),FALSE)),"")</f>
        <v>1016</v>
      </c>
      <c r="L32" s="550"/>
      <c r="M32" s="557"/>
      <c r="N32" s="557"/>
      <c r="O32" s="534"/>
      <c r="P32" s="890"/>
    </row>
    <row r="33" ht="130.05" customHeight="1">
      <c r="A33" s="887"/>
      <c r="B33" s="542"/>
      <c r="C33" t="s" s="543">
        <f>IF(LEFT(RIGHT($B$1,2),1)=" ",RIGHT($B$1,1),RIGHT($B$1,2))</f>
        <v>2173</v>
      </c>
      <c r="D33" s="544">
        <f>IF(LEFT(F33,14)="Bonne pratique",D32+1,D32)</f>
        <v>2</v>
      </c>
      <c r="E33" t="s" s="545">
        <f>C33&amp;D33&amp;RIGHT(F33,1)</f>
        <v>2188</v>
      </c>
      <c r="F33" t="s" s="552">
        <v>1780</v>
      </c>
      <c r="G33" t="s" s="540">
        <f>_xlfn.IFERROR(IF(VLOOKUP($E33,'BDD'!$A$1:$S$567,MATCH(G$10,'BDD'!$A$1:$P$1,0),FALSE)=0,"",VLOOKUP($E33,'BDD'!$A$1:$S$567,MATCH(G$10,'BDD'!$A$1:$P$1,0),FALSE)),"")</f>
        <v>1018</v>
      </c>
      <c r="H33" t="s" s="553">
        <f>IF(VLOOKUP(E33,'BDD'!$A$1:$S$567,15,FALSE)=0,"Critère non évalué","")</f>
        <v>1770</v>
      </c>
      <c r="I33" t="s" s="552">
        <f>_xlfn.IFERROR(IF(VLOOKUP($E33,'BDD'!$A$1:$S$567,MATCH(I$10,'BDD'!$A$1:$P$1,0),FALSE)=0,"",VLOOKUP($E33,'BDD'!$A$1:$S$567,MATCH(I$10,'BDD'!$A$1:$P$1,0),FALSE)),"")</f>
        <v>271</v>
      </c>
      <c r="J33" s="554"/>
      <c r="K33" t="s" s="540">
        <f>_xlfn.IFERROR(IF(VLOOKUP($E33,'BDD'!$A$1:$S$567,MATCH(K$10,'BDD'!$A$1:$P$1,0),FALSE)=0,"",VLOOKUP($E33,'BDD'!$A$1:$S$567,MATCH(K$10,'BDD'!$A$1:$P$1,0),FALSE)),"")</f>
        <v>1019</v>
      </c>
      <c r="L33" s="550"/>
      <c r="M33" s="555"/>
      <c r="N33" s="555"/>
      <c r="O33" s="534"/>
      <c r="P33" s="890"/>
    </row>
    <row r="34" ht="130.05" customHeight="1" hidden="1">
      <c r="A34" s="887"/>
      <c r="B34" s="542"/>
      <c r="C34" t="s" s="543">
        <f>IF(LEFT(RIGHT($B$1,2),1)=" ",RIGHT($B$1,1),RIGHT($B$1,2))</f>
        <v>2173</v>
      </c>
      <c r="D34" s="544">
        <f>IF(LEFT(F34,14)="Bonne pratique",D33+1,D33)</f>
        <v>2</v>
      </c>
      <c r="E34" t="s" s="545">
        <f>C34&amp;D34&amp;RIGHT(F34,1)</f>
        <v>2189</v>
      </c>
      <c r="F34" t="s" s="546">
        <v>1782</v>
      </c>
      <c r="G34" t="s" s="547">
        <f>_xlfn.IFERROR(IF(VLOOKUP($E34,'BDD'!$A$1:$S$567,MATCH(G$10,'BDD'!$A$1:$P$1,0),FALSE)=0,"",VLOOKUP($E34,'BDD'!$A$1:$S$567,MATCH(G$10,'BDD'!$A$1:$P$1,0),FALSE)),"")</f>
      </c>
      <c r="H34" t="s" s="548">
        <f>IF(VLOOKUP(E34,'BDD'!$A$1:$S$567,15,FALSE)=0,"Critère non évalué","")</f>
        <v>1770</v>
      </c>
      <c r="I34" t="s" s="546">
        <f>_xlfn.IFERROR(IF(VLOOKUP($E34,'BDD'!$A$1:$S$567,MATCH(I$10,'BDD'!$A$1:$P$1,0),FALSE)=0,"",VLOOKUP($E34,'BDD'!$A$1:$S$567,MATCH(I$10,'BDD'!$A$1:$P$1,0),FALSE)),"")</f>
        <v>171</v>
      </c>
      <c r="J34" s="549"/>
      <c r="K34" t="s" s="547">
        <f>_xlfn.IFERROR(IF(VLOOKUP($E34,'BDD'!$A$1:$S$567,MATCH(K$10,'BDD'!$A$1:$P$1,0),FALSE)=0,"",VLOOKUP($E34,'BDD'!$A$1:$S$567,MATCH(K$10,'BDD'!$A$1:$P$1,0),FALSE)),"")</f>
      </c>
      <c r="L34" s="550"/>
      <c r="M34" s="557"/>
      <c r="N34" s="557"/>
      <c r="O34" s="534"/>
      <c r="P34" s="890"/>
    </row>
    <row r="35" ht="18" customHeight="1">
      <c r="A35" s="887"/>
      <c r="B35" s="61"/>
      <c r="C35" t="s" s="513">
        <f>IF(LEFT(RIGHT($B$1,2),1)=" ",RIGHT($B$1,1),RIGHT($B$1,2))</f>
        <v>2173</v>
      </c>
      <c r="D35" s="514">
        <f>IF(LEFT(F35,14)="Bonne pratique",D34+1,D34)</f>
        <v>2</v>
      </c>
      <c r="E35" t="s" s="558">
        <f>C35&amp;D35&amp;RIGHT(F35,1)</f>
        <v>2183</v>
      </c>
      <c r="F35" s="559"/>
      <c r="G35" t="s" s="560">
        <f>IF('Suppl'!B96=2,"Le vecteur n'est pas utilisé","")</f>
      </c>
      <c r="H35" s="561"/>
      <c r="I35" s="559"/>
      <c r="J35" s="561"/>
      <c r="K35" s="561"/>
      <c r="L35" s="510"/>
      <c r="M35" s="559"/>
      <c r="N35" s="559"/>
      <c r="O35" s="61"/>
      <c r="P35" s="890"/>
    </row>
    <row r="36" ht="15" customHeight="1">
      <c r="A36" s="887"/>
      <c r="B36" s="61"/>
      <c r="C36" t="s" s="513">
        <f>IF(LEFT(RIGHT($B$1,2),1)=" ",RIGHT($B$1,1),RIGHT($B$1,2))</f>
        <v>2173</v>
      </c>
      <c r="D36" s="514">
        <f>IF(LEFT(F36,14)="Bonne pratique",D35+1,D35)</f>
        <v>2</v>
      </c>
      <c r="E36" t="s" s="558">
        <f>C36&amp;D36&amp;RIGHT(F36,1)</f>
        <v>2183</v>
      </c>
      <c r="F36" s="61"/>
      <c r="G36" s="61"/>
      <c r="H36" s="61"/>
      <c r="I36" s="61"/>
      <c r="J36" s="61"/>
      <c r="K36" s="61"/>
      <c r="L36" s="61"/>
      <c r="M36" s="61"/>
      <c r="N36" s="61"/>
      <c r="O36" s="61"/>
      <c r="P36" s="890"/>
    </row>
    <row r="37" ht="25.8" customHeight="1">
      <c r="A37" s="891"/>
      <c r="B37" s="512"/>
      <c r="C37" t="s" s="513">
        <f>IF(LEFT(RIGHT($B$1,2),1)=" ",RIGHT($B$1,1),RIGHT($B$1,2))</f>
        <v>2173</v>
      </c>
      <c r="D37" s="514">
        <f>IF(LEFT(F37,14)="Bonne pratique",D36+1,D36)</f>
        <v>3</v>
      </c>
      <c r="E37" t="s" s="558">
        <f>C37&amp;D37&amp;RIGHT(F37,1)</f>
        <v>2190</v>
      </c>
      <c r="F37" t="s" s="516">
        <v>1797</v>
      </c>
      <c r="G37" s="517"/>
      <c r="H37" s="518"/>
      <c r="I37" s="519"/>
      <c r="J37" t="s" s="520">
        <f>VLOOKUP(E44,'BDD'!$A$2:$N$567,6,FALSE)</f>
        <v>225</v>
      </c>
      <c r="K37" s="521"/>
      <c r="L37" s="517"/>
      <c r="M37" s="517"/>
      <c r="N37" s="517"/>
      <c r="O37" s="512"/>
      <c r="P37" s="892"/>
    </row>
    <row r="38" ht="15" customHeight="1">
      <c r="A38" s="887"/>
      <c r="B38" s="61"/>
      <c r="C38" t="s" s="513">
        <f>IF(LEFT(RIGHT($B$1,2),1)=" ",RIGHT($B$1,1),RIGHT($B$1,2))</f>
        <v>2173</v>
      </c>
      <c r="D38" s="514">
        <f>IF(LEFT(F38,14)="Bonne pratique",D37+1,D37)</f>
        <v>3</v>
      </c>
      <c r="E38" t="s" s="558">
        <f>C38&amp;D38&amp;RIGHT(F38,1)</f>
        <v>2191</v>
      </c>
      <c r="F38" s="61"/>
      <c r="G38" s="61"/>
      <c r="H38" s="61"/>
      <c r="I38" s="61"/>
      <c r="J38" s="61"/>
      <c r="K38" s="61"/>
      <c r="L38" s="61"/>
      <c r="M38" s="61"/>
      <c r="N38" s="61"/>
      <c r="O38" s="61"/>
      <c r="P38" s="890"/>
    </row>
    <row r="39" ht="18" customHeight="1">
      <c r="A39" s="893"/>
      <c r="B39" s="524"/>
      <c r="C39" t="s" s="513">
        <f>IF(LEFT(RIGHT($B$1,2),1)=" ",RIGHT($B$1,1),RIGHT($B$1,2))</f>
        <v>2173</v>
      </c>
      <c r="D39" s="514">
        <f>IF(LEFT(F39,14)="Bonne pratique",D38+1,D38)</f>
        <v>3</v>
      </c>
      <c r="E39" t="s" s="558">
        <f>C39&amp;D39&amp;RIGHT(F39,1)</f>
        <v>2191</v>
      </c>
      <c r="F39" s="524"/>
      <c r="G39" s="524"/>
      <c r="H39" s="524"/>
      <c r="I39" s="525"/>
      <c r="J39" t="s" s="526">
        <v>1021</v>
      </c>
      <c r="K39" s="525"/>
      <c r="L39" s="524"/>
      <c r="M39" s="524"/>
      <c r="N39" s="524"/>
      <c r="O39" s="524"/>
      <c r="P39" s="894"/>
    </row>
    <row r="40" ht="18" customHeight="1">
      <c r="A40" s="887"/>
      <c r="B40" s="61"/>
      <c r="C40" t="s" s="513">
        <f>IF(LEFT(RIGHT($B$1,2),1)=" ",RIGHT($B$1,1),RIGHT($B$1,2))</f>
        <v>2173</v>
      </c>
      <c r="D40" s="514">
        <f>IF(LEFT(F40,14)="Bonne pratique",D39+1,D39)</f>
        <v>3</v>
      </c>
      <c r="E40" t="s" s="558">
        <f>C40&amp;D40&amp;RIGHT(F40,1)</f>
        <v>2191</v>
      </c>
      <c r="F40" s="61"/>
      <c r="G40" s="61"/>
      <c r="H40" s="61"/>
      <c r="I40" s="61"/>
      <c r="J40" s="528"/>
      <c r="K40" s="61"/>
      <c r="L40" s="61"/>
      <c r="M40" s="529"/>
      <c r="N40" s="529"/>
      <c r="O40" s="61"/>
      <c r="P40" s="890"/>
    </row>
    <row r="41" ht="15" customHeight="1">
      <c r="A41" s="887"/>
      <c r="B41" s="61"/>
      <c r="C41" t="s" s="513">
        <f>IF(LEFT(RIGHT($B$1,2),1)=" ",RIGHT($B$1,1),RIGHT($B$1,2))</f>
        <v>2173</v>
      </c>
      <c r="D41" s="514">
        <f>IF(LEFT(F41,14)="Bonne pratique",D40+1,D40)</f>
        <v>3</v>
      </c>
      <c r="E41" t="s" s="558">
        <f>C41&amp;D41&amp;RIGHT(F41,1)</f>
        <v>2191</v>
      </c>
      <c r="F41" s="61"/>
      <c r="G41" s="529"/>
      <c r="H41" s="529"/>
      <c r="I41" s="529"/>
      <c r="J41" s="530"/>
      <c r="K41" s="529"/>
      <c r="L41" s="542"/>
      <c r="M41" t="s" s="562">
        <v>1763</v>
      </c>
      <c r="N41" s="563"/>
      <c r="O41" s="534"/>
      <c r="P41" s="890"/>
    </row>
    <row r="42" ht="33" customHeight="1">
      <c r="A42" s="887"/>
      <c r="B42" s="61"/>
      <c r="C42" t="s" s="513">
        <f>IF(LEFT(RIGHT($B$1,2),1)=" ",RIGHT($B$1,1),RIGHT($B$1,2))</f>
        <v>2173</v>
      </c>
      <c r="D42" s="514">
        <f>IF(LEFT(F42,14)="Bonne pratique",D41+1,D41)</f>
        <v>3</v>
      </c>
      <c r="E42" t="s" s="558">
        <f>C42&amp;D42&amp;RIGHT(F42,1)</f>
        <v>2191</v>
      </c>
      <c r="F42" s="535"/>
      <c r="G42" t="s" s="536">
        <v>244</v>
      </c>
      <c r="H42" t="s" s="536">
        <v>1764</v>
      </c>
      <c r="I42" t="s" s="536">
        <v>1787</v>
      </c>
      <c r="J42" t="s" s="536">
        <v>1765</v>
      </c>
      <c r="K42" t="s" s="536">
        <v>1788</v>
      </c>
      <c r="L42" s="538"/>
      <c r="M42" t="s" s="539">
        <v>1766</v>
      </c>
      <c r="N42" t="s" s="540">
        <v>1767</v>
      </c>
      <c r="O42" s="534"/>
      <c r="P42" s="890"/>
    </row>
    <row r="43" ht="15" customHeight="1">
      <c r="A43" s="887"/>
      <c r="B43" s="61"/>
      <c r="C43" t="s" s="513">
        <f>IF(LEFT(RIGHT($B$1,2),1)=" ",RIGHT($B$1,1),RIGHT($B$1,2))</f>
        <v>2173</v>
      </c>
      <c r="D43" s="514">
        <f>IF(LEFT(F43,14)="Bonne pratique",D42+1,D42)</f>
        <v>3</v>
      </c>
      <c r="E43" t="s" s="558">
        <f>C43&amp;D43&amp;RIGHT(F43,1)</f>
        <v>2191</v>
      </c>
      <c r="F43" s="529"/>
      <c r="G43" s="541"/>
      <c r="H43" s="541"/>
      <c r="I43" s="541"/>
      <c r="J43" s="541"/>
      <c r="K43" s="541"/>
      <c r="L43" s="61"/>
      <c r="M43" s="541"/>
      <c r="N43" s="541"/>
      <c r="O43" s="61"/>
      <c r="P43" s="890"/>
    </row>
    <row r="44" ht="130.05" customHeight="1">
      <c r="A44" s="887"/>
      <c r="B44" s="542"/>
      <c r="C44" t="s" s="543">
        <f>IF(LEFT(RIGHT($B$1,2),1)=" ",RIGHT($B$1,1),RIGHT($B$1,2))</f>
        <v>2173</v>
      </c>
      <c r="D44" s="544">
        <f>IF(LEFT(F44,14)="Bonne pratique",D43+1,D43)</f>
        <v>3</v>
      </c>
      <c r="E44" t="s" s="545">
        <f>C44&amp;D44&amp;RIGHT(F44,1)</f>
        <v>2192</v>
      </c>
      <c r="F44" t="s" s="546">
        <v>1769</v>
      </c>
      <c r="G44" t="s" s="547">
        <f>_xlfn.IFERROR(IF(VLOOKUP($E44,'BDD'!$A$1:$S$567,MATCH(G$10,'BDD'!$A$1:$P$1,0),FALSE)=0,"",VLOOKUP($E44,'BDD'!$A$1:$S$567,MATCH(G$10,'BDD'!$A$1:$P$1,0),FALSE)),"")</f>
        <v>1023</v>
      </c>
      <c r="H44" t="s" s="548">
        <f>IF(VLOOKUP(E44,'BDD'!$A$1:$S$567,15,FALSE)=0,"Critère non évalué","")</f>
        <v>1770</v>
      </c>
      <c r="I44" t="s" s="546">
        <f>_xlfn.IFERROR(IF(VLOOKUP($E44,'BDD'!$A$1:$S$567,MATCH(I$10,'BDD'!$A$1:$P$1,0),FALSE)=0,"",VLOOKUP($E44,'BDD'!$A$1:$S$567,MATCH(I$10,'BDD'!$A$1:$P$1,0),FALSE)),"")</f>
        <v>271</v>
      </c>
      <c r="J44" s="549"/>
      <c r="K44" t="s" s="547">
        <f>_xlfn.IFERROR(IF(VLOOKUP($E44,'BDD'!$A$1:$S$567,MATCH(K$10,'BDD'!$A$1:$P$1,0),FALSE)=0,"",VLOOKUP($E44,'BDD'!$A$1:$S$567,MATCH(K$10,'BDD'!$A$1:$P$1,0),FALSE)),"")</f>
        <v>1024</v>
      </c>
      <c r="L44" s="550"/>
      <c r="M44" s="551"/>
      <c r="N44" s="551"/>
      <c r="O44" s="534"/>
      <c r="P44" s="890"/>
    </row>
    <row r="45" ht="130.05" customHeight="1">
      <c r="A45" s="887"/>
      <c r="B45" s="542"/>
      <c r="C45" t="s" s="543">
        <f>IF(LEFT(RIGHT($B$1,2),1)=" ",RIGHT($B$1,1),RIGHT($B$1,2))</f>
        <v>2173</v>
      </c>
      <c r="D45" s="544">
        <f>IF(LEFT(F45,14)="Bonne pratique",D44+1,D44)</f>
        <v>3</v>
      </c>
      <c r="E45" t="s" s="545">
        <f>C45&amp;D45&amp;RIGHT(F45,1)</f>
        <v>2193</v>
      </c>
      <c r="F45" t="s" s="552">
        <v>1772</v>
      </c>
      <c r="G45" t="s" s="540">
        <f>_xlfn.IFERROR(IF(VLOOKUP($E45,'BDD'!$A$1:$S$567,MATCH(G$10,'BDD'!$A$1:$P$1,0),FALSE)=0,"",VLOOKUP($E45,'BDD'!$A$1:$S$567,MATCH(G$10,'BDD'!$A$1:$P$1,0),FALSE)),"")</f>
        <v>1026</v>
      </c>
      <c r="H45" t="s" s="553">
        <f>IF(VLOOKUP(E45,'BDD'!$A$1:$S$567,15,FALSE)=0,"Critère non évalué","")</f>
        <v>1770</v>
      </c>
      <c r="I45" t="s" s="552">
        <f>_xlfn.IFERROR(IF(VLOOKUP($E45,'BDD'!$A$1:$S$567,MATCH(I$10,'BDD'!$A$1:$P$1,0),FALSE)=0,"",VLOOKUP($E45,'BDD'!$A$1:$S$567,MATCH(I$10,'BDD'!$A$1:$P$1,0),FALSE)),"")</f>
        <v>271</v>
      </c>
      <c r="J45" s="554"/>
      <c r="K45" t="s" s="540">
        <f>_xlfn.IFERROR(IF(VLOOKUP($E45,'BDD'!$A$1:$S$567,MATCH(K$10,'BDD'!$A$1:$P$1,0),FALSE)=0,"",VLOOKUP($E45,'BDD'!$A$1:$S$567,MATCH(K$10,'BDD'!$A$1:$P$1,0),FALSE)),"")</f>
        <v>1027</v>
      </c>
      <c r="L45" s="550"/>
      <c r="M45" s="555"/>
      <c r="N45" s="555"/>
      <c r="O45" s="534"/>
      <c r="P45" s="890"/>
    </row>
    <row r="46" ht="130.05" customHeight="1" hidden="1">
      <c r="A46" s="887"/>
      <c r="B46" s="542"/>
      <c r="C46" t="s" s="543">
        <f>IF(LEFT(RIGHT($B$1,2),1)=" ",RIGHT($B$1,1),RIGHT($B$1,2))</f>
        <v>2173</v>
      </c>
      <c r="D46" s="544">
        <f>IF(LEFT(F46,14)="Bonne pratique",D45+1,D45)</f>
        <v>3</v>
      </c>
      <c r="E46" t="s" s="545">
        <f>C46&amp;D46&amp;RIGHT(F46,1)</f>
        <v>2190</v>
      </c>
      <c r="F46" t="s" s="546">
        <v>1774</v>
      </c>
      <c r="G46" t="s" s="547">
        <f>_xlfn.IFERROR(IF(VLOOKUP($E46,'BDD'!$A$1:$S$567,MATCH(G$10,'BDD'!$A$1:$P$1,0),FALSE)=0,"",VLOOKUP($E46,'BDD'!$A$1:$S$567,MATCH(G$10,'BDD'!$A$1:$P$1,0),FALSE)),"")</f>
      </c>
      <c r="H46" t="s" s="548">
        <f>IF(VLOOKUP(E46,'BDD'!$A$1:$S$567,15,FALSE)=0,"Critère non évalué","")</f>
        <v>1770</v>
      </c>
      <c r="I46" t="s" s="546">
        <f>_xlfn.IFERROR(IF(VLOOKUP($E46,'BDD'!$A$1:$S$567,MATCH(I$10,'BDD'!$A$1:$P$1,0),FALSE)=0,"",VLOOKUP($E46,'BDD'!$A$1:$S$567,MATCH(I$10,'BDD'!$A$1:$P$1,0),FALSE)),"")</f>
        <v>171</v>
      </c>
      <c r="J46" s="549"/>
      <c r="K46" t="s" s="547">
        <f>_xlfn.IFERROR(IF(VLOOKUP($E46,'BDD'!$A$1:$S$567,MATCH(K$10,'BDD'!$A$1:$P$1,0),FALSE)=0,"",VLOOKUP($E46,'BDD'!$A$1:$S$567,MATCH(K$10,'BDD'!$A$1:$P$1,0),FALSE)),"")</f>
      </c>
      <c r="L46" s="550"/>
      <c r="M46" s="551"/>
      <c r="N46" s="551"/>
      <c r="O46" s="534"/>
      <c r="P46" s="890"/>
    </row>
    <row r="47" ht="120" customHeight="1" hidden="1">
      <c r="A47" s="887"/>
      <c r="B47" s="542"/>
      <c r="C47" t="s" s="543">
        <f>IF(LEFT(RIGHT($B$1,2),1)=" ",RIGHT($B$1,1),RIGHT($B$1,2))</f>
        <v>2173</v>
      </c>
      <c r="D47" s="544">
        <f>IF(LEFT(F47,14)="Bonne pratique",D46+1,D46)</f>
        <v>3</v>
      </c>
      <c r="E47" t="s" s="545">
        <f>C47&amp;D47&amp;RIGHT(F47,1)</f>
        <v>2194</v>
      </c>
      <c r="F47" t="s" s="552">
        <v>1776</v>
      </c>
      <c r="G47" t="s" s="540">
        <f>_xlfn.IFERROR(IF(VLOOKUP($E47,'BDD'!$A$1:$S$567,MATCH(G$10,'BDD'!$A$1:$P$1,0),FALSE)=0,"",VLOOKUP($E47,'BDD'!$A$1:$S$567,MATCH(G$10,'BDD'!$A$1:$P$1,0),FALSE)),"")</f>
      </c>
      <c r="H47" t="s" s="553">
        <f>IF(VLOOKUP(E47,'BDD'!$A$1:$S$567,15,FALSE)=0,"Critère non évalué","")</f>
        <v>1770</v>
      </c>
      <c r="I47" t="s" s="552">
        <f>_xlfn.IFERROR(IF(VLOOKUP($E47,'BDD'!$A$1:$S$567,MATCH(I$10,'BDD'!$A$1:$P$1,0),FALSE)=0,"",VLOOKUP($E47,'BDD'!$A$1:$S$567,MATCH(I$10,'BDD'!$A$1:$P$1,0),FALSE)),"")</f>
        <v>171</v>
      </c>
      <c r="J47" s="556"/>
      <c r="K47" t="s" s="540">
        <f>_xlfn.IFERROR(IF(VLOOKUP($E47,'BDD'!$A$1:$S$567,MATCH(K$10,'BDD'!$A$1:$P$1,0),FALSE)=0,"",VLOOKUP($E47,'BDD'!$A$1:$S$567,MATCH(K$10,'BDD'!$A$1:$P$1,0),FALSE)),"")</f>
      </c>
      <c r="L47" s="550"/>
      <c r="M47" s="555"/>
      <c r="N47" s="555"/>
      <c r="O47" s="534"/>
      <c r="P47" s="890"/>
    </row>
    <row r="48" ht="130.05" customHeight="1" hidden="1">
      <c r="A48" s="887"/>
      <c r="B48" s="542"/>
      <c r="C48" t="s" s="543">
        <f>IF(LEFT(RIGHT($B$1,2),1)=" ",RIGHT($B$1,1),RIGHT($B$1,2))</f>
        <v>2173</v>
      </c>
      <c r="D48" s="544">
        <f>IF(LEFT(F48,14)="Bonne pratique",D47+1,D47)</f>
        <v>3</v>
      </c>
      <c r="E48" t="s" s="545">
        <f>C48&amp;D48&amp;RIGHT(F48,1)</f>
        <v>2195</v>
      </c>
      <c r="F48" t="s" s="546">
        <v>1778</v>
      </c>
      <c r="G48" t="s" s="547">
        <f>_xlfn.IFERROR(IF(VLOOKUP($E48,'BDD'!$A$1:$S$567,MATCH(G$10,'BDD'!$A$1:$P$1,0),FALSE)=0,"",VLOOKUP($E48,'BDD'!$A$1:$S$567,MATCH(G$10,'BDD'!$A$1:$P$1,0),FALSE)),"")</f>
      </c>
      <c r="H48" t="s" s="548">
        <f>IF(VLOOKUP(E48,'BDD'!$A$1:$S$567,15,FALSE)=0,"Critère non évalué","")</f>
        <v>1770</v>
      </c>
      <c r="I48" t="s" s="546">
        <f>_xlfn.IFERROR(IF(VLOOKUP($E48,'BDD'!$A$1:$S$567,MATCH(I$10,'BDD'!$A$1:$P$1,0),FALSE)=0,"",VLOOKUP($E48,'BDD'!$A$1:$S$567,MATCH(I$10,'BDD'!$A$1:$P$1,0),FALSE)),"")</f>
        <v>171</v>
      </c>
      <c r="J48" s="549"/>
      <c r="K48" t="s" s="547">
        <f>_xlfn.IFERROR(IF(VLOOKUP($E48,'BDD'!$A$1:$S$567,MATCH(K$10,'BDD'!$A$1:$P$1,0),FALSE)=0,"",VLOOKUP($E48,'BDD'!$A$1:$S$567,MATCH(K$10,'BDD'!$A$1:$P$1,0),FALSE)),"")</f>
      </c>
      <c r="L48" s="550"/>
      <c r="M48" s="551"/>
      <c r="N48" s="551"/>
      <c r="O48" s="534"/>
      <c r="P48" s="890"/>
    </row>
    <row r="49" ht="120" customHeight="1" hidden="1">
      <c r="A49" s="887"/>
      <c r="B49" s="542"/>
      <c r="C49" t="s" s="543">
        <f>IF(LEFT(RIGHT($B$1,2),1)=" ",RIGHT($B$1,1),RIGHT($B$1,2))</f>
        <v>2173</v>
      </c>
      <c r="D49" s="544">
        <f>IF(LEFT(F49,14)="Bonne pratique",D48+1,D48)</f>
        <v>3</v>
      </c>
      <c r="E49" t="s" s="545">
        <f>C49&amp;D49&amp;RIGHT(F49,1)</f>
        <v>2196</v>
      </c>
      <c r="F49" t="s" s="552">
        <v>1780</v>
      </c>
      <c r="G49" t="s" s="540">
        <f>_xlfn.IFERROR(IF(VLOOKUP($E49,'BDD'!$A$1:$S$567,MATCH(G$10,'BDD'!$A$1:$P$1,0),FALSE)=0,"",VLOOKUP($E49,'BDD'!$A$1:$S$567,MATCH(G$10,'BDD'!$A$1:$P$1,0),FALSE)),"")</f>
      </c>
      <c r="H49" t="s" s="553">
        <f>IF(VLOOKUP(E49,'BDD'!$A$1:$S$567,15,FALSE)=0,"Critère non évalué","")</f>
        <v>1770</v>
      </c>
      <c r="I49" t="s" s="552">
        <f>_xlfn.IFERROR(IF(VLOOKUP($E49,'BDD'!$A$1:$S$567,MATCH(I$10,'BDD'!$A$1:$P$1,0),FALSE)=0,"",VLOOKUP($E49,'BDD'!$A$1:$S$567,MATCH(I$10,'BDD'!$A$1:$P$1,0),FALSE)),"")</f>
        <v>171</v>
      </c>
      <c r="J49" s="556"/>
      <c r="K49" t="s" s="540">
        <f>_xlfn.IFERROR(IF(VLOOKUP($E49,'BDD'!$A$1:$S$567,MATCH(K$10,'BDD'!$A$1:$P$1,0),FALSE)=0,"",VLOOKUP($E49,'BDD'!$A$1:$S$567,MATCH(K$10,'BDD'!$A$1:$P$1,0),FALSE)),"")</f>
      </c>
      <c r="L49" s="550"/>
      <c r="M49" s="555"/>
      <c r="N49" s="555"/>
      <c r="O49" s="534"/>
      <c r="P49" s="890"/>
    </row>
    <row r="50" ht="130.05" customHeight="1" hidden="1">
      <c r="A50" s="887"/>
      <c r="B50" s="542"/>
      <c r="C50" t="s" s="543">
        <f>IF(LEFT(RIGHT($B$1,2),1)=" ",RIGHT($B$1,1),RIGHT($B$1,2))</f>
        <v>2173</v>
      </c>
      <c r="D50" s="544">
        <f>IF(LEFT(F50,14)="Bonne pratique",D49+1,D49)</f>
        <v>3</v>
      </c>
      <c r="E50" t="s" s="545">
        <f>C50&amp;D50&amp;RIGHT(F50,1)</f>
        <v>2197</v>
      </c>
      <c r="F50" t="s" s="546">
        <v>1782</v>
      </c>
      <c r="G50" t="s" s="547">
        <f>_xlfn.IFERROR(IF(VLOOKUP($E50,'BDD'!$A$1:$S$567,MATCH(G$10,'BDD'!$A$1:$P$1,0),FALSE)=0,"",VLOOKUP($E50,'BDD'!$A$1:$S$567,MATCH(G$10,'BDD'!$A$1:$P$1,0),FALSE)),"")</f>
      </c>
      <c r="H50" t="s" s="548">
        <f>IF(VLOOKUP(E50,'BDD'!$A$1:$S$567,15,FALSE)=0,"Critère non évalué","")</f>
        <v>1770</v>
      </c>
      <c r="I50" t="s" s="546">
        <f>_xlfn.IFERROR(IF(VLOOKUP($E50,'BDD'!$A$1:$S$567,MATCH(I$10,'BDD'!$A$1:$P$1,0),FALSE)=0,"",VLOOKUP($E50,'BDD'!$A$1:$S$567,MATCH(I$10,'BDD'!$A$1:$P$1,0),FALSE)),"")</f>
        <v>171</v>
      </c>
      <c r="J50" s="549"/>
      <c r="K50" t="s" s="547">
        <f>_xlfn.IFERROR(IF(VLOOKUP($E50,'BDD'!$A$1:$S$567,MATCH(K$10,'BDD'!$A$1:$P$1,0),FALSE)=0,"",VLOOKUP($E50,'BDD'!$A$1:$S$567,MATCH(K$10,'BDD'!$A$1:$P$1,0),FALSE)),"")</f>
      </c>
      <c r="L50" s="550"/>
      <c r="M50" s="551"/>
      <c r="N50" s="551"/>
      <c r="O50" s="534"/>
      <c r="P50" s="890"/>
    </row>
    <row r="51" ht="18" customHeight="1">
      <c r="A51" s="887"/>
      <c r="B51" s="61"/>
      <c r="C51" t="s" s="513">
        <f>IF(LEFT(RIGHT($B$1,2),1)=" ",RIGHT($B$1,1),RIGHT($B$1,2))</f>
        <v>2173</v>
      </c>
      <c r="D51" s="61"/>
      <c r="E51" s="565"/>
      <c r="F51" s="559"/>
      <c r="G51" s="561"/>
      <c r="H51" s="561"/>
      <c r="I51" s="561"/>
      <c r="J51" s="561"/>
      <c r="K51" s="561"/>
      <c r="L51" s="510"/>
      <c r="M51" s="559"/>
      <c r="N51" s="559"/>
      <c r="O51" s="61"/>
      <c r="P51" s="890"/>
    </row>
    <row r="52" ht="15" customHeight="1">
      <c r="A52" s="887"/>
      <c r="B52" s="61"/>
      <c r="C52" t="s" s="513">
        <f>IF(LEFT(RIGHT($B$1,2),1)=" ",RIGHT($B$1,1),RIGHT($B$1,2))</f>
        <v>2173</v>
      </c>
      <c r="D52" s="514">
        <f>IF(LEFT(F52,14)="Bonne pratique",D48+1,D48)</f>
        <v>3</v>
      </c>
      <c r="E52" t="s" s="558">
        <f>C52&amp;D52&amp;RIGHT(F52,1)</f>
        <v>2191</v>
      </c>
      <c r="F52" s="61"/>
      <c r="G52" s="61"/>
      <c r="H52" s="61"/>
      <c r="I52" s="61"/>
      <c r="J52" s="61"/>
      <c r="K52" s="61"/>
      <c r="L52" s="61"/>
      <c r="M52" s="61"/>
      <c r="N52" s="61"/>
      <c r="O52" s="61"/>
      <c r="P52" s="890"/>
    </row>
    <row r="53" ht="25.8" customHeight="1">
      <c r="A53" s="891"/>
      <c r="B53" s="512"/>
      <c r="C53" t="s" s="513">
        <f>IF(LEFT(RIGHT($B$1,2),1)=" ",RIGHT($B$1,1),RIGHT($B$1,2))</f>
        <v>2173</v>
      </c>
      <c r="D53" s="514">
        <f>IF(LEFT(F53,14)="Bonne pratique",D52+1,D52)</f>
        <v>4</v>
      </c>
      <c r="E53" t="s" s="558">
        <f>C53&amp;D53&amp;RIGHT(F53,1)</f>
        <v>2198</v>
      </c>
      <c r="F53" t="s" s="516">
        <v>1806</v>
      </c>
      <c r="G53" s="517"/>
      <c r="H53" s="518"/>
      <c r="I53" s="519"/>
      <c r="J53" t="s" s="520">
        <f>VLOOKUP(E60,'BDD'!$A$2:$N$567,6,FALSE)</f>
        <v>225</v>
      </c>
      <c r="K53" s="521"/>
      <c r="L53" s="517"/>
      <c r="M53" s="517"/>
      <c r="N53" s="517"/>
      <c r="O53" s="512"/>
      <c r="P53" s="892"/>
    </row>
    <row r="54" ht="15" customHeight="1">
      <c r="A54" s="887"/>
      <c r="B54" s="61"/>
      <c r="C54" t="s" s="513">
        <f>IF(LEFT(RIGHT($B$1,2),1)=" ",RIGHT($B$1,1),RIGHT($B$1,2))</f>
        <v>2173</v>
      </c>
      <c r="D54" s="514">
        <f>IF(LEFT(F54,14)="Bonne pratique",D53+1,D53)</f>
        <v>4</v>
      </c>
      <c r="E54" t="s" s="558">
        <f>C54&amp;D54&amp;RIGHT(F54,1)</f>
        <v>2199</v>
      </c>
      <c r="F54" s="61"/>
      <c r="G54" s="61"/>
      <c r="H54" s="61"/>
      <c r="I54" s="61"/>
      <c r="J54" s="61"/>
      <c r="K54" s="61"/>
      <c r="L54" s="61"/>
      <c r="M54" s="61"/>
      <c r="N54" s="61"/>
      <c r="O54" s="61"/>
      <c r="P54" s="890"/>
    </row>
    <row r="55" ht="18" customHeight="1">
      <c r="A55" s="893"/>
      <c r="B55" s="524"/>
      <c r="C55" t="s" s="513">
        <f>IF(LEFT(RIGHT($B$1,2),1)=" ",RIGHT($B$1,1),RIGHT($B$1,2))</f>
        <v>2173</v>
      </c>
      <c r="D55" s="514">
        <f>IF(LEFT(F55,14)="Bonne pratique",D54+1,D54)</f>
        <v>4</v>
      </c>
      <c r="E55" t="s" s="558">
        <f>C55&amp;D55&amp;RIGHT(F55,1)</f>
        <v>2199</v>
      </c>
      <c r="F55" s="524"/>
      <c r="G55" s="524"/>
      <c r="H55" s="524"/>
      <c r="I55" s="525"/>
      <c r="J55" t="s" s="526">
        <v>2200</v>
      </c>
      <c r="K55" s="525"/>
      <c r="L55" s="524"/>
      <c r="M55" s="524"/>
      <c r="N55" s="524"/>
      <c r="O55" s="524"/>
      <c r="P55" s="894"/>
    </row>
    <row r="56" ht="18" customHeight="1">
      <c r="A56" s="887"/>
      <c r="B56" s="61"/>
      <c r="C56" t="s" s="513">
        <f>IF(LEFT(RIGHT($B$1,2),1)=" ",RIGHT($B$1,1),RIGHT($B$1,2))</f>
        <v>2173</v>
      </c>
      <c r="D56" s="514">
        <f>IF(LEFT(F56,14)="Bonne pratique",D55+1,D55)</f>
        <v>4</v>
      </c>
      <c r="E56" t="s" s="558">
        <f>C56&amp;D56&amp;RIGHT(F56,1)</f>
        <v>2199</v>
      </c>
      <c r="F56" s="61"/>
      <c r="G56" s="61"/>
      <c r="H56" s="61"/>
      <c r="I56" s="61"/>
      <c r="J56" t="s" s="526">
        <v>2201</v>
      </c>
      <c r="K56" s="61"/>
      <c r="L56" s="61"/>
      <c r="M56" s="529"/>
      <c r="N56" s="529"/>
      <c r="O56" s="61"/>
      <c r="P56" s="890"/>
    </row>
    <row r="57" ht="15" customHeight="1">
      <c r="A57" s="887"/>
      <c r="B57" s="61"/>
      <c r="C57" t="s" s="513">
        <f>IF(LEFT(RIGHT($B$1,2),1)=" ",RIGHT($B$1,1),RIGHT($B$1,2))</f>
        <v>2173</v>
      </c>
      <c r="D57" s="514">
        <f>IF(LEFT(F57,14)="Bonne pratique",D56+1,D56)</f>
        <v>4</v>
      </c>
      <c r="E57" t="s" s="558">
        <f>C57&amp;D57&amp;RIGHT(F57,1)</f>
        <v>2199</v>
      </c>
      <c r="F57" s="61"/>
      <c r="G57" s="529"/>
      <c r="H57" s="529"/>
      <c r="I57" s="529"/>
      <c r="J57" s="530"/>
      <c r="K57" s="529"/>
      <c r="L57" s="542"/>
      <c r="M57" t="s" s="562">
        <v>1763</v>
      </c>
      <c r="N57" s="563"/>
      <c r="O57" s="534"/>
      <c r="P57" s="890"/>
    </row>
    <row r="58" ht="33" customHeight="1">
      <c r="A58" s="887"/>
      <c r="B58" s="61"/>
      <c r="C58" t="s" s="513">
        <f>IF(LEFT(RIGHT($B$1,2),1)=" ",RIGHT($B$1,1),RIGHT($B$1,2))</f>
        <v>2173</v>
      </c>
      <c r="D58" s="514">
        <f>IF(LEFT(F58,14)="Bonne pratique",D57+1,D57)</f>
        <v>4</v>
      </c>
      <c r="E58" t="s" s="558">
        <f>C58&amp;D58&amp;RIGHT(F58,1)</f>
        <v>2199</v>
      </c>
      <c r="F58" s="535"/>
      <c r="G58" t="s" s="536">
        <v>244</v>
      </c>
      <c r="H58" t="s" s="536">
        <v>1764</v>
      </c>
      <c r="I58" t="s" s="536">
        <v>1787</v>
      </c>
      <c r="J58" t="s" s="536">
        <v>1765</v>
      </c>
      <c r="K58" t="s" s="536">
        <v>1788</v>
      </c>
      <c r="L58" s="538"/>
      <c r="M58" t="s" s="539">
        <v>1766</v>
      </c>
      <c r="N58" t="s" s="540">
        <v>1767</v>
      </c>
      <c r="O58" s="534"/>
      <c r="P58" s="890"/>
    </row>
    <row r="59" ht="15" customHeight="1">
      <c r="A59" s="887"/>
      <c r="B59" s="61"/>
      <c r="C59" t="s" s="513">
        <f>IF(LEFT(RIGHT($B$1,2),1)=" ",RIGHT($B$1,1),RIGHT($B$1,2))</f>
        <v>2173</v>
      </c>
      <c r="D59" s="514">
        <f>IF(LEFT(F59,14)="Bonne pratique",D58+1,D58)</f>
        <v>4</v>
      </c>
      <c r="E59" t="s" s="558">
        <f>C59&amp;D59&amp;RIGHT(F59,1)</f>
        <v>2199</v>
      </c>
      <c r="F59" s="529"/>
      <c r="G59" s="541"/>
      <c r="H59" s="541"/>
      <c r="I59" s="541"/>
      <c r="J59" s="541"/>
      <c r="K59" s="541"/>
      <c r="L59" s="61"/>
      <c r="M59" s="541"/>
      <c r="N59" s="541"/>
      <c r="O59" s="61"/>
      <c r="P59" s="890"/>
    </row>
    <row r="60" ht="130.05" customHeight="1">
      <c r="A60" s="887"/>
      <c r="B60" s="542"/>
      <c r="C60" t="s" s="543">
        <f>IF(LEFT(RIGHT($B$1,2),1)=" ",RIGHT($B$1,1),RIGHT($B$1,2))</f>
        <v>2173</v>
      </c>
      <c r="D60" s="544">
        <f>IF(LEFT(F60,14)="Bonne pratique",D59+1,D59)</f>
        <v>4</v>
      </c>
      <c r="E60" t="s" s="545">
        <f>C60&amp;D60&amp;RIGHT(F60,1)</f>
        <v>2202</v>
      </c>
      <c r="F60" t="s" s="546">
        <v>1769</v>
      </c>
      <c r="G60" t="s" s="547">
        <f>_xlfn.IFERROR(IF(VLOOKUP($E60,'BDD'!$A$1:$S$567,MATCH(G$10,'BDD'!$A$1:$P$1,0),FALSE)=0,"",VLOOKUP($E60,'BDD'!$A$1:$S$567,MATCH(G$10,'BDD'!$A$1:$P$1,0),FALSE)),"")</f>
        <v>1034</v>
      </c>
      <c r="H60" t="s" s="548">
        <f>IF(VLOOKUP(E60,'BDD'!$A$1:$S$567,15,FALSE)=0,"Critère non évalué","")</f>
        <v>1770</v>
      </c>
      <c r="I60" t="s" s="546">
        <f>_xlfn.IFERROR(IF(VLOOKUP($E60,'BDD'!$A$1:$S$567,MATCH(I$10,'BDD'!$A$1:$P$1,0),FALSE)=0,"",VLOOKUP($E60,'BDD'!$A$1:$S$567,MATCH(I$10,'BDD'!$A$1:$P$1,0),FALSE)),"")</f>
        <v>263</v>
      </c>
      <c r="J60" s="549"/>
      <c r="K60" t="s" s="547">
        <f>_xlfn.IFERROR(IF(VLOOKUP($E60,'BDD'!$A$1:$S$567,MATCH(K$10,'BDD'!$A$1:$P$1,0),FALSE)=0,"",VLOOKUP($E60,'BDD'!$A$1:$S$567,MATCH(K$10,'BDD'!$A$1:$P$1,0),FALSE)),"")</f>
        <v>1035</v>
      </c>
      <c r="L60" s="550"/>
      <c r="M60" s="551"/>
      <c r="N60" s="551"/>
      <c r="O60" s="534"/>
      <c r="P60" s="890"/>
    </row>
    <row r="61" ht="130.05" customHeight="1">
      <c r="A61" s="887"/>
      <c r="B61" s="542"/>
      <c r="C61" t="s" s="543">
        <f>IF(LEFT(RIGHT($B$1,2),1)=" ",RIGHT($B$1,1),RIGHT($B$1,2))</f>
        <v>2173</v>
      </c>
      <c r="D61" s="544">
        <f>IF(LEFT(F61,14)="Bonne pratique",D60+1,D60)</f>
        <v>4</v>
      </c>
      <c r="E61" t="s" s="545">
        <f>C61&amp;D61&amp;RIGHT(F61,1)</f>
        <v>2203</v>
      </c>
      <c r="F61" t="s" s="552">
        <v>1772</v>
      </c>
      <c r="G61" t="s" s="540">
        <f>_xlfn.IFERROR(IF(VLOOKUP($E61,'BDD'!$A$1:$S$567,MATCH(G$10,'BDD'!$A$1:$P$1,0),FALSE)=0,"",VLOOKUP($E61,'BDD'!$A$1:$S$567,MATCH(G$10,'BDD'!$A$1:$P$1,0),FALSE)),"")</f>
        <v>1038</v>
      </c>
      <c r="H61" t="s" s="553">
        <f>IF(VLOOKUP(E61,'BDD'!$A$1:$S$567,15,FALSE)=0,"Critère non évalué","")</f>
        <v>1770</v>
      </c>
      <c r="I61" t="s" s="552">
        <f>_xlfn.IFERROR(IF(VLOOKUP($E61,'BDD'!$A$1:$S$567,MATCH(I$10,'BDD'!$A$1:$P$1,0),FALSE)=0,"",VLOOKUP($E61,'BDD'!$A$1:$S$567,MATCH(I$10,'BDD'!$A$1:$P$1,0),FALSE)),"")</f>
        <v>283</v>
      </c>
      <c r="J61" s="554"/>
      <c r="K61" t="s" s="540">
        <f>_xlfn.IFERROR(IF(VLOOKUP($E61,'BDD'!$A$1:$S$567,MATCH(K$10,'BDD'!$A$1:$P$1,0),FALSE)=0,"",VLOOKUP($E61,'BDD'!$A$1:$S$567,MATCH(K$10,'BDD'!$A$1:$P$1,0),FALSE)),"")</f>
      </c>
      <c r="L61" s="550"/>
      <c r="M61" s="555"/>
      <c r="N61" s="555"/>
      <c r="O61" s="534"/>
      <c r="P61" s="890"/>
    </row>
    <row r="62" ht="130.05" customHeight="1">
      <c r="A62" s="887"/>
      <c r="B62" s="542"/>
      <c r="C62" t="s" s="543">
        <f>IF(LEFT(RIGHT($B$1,2),1)=" ",RIGHT($B$1,1),RIGHT($B$1,2))</f>
        <v>2173</v>
      </c>
      <c r="D62" s="544">
        <f>IF(LEFT(F62,14)="Bonne pratique",D61+1,D61)</f>
        <v>4</v>
      </c>
      <c r="E62" t="s" s="545">
        <f>C62&amp;D62&amp;RIGHT(F62,1)</f>
        <v>2204</v>
      </c>
      <c r="F62" t="s" s="546">
        <v>1774</v>
      </c>
      <c r="G62" t="s" s="547">
        <f>_xlfn.IFERROR(IF(VLOOKUP($E62,'BDD'!$A$1:$S$567,MATCH(G$10,'BDD'!$A$1:$P$1,0),FALSE)=0,"",VLOOKUP($E62,'BDD'!$A$1:$S$567,MATCH(G$10,'BDD'!$A$1:$P$1,0),FALSE)),"")</f>
        <v>1040</v>
      </c>
      <c r="H62" t="s" s="548">
        <f>IF(VLOOKUP(E62,'BDD'!$A$1:$S$567,15,FALSE)=0,"Critère non évalué","")</f>
        <v>1770</v>
      </c>
      <c r="I62" t="s" s="546">
        <f>_xlfn.IFERROR(IF(VLOOKUP($E62,'BDD'!$A$1:$S$567,MATCH(I$10,'BDD'!$A$1:$P$1,0),FALSE)=0,"",VLOOKUP($E62,'BDD'!$A$1:$S$567,MATCH(I$10,'BDD'!$A$1:$P$1,0),FALSE)),"")</f>
        <v>271</v>
      </c>
      <c r="J62" s="549"/>
      <c r="K62" t="s" s="547">
        <f>_xlfn.IFERROR(IF(VLOOKUP($E62,'BDD'!$A$1:$S$567,MATCH(K$10,'BDD'!$A$1:$P$1,0),FALSE)=0,"",VLOOKUP($E62,'BDD'!$A$1:$S$567,MATCH(K$10,'BDD'!$A$1:$P$1,0),FALSE)),"")</f>
        <v>1041</v>
      </c>
      <c r="L62" s="550"/>
      <c r="M62" s="551"/>
      <c r="N62" s="551"/>
      <c r="O62" s="534"/>
      <c r="P62" s="890"/>
    </row>
    <row r="63" ht="130.05" customHeight="1">
      <c r="A63" s="887"/>
      <c r="B63" s="542"/>
      <c r="C63" t="s" s="543">
        <f>IF(LEFT(RIGHT($B$1,2),1)=" ",RIGHT($B$1,1),RIGHT($B$1,2))</f>
        <v>2173</v>
      </c>
      <c r="D63" s="544">
        <f>IF(LEFT(F63,14)="Bonne pratique",D62+1,D62)</f>
        <v>4</v>
      </c>
      <c r="E63" t="s" s="545">
        <f>C63&amp;D63&amp;RIGHT(F63,1)</f>
        <v>2198</v>
      </c>
      <c r="F63" t="s" s="552">
        <v>1776</v>
      </c>
      <c r="G63" t="s" s="540">
        <f>_xlfn.IFERROR(IF(VLOOKUP($E63,'BDD'!$A$1:$S$567,MATCH(G$10,'BDD'!$A$1:$P$1,0),FALSE)=0,"",VLOOKUP($E63,'BDD'!$A$1:$S$567,MATCH(G$10,'BDD'!$A$1:$P$1,0),FALSE)),"")</f>
        <v>1043</v>
      </c>
      <c r="H63" t="s" s="553">
        <f>IF(VLOOKUP(E63,'BDD'!$A$1:$S$567,15,FALSE)=0,"Critère non évalué","")</f>
        <v>1770</v>
      </c>
      <c r="I63" t="s" s="552">
        <f>_xlfn.IFERROR(IF(VLOOKUP($E63,'BDD'!$A$1:$S$567,MATCH(I$10,'BDD'!$A$1:$P$1,0),FALSE)=0,"",VLOOKUP($E63,'BDD'!$A$1:$S$567,MATCH(I$10,'BDD'!$A$1:$P$1,0),FALSE)),"")</f>
        <v>263</v>
      </c>
      <c r="J63" s="556"/>
      <c r="K63" t="s" s="540">
        <f>_xlfn.IFERROR(IF(VLOOKUP($E63,'BDD'!$A$1:$S$567,MATCH(K$10,'BDD'!$A$1:$P$1,0),FALSE)=0,"",VLOOKUP($E63,'BDD'!$A$1:$S$567,MATCH(K$10,'BDD'!$A$1:$P$1,0),FALSE)),"")</f>
        <v>1044</v>
      </c>
      <c r="L63" s="550"/>
      <c r="M63" s="555"/>
      <c r="N63" s="555"/>
      <c r="O63" s="534"/>
      <c r="P63" s="890"/>
    </row>
    <row r="64" ht="130.05" customHeight="1">
      <c r="A64" s="887"/>
      <c r="B64" s="542"/>
      <c r="C64" t="s" s="543">
        <f>IF(LEFT(RIGHT($B$1,2),1)=" ",RIGHT($B$1,1),RIGHT($B$1,2))</f>
        <v>2173</v>
      </c>
      <c r="D64" s="544">
        <f>IF(LEFT(F64,14)="Bonne pratique",D63+1,D63)</f>
        <v>4</v>
      </c>
      <c r="E64" t="s" s="545">
        <f>C64&amp;D64&amp;RIGHT(F64,1)</f>
        <v>2205</v>
      </c>
      <c r="F64" t="s" s="546">
        <v>1778</v>
      </c>
      <c r="G64" s="567">
        <f>_xlfn.IFERROR(IF(VLOOKUP($E64,'BDD'!$A$1:$S$567,MATCH(G$10,'BDD'!$A$1:$P$1,0),FALSE)=0,"",VLOOKUP($E64,'BDD'!$A$1:$S$567,MATCH(G$10,'BDD'!$A$1:$P$1,0),FALSE)),"")</f>
      </c>
      <c r="H64" s="568">
        <f>IF(VLOOKUP(E64,'BDD'!$A$1:$S$567,15,FALSE)=0,"Critère non évalué","")</f>
      </c>
      <c r="I64" s="569">
        <f>_xlfn.IFERROR(IF(VLOOKUP($E64,'BDD'!$A$1:$S$567,MATCH(I$10,'BDD'!$A$1:$P$1,0),FALSE)=0,"",VLOOKUP($E64,'BDD'!$A$1:$S$567,MATCH(I$10,'BDD'!$A$1:$P$1,0),FALSE)),"")</f>
      </c>
      <c r="J64" s="549"/>
      <c r="K64" s="567">
        <f>_xlfn.IFERROR(IF(VLOOKUP($E64,'BDD'!$A$1:$S$567,MATCH(K$10,'BDD'!$A$1:$P$1,0),FALSE)=0,"",VLOOKUP($E64,'BDD'!$A$1:$S$567,MATCH(K$10,'BDD'!$A$1:$P$1,0),FALSE)),"")</f>
      </c>
      <c r="L64" s="550"/>
      <c r="M64" s="557"/>
      <c r="N64" s="557"/>
      <c r="O64" s="534"/>
      <c r="P64" s="890"/>
    </row>
    <row r="65" ht="130.05" customHeight="1" hidden="1">
      <c r="A65" s="887"/>
      <c r="B65" s="542"/>
      <c r="C65" t="s" s="543">
        <f>IF(LEFT(RIGHT($B$1,2),1)=" ",RIGHT($B$1,1),RIGHT($B$1,2))</f>
        <v>2173</v>
      </c>
      <c r="D65" s="544">
        <f>IF(LEFT(F65,14)="Bonne pratique",D64+1,D64)</f>
        <v>4</v>
      </c>
      <c r="E65" s="566">
        <f>C65&amp;D65&amp;RIGHT(F65,1)</f>
      </c>
      <c r="F65" t="s" s="552">
        <v>1780</v>
      </c>
      <c r="G65" s="557">
        <f>_xlfn.IFERROR(IF(VLOOKUP($E65,'BDD'!$A$1:$S$567,MATCH(G$10,'BDD'!$A$1:$P$1,0),FALSE)=0,"",VLOOKUP($E65,'BDD'!$A$1:$S$567,MATCH(G$10,'BDD'!$A$1:$P$1,0),FALSE)),"")</f>
      </c>
      <c r="H65" s="570">
        <f>IF(VLOOKUP(E65,'BDD'!$A$1:$S$567,15,FALSE)=0,"Critère non évalué","")</f>
      </c>
      <c r="I65" s="571">
        <f>_xlfn.IFERROR(IF(VLOOKUP($E65,'BDD'!$A$1:$S$567,MATCH(I$10,'BDD'!$A$1:$P$1,0),FALSE)=0,"",VLOOKUP($E65,'BDD'!$A$1:$S$567,MATCH(I$10,'BDD'!$A$1:$P$1,0),FALSE)),"")</f>
      </c>
      <c r="J65" s="554"/>
      <c r="K65" s="557">
        <f>_xlfn.IFERROR(IF(VLOOKUP($E65,'BDD'!$A$1:$S$567,MATCH(K$10,'BDD'!$A$1:$P$1,0),FALSE)=0,"",VLOOKUP($E65,'BDD'!$A$1:$S$567,MATCH(K$10,'BDD'!$A$1:$P$1,0),FALSE)),"")</f>
      </c>
      <c r="L65" s="550"/>
      <c r="M65" s="555"/>
      <c r="N65" s="555"/>
      <c r="O65" s="534"/>
      <c r="P65" s="890"/>
    </row>
    <row r="66" ht="130.05" customHeight="1" hidden="1">
      <c r="A66" s="887"/>
      <c r="B66" s="542"/>
      <c r="C66" t="s" s="543">
        <f>IF(LEFT(RIGHT($B$1,2),1)=" ",RIGHT($B$1,1),RIGHT($B$1,2))</f>
        <v>2173</v>
      </c>
      <c r="D66" s="550">
        <f>IF(LEFT(F66,14)="Bonne pratique",D65+1,D65)</f>
      </c>
      <c r="E66" s="566">
        <f>C66&amp;D66&amp;RIGHT(F66,1)</f>
      </c>
      <c r="F66" t="s" s="546">
        <v>1782</v>
      </c>
      <c r="G66" s="567">
        <f>_xlfn.IFERROR(IF(VLOOKUP($E66,'BDD'!$A$1:$S$567,MATCH(G$10,'BDD'!$A$1:$P$1,0),FALSE)=0,"",VLOOKUP($E66,'BDD'!$A$1:$S$567,MATCH(G$10,'BDD'!$A$1:$P$1,0),FALSE)),"")</f>
      </c>
      <c r="H66" s="568">
        <f>IF(VLOOKUP(E66,'BDD'!$A$1:$S$567,15,FALSE)=0,"Critère non évalué","")</f>
      </c>
      <c r="I66" s="569">
        <f>_xlfn.IFERROR(IF(VLOOKUP($E66,'BDD'!$A$1:$S$567,MATCH(I$10,'BDD'!$A$1:$P$1,0),FALSE)=0,"",VLOOKUP($E66,'BDD'!$A$1:$S$567,MATCH(I$10,'BDD'!$A$1:$P$1,0),FALSE)),"")</f>
      </c>
      <c r="J66" s="549"/>
      <c r="K66" s="567">
        <f>_xlfn.IFERROR(IF(VLOOKUP($E66,'BDD'!$A$1:$S$567,MATCH(K$10,'BDD'!$A$1:$P$1,0),FALSE)=0,"",VLOOKUP($E66,'BDD'!$A$1:$S$567,MATCH(K$10,'BDD'!$A$1:$P$1,0),FALSE)),"")</f>
      </c>
      <c r="L66" s="550"/>
      <c r="M66" s="557"/>
      <c r="N66" s="557"/>
      <c r="O66" s="534"/>
      <c r="P66" s="890"/>
    </row>
    <row r="67" ht="15" customHeight="1">
      <c r="A67" s="887"/>
      <c r="B67" s="61"/>
      <c r="C67" t="s" s="513">
        <f>IF(LEFT(RIGHT($B$1,2),1)=" ",RIGHT($B$1,1),RIGHT($B$1,2))</f>
        <v>2173</v>
      </c>
      <c r="D67" s="61">
        <f>IF(LEFT(F67,14)="Bonne pratique",D66+1,D66)</f>
      </c>
      <c r="E67" s="565">
        <f>C67&amp;D67&amp;RIGHT(F67,1)</f>
      </c>
      <c r="F67" s="559"/>
      <c r="G67" s="559"/>
      <c r="H67" s="559"/>
      <c r="I67" s="559"/>
      <c r="J67" s="559"/>
      <c r="K67" s="559"/>
      <c r="L67" s="61"/>
      <c r="M67" s="559"/>
      <c r="N67" s="559"/>
      <c r="O67" s="61"/>
      <c r="P67" s="890"/>
    </row>
    <row r="68" ht="14.4" customHeight="1">
      <c r="A68" s="887"/>
      <c r="B68" s="61"/>
      <c r="C68" t="s" s="513">
        <f>IF(LEFT(RIGHT($B$1,2),1)=" ",RIGHT($B$1,1),RIGHT($B$1,2))</f>
        <v>2173</v>
      </c>
      <c r="D68" s="61"/>
      <c r="E68" s="565"/>
      <c r="F68" s="61"/>
      <c r="G68" s="61"/>
      <c r="H68" s="61"/>
      <c r="I68" s="61"/>
      <c r="J68" s="61"/>
      <c r="K68" s="61"/>
      <c r="L68" s="61"/>
      <c r="M68" s="61"/>
      <c r="N68" s="61"/>
      <c r="O68" s="61"/>
      <c r="P68" s="890"/>
    </row>
    <row r="69" ht="14.4" customHeight="1">
      <c r="A69" s="887"/>
      <c r="B69" s="61"/>
      <c r="C69" t="s" s="513">
        <f>IF(LEFT(RIGHT($B$1,2),1)=" ",RIGHT($B$1,1),RIGHT($B$1,2))</f>
        <v>2173</v>
      </c>
      <c r="D69" s="61"/>
      <c r="E69" s="565"/>
      <c r="F69" s="61"/>
      <c r="G69" s="61"/>
      <c r="H69" s="61"/>
      <c r="I69" s="61"/>
      <c r="J69" s="61"/>
      <c r="K69" s="61"/>
      <c r="L69" s="61"/>
      <c r="M69" s="61"/>
      <c r="N69" s="61"/>
      <c r="O69" s="61"/>
      <c r="P69" s="890"/>
    </row>
    <row r="70" ht="14.4" customHeight="1">
      <c r="A70" s="887"/>
      <c r="B70" s="61"/>
      <c r="C70" t="s" s="513">
        <f>IF(LEFT(RIGHT($B$1,2),1)=" ",RIGHT($B$1,1),RIGHT($B$1,2))</f>
        <v>2173</v>
      </c>
      <c r="D70" s="61"/>
      <c r="E70" s="565"/>
      <c r="F70" s="61"/>
      <c r="G70" s="61"/>
      <c r="H70" s="61"/>
      <c r="I70" s="61"/>
      <c r="J70" s="61"/>
      <c r="K70" s="61"/>
      <c r="L70" s="61"/>
      <c r="M70" s="61"/>
      <c r="N70" s="61"/>
      <c r="O70" s="61"/>
      <c r="P70" s="890"/>
    </row>
    <row r="71" ht="25.8" customHeight="1">
      <c r="A71" s="891"/>
      <c r="B71" s="512"/>
      <c r="C71" t="s" s="513">
        <f>IF(LEFT(RIGHT($B$1,2),1)=" ",RIGHT($B$1,1),RIGHT($B$1,2))</f>
        <v>2173</v>
      </c>
      <c r="D71" s="61">
        <f>IF(LEFT(F71,14)="Bonne pratique",D67+1,D67)</f>
      </c>
      <c r="E71" s="565">
        <f>C71&amp;D71&amp;RIGHT(F71,1)</f>
      </c>
      <c r="F71" t="s" s="516">
        <v>1814</v>
      </c>
      <c r="G71" s="517"/>
      <c r="H71" s="518"/>
      <c r="I71" s="519"/>
      <c r="J71" s="519">
        <f>VLOOKUP(E78,'BDD'!$A$2:$N$567,6,FALSE)</f>
      </c>
      <c r="K71" s="521"/>
      <c r="L71" s="517"/>
      <c r="M71" s="517"/>
      <c r="N71" s="517"/>
      <c r="O71" s="512"/>
      <c r="P71" s="892"/>
    </row>
    <row r="72" ht="15" customHeight="1">
      <c r="A72" s="887"/>
      <c r="B72" s="61"/>
      <c r="C72" t="s" s="513">
        <f>IF(LEFT(RIGHT($B$1,2),1)=" ",RIGHT($B$1,1),RIGHT($B$1,2))</f>
        <v>2173</v>
      </c>
      <c r="D72" s="61">
        <f>IF(LEFT(F72,14)="Bonne pratique",D71+1,D71)</f>
      </c>
      <c r="E72" s="565">
        <f>C72&amp;D72&amp;RIGHT(F72,1)</f>
      </c>
      <c r="F72" s="61"/>
      <c r="G72" s="61"/>
      <c r="H72" s="61"/>
      <c r="I72" s="61"/>
      <c r="J72" s="61"/>
      <c r="K72" s="61"/>
      <c r="L72" s="61"/>
      <c r="M72" s="61"/>
      <c r="N72" s="61"/>
      <c r="O72" s="61"/>
      <c r="P72" s="890"/>
    </row>
    <row r="73" ht="18" customHeight="1">
      <c r="A73" s="893"/>
      <c r="B73" s="524"/>
      <c r="C73" t="s" s="513">
        <f>IF(LEFT(RIGHT($B$1,2),1)=" ",RIGHT($B$1,1),RIGHT($B$1,2))</f>
        <v>2173</v>
      </c>
      <c r="D73" s="61">
        <f>IF(LEFT(F73,14)="Bonne pratique",D72+1,D72)</f>
      </c>
      <c r="E73" s="565">
        <f>C73&amp;D73&amp;RIGHT(F73,1)</f>
      </c>
      <c r="F73" s="524"/>
      <c r="G73" s="524"/>
      <c r="H73" s="524"/>
      <c r="I73" s="525"/>
      <c r="J73" t="s" s="526">
        <v>2206</v>
      </c>
      <c r="K73" s="525"/>
      <c r="L73" s="524"/>
      <c r="M73" s="524"/>
      <c r="N73" s="524"/>
      <c r="O73" s="524"/>
      <c r="P73" s="894"/>
    </row>
    <row r="74" ht="18" customHeight="1">
      <c r="A74" s="887"/>
      <c r="B74" s="61"/>
      <c r="C74" t="s" s="513">
        <f>IF(LEFT(RIGHT($B$1,2),1)=" ",RIGHT($B$1,1),RIGHT($B$1,2))</f>
        <v>2173</v>
      </c>
      <c r="D74" s="61">
        <f>IF(LEFT(F74,14)="Bonne pratique",D73+1,D73)</f>
      </c>
      <c r="E74" s="565">
        <f>C74&amp;D74&amp;RIGHT(F74,1)</f>
      </c>
      <c r="F74" s="61"/>
      <c r="G74" s="61"/>
      <c r="H74" s="61"/>
      <c r="I74" s="61"/>
      <c r="J74" t="s" s="526">
        <v>2207</v>
      </c>
      <c r="K74" s="61"/>
      <c r="L74" s="61"/>
      <c r="M74" s="529"/>
      <c r="N74" s="529"/>
      <c r="O74" s="61"/>
      <c r="P74" s="890"/>
    </row>
    <row r="75" ht="15" customHeight="1">
      <c r="A75" s="887"/>
      <c r="B75" s="61"/>
      <c r="C75" t="s" s="513">
        <f>IF(LEFT(RIGHT($B$1,2),1)=" ",RIGHT($B$1,1),RIGHT($B$1,2))</f>
        <v>2173</v>
      </c>
      <c r="D75" s="61">
        <f>IF(LEFT(F75,14)="Bonne pratique",D74+1,D74)</f>
      </c>
      <c r="E75" s="565">
        <f>C75&amp;D75&amp;RIGHT(F75,1)</f>
      </c>
      <c r="F75" s="61"/>
      <c r="G75" s="529"/>
      <c r="H75" s="529"/>
      <c r="I75" s="529"/>
      <c r="J75" s="530"/>
      <c r="K75" s="529"/>
      <c r="L75" s="542"/>
      <c r="M75" t="s" s="562">
        <v>1763</v>
      </c>
      <c r="N75" s="563"/>
      <c r="O75" s="534"/>
      <c r="P75" s="890"/>
    </row>
    <row r="76" ht="33" customHeight="1">
      <c r="A76" s="887"/>
      <c r="B76" s="61"/>
      <c r="C76" t="s" s="513">
        <f>IF(LEFT(RIGHT($B$1,2),1)=" ",RIGHT($B$1,1),RIGHT($B$1,2))</f>
        <v>2173</v>
      </c>
      <c r="D76" s="61">
        <f>IF(LEFT(F76,14)="Bonne pratique",D75+1,D75)</f>
      </c>
      <c r="E76" s="565">
        <f>C76&amp;D76&amp;RIGHT(F76,1)</f>
      </c>
      <c r="F76" s="564"/>
      <c r="G76" t="s" s="536">
        <v>244</v>
      </c>
      <c r="H76" t="s" s="536">
        <v>1764</v>
      </c>
      <c r="I76" t="s" s="536">
        <v>1787</v>
      </c>
      <c r="J76" t="s" s="536">
        <v>1765</v>
      </c>
      <c r="K76" t="s" s="536">
        <v>1788</v>
      </c>
      <c r="L76" s="538"/>
      <c r="M76" t="s" s="539">
        <v>1766</v>
      </c>
      <c r="N76" t="s" s="540">
        <v>1767</v>
      </c>
      <c r="O76" s="534"/>
      <c r="P76" s="890"/>
    </row>
    <row r="77" ht="15" customHeight="1">
      <c r="A77" s="887"/>
      <c r="B77" s="61"/>
      <c r="C77" t="s" s="513">
        <f>IF(LEFT(RIGHT($B$1,2),1)=" ",RIGHT($B$1,1),RIGHT($B$1,2))</f>
        <v>2173</v>
      </c>
      <c r="D77" s="61">
        <f>IF(LEFT(F77,14)="Bonne pratique",D76+1,D76)</f>
      </c>
      <c r="E77" s="565">
        <f>C77&amp;D77&amp;RIGHT(F77,1)</f>
      </c>
      <c r="F77" s="529"/>
      <c r="G77" s="541"/>
      <c r="H77" s="541"/>
      <c r="I77" s="541"/>
      <c r="J77" s="541"/>
      <c r="K77" s="541"/>
      <c r="L77" s="61"/>
      <c r="M77" s="541"/>
      <c r="N77" s="541"/>
      <c r="O77" s="61"/>
      <c r="P77" s="890"/>
    </row>
    <row r="78" ht="130.05" customHeight="1">
      <c r="A78" s="887"/>
      <c r="B78" s="542"/>
      <c r="C78" t="s" s="543">
        <f>IF(LEFT(RIGHT($B$1,2),1)=" ",RIGHT($B$1,1),RIGHT($B$1,2))</f>
        <v>2173</v>
      </c>
      <c r="D78" s="550">
        <f>IF(LEFT(F78,14)="Bonne pratique",D77+1,D77)</f>
      </c>
      <c r="E78" s="566">
        <f>C78&amp;D78&amp;RIGHT(F78,1)</f>
      </c>
      <c r="F78" t="s" s="546">
        <v>1769</v>
      </c>
      <c r="G78" s="567">
        <f>_xlfn.IFERROR(IF(VLOOKUP($E78,'BDD'!$A$1:$S$567,MATCH(G$10,'BDD'!$A$1:$P$1,0),FALSE)=0,"",VLOOKUP($E78,'BDD'!$A$1:$S$567,MATCH(G$10,'BDD'!$A$1:$P$1,0),FALSE)),"")</f>
      </c>
      <c r="H78" s="568">
        <f>IF(VLOOKUP(E78,'BDD'!$A$1:$S$567,15,FALSE)=0,"Critère non évalué","")</f>
      </c>
      <c r="I78" s="569">
        <f>_xlfn.IFERROR(IF(VLOOKUP($E78,'BDD'!$A$1:$S$567,MATCH(I$10,'BDD'!$A$1:$P$1,0),FALSE)=0,"",VLOOKUP($E78,'BDD'!$A$1:$S$567,MATCH(I$10,'BDD'!$A$1:$P$1,0),FALSE)),"")</f>
      </c>
      <c r="J78" s="549"/>
      <c r="K78" s="567">
        <f>_xlfn.IFERROR(IF(VLOOKUP($E78,'BDD'!$A$1:$S$567,MATCH(K$10,'BDD'!$A$1:$P$1,0),FALSE)=0,"",VLOOKUP($E78,'BDD'!$A$1:$S$567,MATCH(K$10,'BDD'!$A$1:$P$1,0),FALSE)),"")</f>
      </c>
      <c r="L78" s="550"/>
      <c r="M78" s="551"/>
      <c r="N78" s="551"/>
      <c r="O78" s="534"/>
      <c r="P78" s="890"/>
    </row>
    <row r="79" ht="130.05" customHeight="1">
      <c r="A79" s="887"/>
      <c r="B79" s="542"/>
      <c r="C79" t="s" s="543">
        <f>IF(LEFT(RIGHT($B$1,2),1)=" ",RIGHT($B$1,1),RIGHT($B$1,2))</f>
        <v>2173</v>
      </c>
      <c r="D79" s="550">
        <f>IF(LEFT(F79,14)="Bonne pratique",D78+1,D78)</f>
      </c>
      <c r="E79" s="566">
        <f>C79&amp;D79&amp;RIGHT(F79,1)</f>
      </c>
      <c r="F79" t="s" s="552">
        <v>1772</v>
      </c>
      <c r="G79" s="557">
        <f>_xlfn.IFERROR(IF(VLOOKUP($E79,'BDD'!$A$1:$S$567,MATCH(G$10,'BDD'!$A$1:$P$1,0),FALSE)=0,"",VLOOKUP($E79,'BDD'!$A$1:$S$567,MATCH(G$10,'BDD'!$A$1:$P$1,0),FALSE)),"")</f>
      </c>
      <c r="H79" s="570">
        <f>IF(VLOOKUP(E79,'BDD'!$A$1:$S$567,15,FALSE)=0,"Critère non évalué","")</f>
      </c>
      <c r="I79" s="571">
        <f>_xlfn.IFERROR(IF(VLOOKUP($E79,'BDD'!$A$1:$S$567,MATCH(I$10,'BDD'!$A$1:$P$1,0),FALSE)=0,"",VLOOKUP($E79,'BDD'!$A$1:$S$567,MATCH(I$10,'BDD'!$A$1:$P$1,0),FALSE)),"")</f>
      </c>
      <c r="J79" s="554"/>
      <c r="K79" s="557">
        <f>_xlfn.IFERROR(IF(VLOOKUP($E79,'BDD'!$A$1:$S$567,MATCH(K$10,'BDD'!$A$1:$P$1,0),FALSE)=0,"",VLOOKUP($E79,'BDD'!$A$1:$S$567,MATCH(K$10,'BDD'!$A$1:$P$1,0),FALSE)),"")</f>
      </c>
      <c r="L79" s="550"/>
      <c r="M79" s="555"/>
      <c r="N79" s="555"/>
      <c r="O79" s="534"/>
      <c r="P79" s="890"/>
    </row>
    <row r="80" ht="130.05" customHeight="1">
      <c r="A80" s="887"/>
      <c r="B80" s="542"/>
      <c r="C80" t="s" s="543">
        <f>IF(LEFT(RIGHT($B$1,2),1)=" ",RIGHT($B$1,1),RIGHT($B$1,2))</f>
        <v>2173</v>
      </c>
      <c r="D80" s="550">
        <f>IF(LEFT(F80,14)="Bonne pratique",D79+1,D79)</f>
      </c>
      <c r="E80" s="566">
        <f>C80&amp;D80&amp;RIGHT(F80,1)</f>
      </c>
      <c r="F80" t="s" s="546">
        <v>1774</v>
      </c>
      <c r="G80" s="567">
        <f>_xlfn.IFERROR(IF(VLOOKUP($E80,'BDD'!$A$1:$S$567,MATCH(G$10,'BDD'!$A$1:$P$1,0),FALSE)=0,"",VLOOKUP($E80,'BDD'!$A$1:$S$567,MATCH(G$10,'BDD'!$A$1:$P$1,0),FALSE)),"")</f>
      </c>
      <c r="H80" s="568">
        <f>IF(VLOOKUP(E80,'BDD'!$A$1:$S$567,15,FALSE)=0,"Critère non évalué","")</f>
      </c>
      <c r="I80" s="569">
        <f>_xlfn.IFERROR(IF(VLOOKUP($E80,'BDD'!$A$1:$S$567,MATCH(I$10,'BDD'!$A$1:$P$1,0),FALSE)=0,"",VLOOKUP($E80,'BDD'!$A$1:$S$567,MATCH(I$10,'BDD'!$A$1:$P$1,0),FALSE)),"")</f>
      </c>
      <c r="J80" s="549"/>
      <c r="K80" s="567">
        <f>_xlfn.IFERROR(IF(VLOOKUP($E80,'BDD'!$A$1:$S$567,MATCH(K$10,'BDD'!$A$1:$P$1,0),FALSE)=0,"",VLOOKUP($E80,'BDD'!$A$1:$S$567,MATCH(K$10,'BDD'!$A$1:$P$1,0),FALSE)),"")</f>
      </c>
      <c r="L80" s="550"/>
      <c r="M80" s="551"/>
      <c r="N80" s="551"/>
      <c r="O80" s="534"/>
      <c r="P80" s="890"/>
    </row>
    <row r="81" ht="130.05" customHeight="1">
      <c r="A81" s="887"/>
      <c r="B81" s="542"/>
      <c r="C81" t="s" s="543">
        <f>IF(LEFT(RIGHT($B$1,2),1)=" ",RIGHT($B$1,1),RIGHT($B$1,2))</f>
        <v>2173</v>
      </c>
      <c r="D81" s="550">
        <f>IF(LEFT(F81,14)="Bonne pratique",D80+1,D80)</f>
      </c>
      <c r="E81" s="566">
        <f>C81&amp;D81&amp;RIGHT(F81,1)</f>
      </c>
      <c r="F81" t="s" s="552">
        <v>1776</v>
      </c>
      <c r="G81" s="557">
        <f>_xlfn.IFERROR(IF(VLOOKUP($E81,'BDD'!$A$1:$S$567,MATCH(G$10,'BDD'!$A$1:$P$1,0),FALSE)=0,"",VLOOKUP($E81,'BDD'!$A$1:$S$567,MATCH(G$10,'BDD'!$A$1:$P$1,0),FALSE)),"")</f>
      </c>
      <c r="H81" s="570">
        <f>IF(VLOOKUP(E81,'BDD'!$A$1:$S$567,15,FALSE)=0,"Critère non évalué","")</f>
      </c>
      <c r="I81" s="571">
        <f>_xlfn.IFERROR(IF(VLOOKUP($E81,'BDD'!$A$1:$S$567,MATCH(I$10,'BDD'!$A$1:$P$1,0),FALSE)=0,"",VLOOKUP($E81,'BDD'!$A$1:$S$567,MATCH(I$10,'BDD'!$A$1:$P$1,0),FALSE)),"")</f>
      </c>
      <c r="J81" s="556"/>
      <c r="K81" s="557">
        <f>_xlfn.IFERROR(IF(VLOOKUP($E81,'BDD'!$A$1:$S$567,MATCH(K$10,'BDD'!$A$1:$P$1,0),FALSE)=0,"",VLOOKUP($E81,'BDD'!$A$1:$S$567,MATCH(K$10,'BDD'!$A$1:$P$1,0),FALSE)),"")</f>
      </c>
      <c r="L81" s="550"/>
      <c r="M81" s="555"/>
      <c r="N81" s="555"/>
      <c r="O81" s="534"/>
      <c r="P81" s="890"/>
    </row>
    <row r="82" ht="130.05" customHeight="1" hidden="1">
      <c r="A82" s="887"/>
      <c r="B82" s="542"/>
      <c r="C82" t="s" s="543">
        <f>IF(LEFT(RIGHT($B$1,2),1)=" ",RIGHT($B$1,1),RIGHT($B$1,2))</f>
        <v>2173</v>
      </c>
      <c r="D82" s="550">
        <f>IF(LEFT(F82,14)="Bonne pratique",D81+1,D81)</f>
      </c>
      <c r="E82" s="566">
        <f>C82&amp;D82&amp;RIGHT(F82,1)</f>
      </c>
      <c r="F82" t="s" s="546">
        <v>1778</v>
      </c>
      <c r="G82" s="567">
        <f>_xlfn.IFERROR(IF(VLOOKUP($E82,'BDD'!$A$1:$S$567,MATCH(G$10,'BDD'!$A$1:$P$1,0),FALSE)=0,"",VLOOKUP($E82,'BDD'!$A$1:$S$567,MATCH(G$10,'BDD'!$A$1:$P$1,0),FALSE)),"")</f>
      </c>
      <c r="H82" s="568">
        <f>IF(VLOOKUP(E82,'BDD'!$A$1:$S$567,15,FALSE)=0,"Critère non évalué","")</f>
      </c>
      <c r="I82" s="569">
        <f>_xlfn.IFERROR(IF(VLOOKUP($E82,'BDD'!$A$1:$S$567,MATCH(I$10,'BDD'!$A$1:$P$1,0),FALSE)=0,"",VLOOKUP($E82,'BDD'!$A$1:$S$567,MATCH(I$10,'BDD'!$A$1:$P$1,0),FALSE)),"")</f>
      </c>
      <c r="J82" s="549"/>
      <c r="K82" s="567">
        <f>_xlfn.IFERROR(IF(VLOOKUP($E82,'BDD'!$A$1:$S$567,MATCH(K$10,'BDD'!$A$1:$P$1,0),FALSE)=0,"",VLOOKUP($E82,'BDD'!$A$1:$S$567,MATCH(K$10,'BDD'!$A$1:$P$1,0),FALSE)),"")</f>
      </c>
      <c r="L82" s="550"/>
      <c r="M82" s="557"/>
      <c r="N82" s="557"/>
      <c r="O82" s="534"/>
      <c r="P82" s="890"/>
    </row>
    <row r="83" ht="130.05" customHeight="1" hidden="1">
      <c r="A83" s="887"/>
      <c r="B83" s="542"/>
      <c r="C83" t="s" s="543">
        <f>IF(LEFT(RIGHT($B$1,2),1)=" ",RIGHT($B$1,1),RIGHT($B$1,2))</f>
        <v>2173</v>
      </c>
      <c r="D83" s="550">
        <f>IF(LEFT(F83,14)="Bonne pratique",D82+1,D82)</f>
      </c>
      <c r="E83" s="566">
        <f>C83&amp;D83&amp;RIGHT(F83,1)</f>
      </c>
      <c r="F83" t="s" s="552">
        <v>1780</v>
      </c>
      <c r="G83" s="557">
        <f>_xlfn.IFERROR(IF(VLOOKUP($E83,'BDD'!$A$1:$S$567,MATCH(G$10,'BDD'!$A$1:$P$1,0),FALSE)=0,"",VLOOKUP($E83,'BDD'!$A$1:$S$567,MATCH(G$10,'BDD'!$A$1:$P$1,0),FALSE)),"")</f>
      </c>
      <c r="H83" s="570">
        <f>IF(VLOOKUP(E83,'BDD'!$A$1:$S$567,15,FALSE)=0,"Critère non évalué","")</f>
      </c>
      <c r="I83" s="571">
        <f>_xlfn.IFERROR(IF(VLOOKUP($E83,'BDD'!$A$1:$S$567,MATCH(I$10,'BDD'!$A$1:$P$1,0),FALSE)=0,"",VLOOKUP($E83,'BDD'!$A$1:$S$567,MATCH(I$10,'BDD'!$A$1:$P$1,0),FALSE)),"")</f>
      </c>
      <c r="J83" s="556"/>
      <c r="K83" s="557">
        <f>_xlfn.IFERROR(IF(VLOOKUP($E83,'BDD'!$A$1:$S$567,MATCH(K$10,'BDD'!$A$1:$P$1,0),FALSE)=0,"",VLOOKUP($E83,'BDD'!$A$1:$S$567,MATCH(K$10,'BDD'!$A$1:$P$1,0),FALSE)),"")</f>
      </c>
      <c r="L83" s="550"/>
      <c r="M83" s="555"/>
      <c r="N83" s="555"/>
      <c r="O83" s="534"/>
      <c r="P83" s="890"/>
    </row>
    <row r="84" ht="130.05" customHeight="1" hidden="1">
      <c r="A84" s="887"/>
      <c r="B84" s="542"/>
      <c r="C84" t="s" s="543">
        <f>IF(LEFT(RIGHT($B$1,2),1)=" ",RIGHT($B$1,1),RIGHT($B$1,2))</f>
        <v>2173</v>
      </c>
      <c r="D84" s="550">
        <f>IF(LEFT(F84,14)="Bonne pratique",D83+1,D83)</f>
      </c>
      <c r="E84" s="566">
        <f>C84&amp;D84&amp;RIGHT(F84,1)</f>
      </c>
      <c r="F84" t="s" s="546">
        <v>1782</v>
      </c>
      <c r="G84" s="567">
        <f>_xlfn.IFERROR(IF(VLOOKUP($E84,'BDD'!$A$1:$S$567,MATCH(G$10,'BDD'!$A$1:$P$1,0),FALSE)=0,"",VLOOKUP($E84,'BDD'!$A$1:$S$567,MATCH(G$10,'BDD'!$A$1:$P$1,0),FALSE)),"")</f>
      </c>
      <c r="H84" s="568">
        <f>IF(VLOOKUP(E84,'BDD'!$A$1:$S$567,15,FALSE)=0,"Critère non évalué","")</f>
      </c>
      <c r="I84" s="569">
        <f>_xlfn.IFERROR(IF(VLOOKUP($E84,'BDD'!$A$1:$S$567,MATCH(I$10,'BDD'!$A$1:$P$1,0),FALSE)=0,"",VLOOKUP($E84,'BDD'!$A$1:$S$567,MATCH(I$10,'BDD'!$A$1:$P$1,0),FALSE)),"")</f>
      </c>
      <c r="J84" s="549"/>
      <c r="K84" s="567">
        <f>_xlfn.IFERROR(IF(VLOOKUP($E84,'BDD'!$A$1:$S$567,MATCH(K$10,'BDD'!$A$1:$P$1,0),FALSE)=0,"",VLOOKUP($E84,'BDD'!$A$1:$S$567,MATCH(K$10,'BDD'!$A$1:$P$1,0),FALSE)),"")</f>
      </c>
      <c r="L84" s="550"/>
      <c r="M84" s="557"/>
      <c r="N84" s="557"/>
      <c r="O84" s="534"/>
      <c r="P84" s="890"/>
    </row>
    <row r="85" ht="14.4" customHeight="1">
      <c r="A85" s="887"/>
      <c r="B85" s="61"/>
      <c r="C85" t="s" s="513">
        <f>IF(LEFT(RIGHT($B$1,2),1)=" ",RIGHT($B$1,1),RIGHT($B$1,2))</f>
        <v>2173</v>
      </c>
      <c r="D85" s="61"/>
      <c r="E85" s="61"/>
      <c r="F85" s="559"/>
      <c r="G85" s="559"/>
      <c r="H85" s="559"/>
      <c r="I85" s="559"/>
      <c r="J85" s="559"/>
      <c r="K85" s="559"/>
      <c r="L85" s="61"/>
      <c r="M85" s="559"/>
      <c r="N85" s="559"/>
      <c r="O85" s="61"/>
      <c r="P85" s="890"/>
    </row>
    <row r="86" ht="14.4" customHeight="1">
      <c r="A86" s="887"/>
      <c r="B86" s="61"/>
      <c r="C86" t="s" s="513">
        <f>IF(LEFT(RIGHT($B$1,2),1)=" ",RIGHT($B$1,1),RIGHT($B$1,2))</f>
        <v>2173</v>
      </c>
      <c r="D86" s="61"/>
      <c r="E86" s="61"/>
      <c r="F86" s="61"/>
      <c r="G86" s="61"/>
      <c r="H86" s="61"/>
      <c r="I86" s="61"/>
      <c r="J86" s="61"/>
      <c r="K86" s="61"/>
      <c r="L86" s="61"/>
      <c r="M86" s="61"/>
      <c r="N86" s="61"/>
      <c r="O86" s="61"/>
      <c r="P86" s="890"/>
    </row>
    <row r="87" ht="25.8" customHeight="1">
      <c r="A87" s="891"/>
      <c r="B87" s="512"/>
      <c r="C87" t="s" s="513">
        <f>IF(LEFT(RIGHT($B$1,2),1)=" ",RIGHT($B$1,1),RIGHT($B$1,2))</f>
        <v>2173</v>
      </c>
      <c r="D87" s="61">
        <f>IF(LEFT(F87,14)="Bonne pratique",D83+1,D83)</f>
      </c>
      <c r="E87" s="565">
        <f>C87&amp;D87&amp;RIGHT(F87,1)</f>
      </c>
      <c r="F87" t="s" s="516">
        <v>1887</v>
      </c>
      <c r="G87" s="517"/>
      <c r="H87" s="518"/>
      <c r="I87" s="519"/>
      <c r="J87" s="519">
        <f>VLOOKUP(E94,'BDD'!$A$2:$N$567,6,FALSE)</f>
      </c>
      <c r="K87" s="521"/>
      <c r="L87" s="517"/>
      <c r="M87" s="517"/>
      <c r="N87" s="517"/>
      <c r="O87" s="512"/>
      <c r="P87" s="892"/>
    </row>
    <row r="88" ht="15" customHeight="1">
      <c r="A88" s="887"/>
      <c r="B88" s="61"/>
      <c r="C88" t="s" s="513">
        <f>IF(LEFT(RIGHT($B$1,2),1)=" ",RIGHT($B$1,1),RIGHT($B$1,2))</f>
        <v>2173</v>
      </c>
      <c r="D88" s="61">
        <f>IF(LEFT(F88,14)="Bonne pratique",D87+1,D87)</f>
      </c>
      <c r="E88" s="565">
        <f>C88&amp;D88&amp;RIGHT(F88,1)</f>
      </c>
      <c r="F88" s="61"/>
      <c r="G88" s="61"/>
      <c r="H88" s="61"/>
      <c r="I88" s="61"/>
      <c r="J88" s="61"/>
      <c r="K88" s="61"/>
      <c r="L88" s="61"/>
      <c r="M88" s="61"/>
      <c r="N88" s="61"/>
      <c r="O88" s="61"/>
      <c r="P88" s="890"/>
    </row>
    <row r="89" ht="18" customHeight="1">
      <c r="A89" s="893"/>
      <c r="B89" s="524"/>
      <c r="C89" t="s" s="513">
        <f>IF(LEFT(RIGHT($B$1,2),1)=" ",RIGHT($B$1,1),RIGHT($B$1,2))</f>
        <v>2173</v>
      </c>
      <c r="D89" s="61">
        <f>IF(LEFT(F89,14)="Bonne pratique",D88+1,D88)</f>
      </c>
      <c r="E89" s="565">
        <f>C89&amp;D89&amp;RIGHT(F89,1)</f>
      </c>
      <c r="F89" s="524"/>
      <c r="G89" s="524"/>
      <c r="H89" s="524"/>
      <c r="I89" s="525"/>
      <c r="J89" t="s" s="526">
        <v>2208</v>
      </c>
      <c r="K89" s="525"/>
      <c r="L89" s="524"/>
      <c r="M89" s="524"/>
      <c r="N89" s="524"/>
      <c r="O89" s="524"/>
      <c r="P89" s="894"/>
    </row>
    <row r="90" ht="18" customHeight="1">
      <c r="A90" s="887"/>
      <c r="B90" s="61"/>
      <c r="C90" t="s" s="513">
        <f>IF(LEFT(RIGHT($B$1,2),1)=" ",RIGHT($B$1,1),RIGHT($B$1,2))</f>
        <v>2173</v>
      </c>
      <c r="D90" s="61">
        <f>IF(LEFT(F90,14)="Bonne pratique",D89+1,D89)</f>
      </c>
      <c r="E90" s="565">
        <f>C90&amp;D90&amp;RIGHT(F90,1)</f>
      </c>
      <c r="F90" s="61"/>
      <c r="G90" s="61"/>
      <c r="H90" s="61"/>
      <c r="I90" s="61"/>
      <c r="J90" t="s" s="526">
        <v>2209</v>
      </c>
      <c r="K90" s="61"/>
      <c r="L90" s="61"/>
      <c r="M90" s="529"/>
      <c r="N90" s="529"/>
      <c r="O90" s="61"/>
      <c r="P90" s="890"/>
    </row>
    <row r="91" ht="15" customHeight="1">
      <c r="A91" s="887"/>
      <c r="B91" s="61"/>
      <c r="C91" t="s" s="513">
        <f>IF(LEFT(RIGHT($B$1,2),1)=" ",RIGHT($B$1,1),RIGHT($B$1,2))</f>
        <v>2173</v>
      </c>
      <c r="D91" s="61">
        <f>IF(LEFT(F91,14)="Bonne pratique",D90+1,D90)</f>
      </c>
      <c r="E91" s="565">
        <f>C91&amp;D91&amp;RIGHT(F91,1)</f>
      </c>
      <c r="F91" s="61"/>
      <c r="G91" s="529"/>
      <c r="H91" s="529"/>
      <c r="I91" s="529"/>
      <c r="J91" s="530"/>
      <c r="K91" s="529"/>
      <c r="L91" s="542"/>
      <c r="M91" t="s" s="562">
        <v>1763</v>
      </c>
      <c r="N91" s="563"/>
      <c r="O91" s="534"/>
      <c r="P91" s="890"/>
    </row>
    <row r="92" ht="33" customHeight="1">
      <c r="A92" s="887"/>
      <c r="B92" s="61"/>
      <c r="C92" t="s" s="513">
        <f>IF(LEFT(RIGHT($B$1,2),1)=" ",RIGHT($B$1,1),RIGHT($B$1,2))</f>
        <v>2173</v>
      </c>
      <c r="D92" s="61">
        <f>IF(LEFT(F92,14)="Bonne pratique",D91+1,D91)</f>
      </c>
      <c r="E92" s="565">
        <f>C92&amp;D92&amp;RIGHT(F92,1)</f>
      </c>
      <c r="F92" s="564"/>
      <c r="G92" t="s" s="536">
        <v>244</v>
      </c>
      <c r="H92" t="s" s="536">
        <v>1764</v>
      </c>
      <c r="I92" t="s" s="536">
        <v>1787</v>
      </c>
      <c r="J92" t="s" s="536">
        <v>1765</v>
      </c>
      <c r="K92" t="s" s="536">
        <v>1788</v>
      </c>
      <c r="L92" s="538"/>
      <c r="M92" t="s" s="539">
        <v>1766</v>
      </c>
      <c r="N92" t="s" s="540">
        <v>1767</v>
      </c>
      <c r="O92" s="534"/>
      <c r="P92" s="890"/>
    </row>
    <row r="93" ht="15" customHeight="1">
      <c r="A93" s="887"/>
      <c r="B93" s="61"/>
      <c r="C93" t="s" s="513">
        <f>IF(LEFT(RIGHT($B$1,2),1)=" ",RIGHT($B$1,1),RIGHT($B$1,2))</f>
        <v>2173</v>
      </c>
      <c r="D93" s="61">
        <f>IF(LEFT(F93,14)="Bonne pratique",D92+1,D92)</f>
      </c>
      <c r="E93" s="565">
        <f>C93&amp;D93&amp;RIGHT(F93,1)</f>
      </c>
      <c r="F93" s="529"/>
      <c r="G93" s="541"/>
      <c r="H93" s="541"/>
      <c r="I93" s="541"/>
      <c r="J93" s="541"/>
      <c r="K93" s="541"/>
      <c r="L93" s="61"/>
      <c r="M93" s="541"/>
      <c r="N93" s="541"/>
      <c r="O93" s="61"/>
      <c r="P93" s="890"/>
    </row>
    <row r="94" ht="130.05" customHeight="1">
      <c r="A94" s="887"/>
      <c r="B94" s="542"/>
      <c r="C94" t="s" s="543">
        <f>IF(LEFT(RIGHT($B$1,2),1)=" ",RIGHT($B$1,1),RIGHT($B$1,2))</f>
        <v>2173</v>
      </c>
      <c r="D94" s="550">
        <f>IF(LEFT(F94,14)="Bonne pratique",D93+1,D93)</f>
      </c>
      <c r="E94" s="566">
        <f>C94&amp;D94&amp;RIGHT(F94,1)</f>
      </c>
      <c r="F94" t="s" s="546">
        <v>1769</v>
      </c>
      <c r="G94" s="567">
        <f>_xlfn.IFERROR(IF(VLOOKUP($E94,'BDD'!$A$1:$S$567,MATCH(G$10,'BDD'!$A$1:$P$1,0),FALSE)=0,"",VLOOKUP($E94,'BDD'!$A$1:$S$567,MATCH(G$10,'BDD'!$A$1:$P$1,0),FALSE)),"")</f>
      </c>
      <c r="H94" s="568">
        <f>IF(VLOOKUP(E94,'BDD'!$A$1:$S$567,15,FALSE)=0,"Critère non évalué","")</f>
      </c>
      <c r="I94" s="569">
        <f>_xlfn.IFERROR(IF(VLOOKUP($E94,'BDD'!$A$1:$S$567,MATCH(I$10,'BDD'!$A$1:$P$1,0),FALSE)=0,"",VLOOKUP($E94,'BDD'!$A$1:$S$567,MATCH(I$10,'BDD'!$A$1:$P$1,0),FALSE)),"")</f>
      </c>
      <c r="J94" s="549"/>
      <c r="K94" s="567">
        <f>_xlfn.IFERROR(IF(VLOOKUP($E94,'BDD'!$A$1:$S$567,MATCH(K$10,'BDD'!$A$1:$P$1,0),FALSE)=0,"",VLOOKUP($E94,'BDD'!$A$1:$S$567,MATCH(K$10,'BDD'!$A$1:$P$1,0),FALSE)),"")</f>
      </c>
      <c r="L94" s="550"/>
      <c r="M94" s="551"/>
      <c r="N94" s="551"/>
      <c r="O94" s="534"/>
      <c r="P94" s="890"/>
    </row>
    <row r="95" ht="130.05" customHeight="1">
      <c r="A95" s="887"/>
      <c r="B95" s="542"/>
      <c r="C95" t="s" s="543">
        <f>IF(LEFT(RIGHT($B$1,2),1)=" ",RIGHT($B$1,1),RIGHT($B$1,2))</f>
        <v>2173</v>
      </c>
      <c r="D95" s="550">
        <f>IF(LEFT(F95,14)="Bonne pratique",D94+1,D94)</f>
      </c>
      <c r="E95" s="566">
        <f>C95&amp;D95&amp;RIGHT(F95,1)</f>
      </c>
      <c r="F95" t="s" s="552">
        <v>1772</v>
      </c>
      <c r="G95" s="557">
        <f>_xlfn.IFERROR(IF(VLOOKUP($E95,'BDD'!$A$1:$S$567,MATCH(G$10,'BDD'!$A$1:$P$1,0),FALSE)=0,"",VLOOKUP($E95,'BDD'!$A$1:$S$567,MATCH(G$10,'BDD'!$A$1:$P$1,0),FALSE)),"")</f>
      </c>
      <c r="H95" s="570">
        <f>IF(VLOOKUP(E95,'BDD'!$A$1:$S$567,15,FALSE)=0,"Critère non évalué","")</f>
      </c>
      <c r="I95" s="571">
        <f>_xlfn.IFERROR(IF(VLOOKUP($E95,'BDD'!$A$1:$S$567,MATCH(I$10,'BDD'!$A$1:$P$1,0),FALSE)=0,"",VLOOKUP($E95,'BDD'!$A$1:$S$567,MATCH(I$10,'BDD'!$A$1:$P$1,0),FALSE)),"")</f>
      </c>
      <c r="J95" s="554"/>
      <c r="K95" s="557">
        <f>_xlfn.IFERROR(IF(VLOOKUP($E95,'BDD'!$A$1:$S$567,MATCH(K$10,'BDD'!$A$1:$P$1,0),FALSE)=0,"",VLOOKUP($E95,'BDD'!$A$1:$S$567,MATCH(K$10,'BDD'!$A$1:$P$1,0),FALSE)),"")</f>
      </c>
      <c r="L95" s="550"/>
      <c r="M95" s="555"/>
      <c r="N95" s="555"/>
      <c r="O95" s="534"/>
      <c r="P95" s="890"/>
    </row>
    <row r="96" ht="130.05" customHeight="1">
      <c r="A96" s="887"/>
      <c r="B96" s="542"/>
      <c r="C96" t="s" s="543">
        <f>IF(LEFT(RIGHT($B$1,2),1)=" ",RIGHT($B$1,1),RIGHT($B$1,2))</f>
        <v>2173</v>
      </c>
      <c r="D96" s="550">
        <f>IF(LEFT(F96,14)="Bonne pratique",D95+1,D95)</f>
      </c>
      <c r="E96" s="566">
        <f>C96&amp;D96&amp;RIGHT(F96,1)</f>
      </c>
      <c r="F96" t="s" s="546">
        <v>1774</v>
      </c>
      <c r="G96" s="567">
        <f>_xlfn.IFERROR(IF(VLOOKUP($E96,'BDD'!$A$1:$S$567,MATCH(G$10,'BDD'!$A$1:$P$1,0),FALSE)=0,"",VLOOKUP($E96,'BDD'!$A$1:$S$567,MATCH(G$10,'BDD'!$A$1:$P$1,0),FALSE)),"")</f>
      </c>
      <c r="H96" s="568">
        <f>IF(VLOOKUP(E96,'BDD'!$A$1:$S$567,15,FALSE)=0,"Critère non évalué","")</f>
      </c>
      <c r="I96" s="569">
        <f>_xlfn.IFERROR(IF(VLOOKUP($E96,'BDD'!$A$1:$S$567,MATCH(I$10,'BDD'!$A$1:$P$1,0),FALSE)=0,"",VLOOKUP($E96,'BDD'!$A$1:$S$567,MATCH(I$10,'BDD'!$A$1:$P$1,0),FALSE)),"")</f>
      </c>
      <c r="J96" s="549"/>
      <c r="K96" s="567">
        <f>_xlfn.IFERROR(IF(VLOOKUP($E96,'BDD'!$A$1:$S$567,MATCH(K$10,'BDD'!$A$1:$P$1,0),FALSE)=0,"",VLOOKUP($E96,'BDD'!$A$1:$S$567,MATCH(K$10,'BDD'!$A$1:$P$1,0),FALSE)),"")</f>
      </c>
      <c r="L96" s="550"/>
      <c r="M96" s="551"/>
      <c r="N96" s="551"/>
      <c r="O96" s="534"/>
      <c r="P96" s="890"/>
    </row>
    <row r="97" ht="130.05" customHeight="1">
      <c r="A97" s="887"/>
      <c r="B97" s="542"/>
      <c r="C97" t="s" s="543">
        <f>IF(LEFT(RIGHT($B$1,2),1)=" ",RIGHT($B$1,1),RIGHT($B$1,2))</f>
        <v>2173</v>
      </c>
      <c r="D97" s="550">
        <f>IF(LEFT(F97,14)="Bonne pratique",D96+1,D96)</f>
      </c>
      <c r="E97" s="566">
        <f>C97&amp;D97&amp;RIGHT(F97,1)</f>
      </c>
      <c r="F97" t="s" s="552">
        <v>1776</v>
      </c>
      <c r="G97" s="557">
        <f>_xlfn.IFERROR(IF(VLOOKUP($E97,'BDD'!$A$1:$S$567,MATCH(G$10,'BDD'!$A$1:$P$1,0),FALSE)=0,"",VLOOKUP($E97,'BDD'!$A$1:$S$567,MATCH(G$10,'BDD'!$A$1:$P$1,0),FALSE)),"")</f>
      </c>
      <c r="H97" s="570">
        <f>IF(VLOOKUP(E97,'BDD'!$A$1:$S$567,15,FALSE)=0,"Critère non évalué","")</f>
      </c>
      <c r="I97" s="571">
        <f>_xlfn.IFERROR(IF(VLOOKUP($E97,'BDD'!$A$1:$S$567,MATCH(I$10,'BDD'!$A$1:$P$1,0),FALSE)=0,"",VLOOKUP($E97,'BDD'!$A$1:$S$567,MATCH(I$10,'BDD'!$A$1:$P$1,0),FALSE)),"")</f>
      </c>
      <c r="J97" s="556"/>
      <c r="K97" s="557">
        <f>_xlfn.IFERROR(IF(VLOOKUP($E97,'BDD'!$A$1:$S$567,MATCH(K$10,'BDD'!$A$1:$P$1,0),FALSE)=0,"",VLOOKUP($E97,'BDD'!$A$1:$S$567,MATCH(K$10,'BDD'!$A$1:$P$1,0),FALSE)),"")</f>
      </c>
      <c r="L97" s="550"/>
      <c r="M97" s="555"/>
      <c r="N97" s="555"/>
      <c r="O97" s="534"/>
      <c r="P97" s="890"/>
    </row>
    <row r="98" ht="130.05" customHeight="1">
      <c r="A98" s="887"/>
      <c r="B98" s="542"/>
      <c r="C98" t="s" s="543">
        <f>IF(LEFT(RIGHT($B$1,2),1)=" ",RIGHT($B$1,1),RIGHT($B$1,2))</f>
        <v>2173</v>
      </c>
      <c r="D98" s="550">
        <f>IF(LEFT(F98,14)="Bonne pratique",D97+1,D97)</f>
      </c>
      <c r="E98" s="566">
        <f>C98&amp;D98&amp;RIGHT(F98,1)</f>
      </c>
      <c r="F98" t="s" s="546">
        <v>1778</v>
      </c>
      <c r="G98" s="567">
        <f>_xlfn.IFERROR(IF(VLOOKUP($E98,'BDD'!$A$1:$S$567,MATCH(G$10,'BDD'!$A$1:$P$1,0),FALSE)=0,"",VLOOKUP($E98,'BDD'!$A$1:$S$567,MATCH(G$10,'BDD'!$A$1:$P$1,0),FALSE)),"")</f>
      </c>
      <c r="H98" s="568">
        <f>IF(VLOOKUP(E98,'BDD'!$A$1:$S$567,15,FALSE)=0,"Critère non évalué","")</f>
      </c>
      <c r="I98" s="569">
        <f>_xlfn.IFERROR(IF(VLOOKUP($E98,'BDD'!$A$1:$S$567,MATCH(I$10,'BDD'!$A$1:$P$1,0),FALSE)=0,"",VLOOKUP($E98,'BDD'!$A$1:$S$567,MATCH(I$10,'BDD'!$A$1:$P$1,0),FALSE)),"")</f>
      </c>
      <c r="J98" s="549"/>
      <c r="K98" s="567">
        <f>_xlfn.IFERROR(IF(VLOOKUP($E98,'BDD'!$A$1:$S$567,MATCH(K$10,'BDD'!$A$1:$P$1,0),FALSE)=0,"",VLOOKUP($E98,'BDD'!$A$1:$S$567,MATCH(K$10,'BDD'!$A$1:$P$1,0),FALSE)),"")</f>
      </c>
      <c r="L98" s="550"/>
      <c r="M98" s="557"/>
      <c r="N98" s="557"/>
      <c r="O98" s="534"/>
      <c r="P98" s="890"/>
    </row>
    <row r="99" ht="130.05" customHeight="1" hidden="1">
      <c r="A99" s="887"/>
      <c r="B99" s="542"/>
      <c r="C99" t="s" s="543">
        <f>IF(LEFT(RIGHT($B$1,2),1)=" ",RIGHT($B$1,1),RIGHT($B$1,2))</f>
        <v>2173</v>
      </c>
      <c r="D99" s="550">
        <f>IF(LEFT(F99,14)="Bonne pratique",D98+1,D98)</f>
      </c>
      <c r="E99" s="566">
        <f>C99&amp;D99&amp;RIGHT(F99,1)</f>
      </c>
      <c r="F99" t="s" s="552">
        <v>1780</v>
      </c>
      <c r="G99" s="557">
        <f>_xlfn.IFERROR(IF(VLOOKUP($E99,'BDD'!$A$1:$S$567,MATCH(G$10,'BDD'!$A$1:$P$1,0),FALSE)=0,"",VLOOKUP($E99,'BDD'!$A$1:$S$567,MATCH(G$10,'BDD'!$A$1:$P$1,0),FALSE)),"")</f>
      </c>
      <c r="H99" s="570">
        <f>IF(VLOOKUP(E99,'BDD'!$A$1:$S$567,15,FALSE)=0,"Critère non évalué","")</f>
      </c>
      <c r="I99" s="571">
        <f>_xlfn.IFERROR(IF(VLOOKUP($E99,'BDD'!$A$1:$S$567,MATCH(I$10,'BDD'!$A$1:$P$1,0),FALSE)=0,"",VLOOKUP($E99,'BDD'!$A$1:$S$567,MATCH(I$10,'BDD'!$A$1:$P$1,0),FALSE)),"")</f>
      </c>
      <c r="J99" s="556"/>
      <c r="K99" s="557">
        <f>_xlfn.IFERROR(IF(VLOOKUP($E99,'BDD'!$A$1:$S$567,MATCH(K$10,'BDD'!$A$1:$P$1,0),FALSE)=0,"",VLOOKUP($E99,'BDD'!$A$1:$S$567,MATCH(K$10,'BDD'!$A$1:$P$1,0),FALSE)),"")</f>
      </c>
      <c r="L99" s="550"/>
      <c r="M99" s="555"/>
      <c r="N99" s="555"/>
      <c r="O99" s="534"/>
      <c r="P99" s="890"/>
    </row>
    <row r="100" ht="130.05" customHeight="1" hidden="1">
      <c r="A100" s="887"/>
      <c r="B100" s="542"/>
      <c r="C100" t="s" s="543">
        <f>IF(LEFT(RIGHT($B$1,2),1)=" ",RIGHT($B$1,1),RIGHT($B$1,2))</f>
        <v>2173</v>
      </c>
      <c r="D100" s="550">
        <f>IF(LEFT(F100,14)="Bonne pratique",D99+1,D99)</f>
      </c>
      <c r="E100" s="566">
        <f>C100&amp;D100&amp;RIGHT(F100,1)</f>
      </c>
      <c r="F100" t="s" s="546">
        <v>1782</v>
      </c>
      <c r="G100" s="567">
        <f>_xlfn.IFERROR(IF(VLOOKUP($E100,'BDD'!$A$1:$S$567,MATCH(G$10,'BDD'!$A$1:$P$1,0),FALSE)=0,"",VLOOKUP($E100,'BDD'!$A$1:$S$567,MATCH(G$10,'BDD'!$A$1:$P$1,0),FALSE)),"")</f>
      </c>
      <c r="H100" s="568">
        <f>IF(VLOOKUP(E100,'BDD'!$A$1:$S$567,15,FALSE)=0,"Critère non évalué","")</f>
      </c>
      <c r="I100" s="569">
        <f>_xlfn.IFERROR(IF(VLOOKUP($E100,'BDD'!$A$1:$S$567,MATCH(I$10,'BDD'!$A$1:$P$1,0),FALSE)=0,"",VLOOKUP($E100,'BDD'!$A$1:$S$567,MATCH(I$10,'BDD'!$A$1:$P$1,0),FALSE)),"")</f>
      </c>
      <c r="J100" s="549"/>
      <c r="K100" s="567">
        <f>_xlfn.IFERROR(IF(VLOOKUP($E100,'BDD'!$A$1:$S$567,MATCH(K$10,'BDD'!$A$1:$P$1,0),FALSE)=0,"",VLOOKUP($E100,'BDD'!$A$1:$S$567,MATCH(K$10,'BDD'!$A$1:$P$1,0),FALSE)),"")</f>
      </c>
      <c r="L100" s="550"/>
      <c r="M100" s="557"/>
      <c r="N100" s="557"/>
      <c r="O100" s="534"/>
      <c r="P100" s="890"/>
    </row>
    <row r="101" ht="14.4" customHeight="1" hidden="1">
      <c r="A101" s="887"/>
      <c r="B101" s="61"/>
      <c r="C101" t="s" s="513">
        <f>IF(LEFT(RIGHT($B$1,2),1)=" ",RIGHT($B$1,1),RIGHT($B$1,2))</f>
        <v>2173</v>
      </c>
      <c r="D101" s="61"/>
      <c r="E101" s="61"/>
      <c r="F101" s="541"/>
      <c r="G101" s="541"/>
      <c r="H101" s="541"/>
      <c r="I101" s="541"/>
      <c r="J101" s="541"/>
      <c r="K101" s="541"/>
      <c r="L101" s="61"/>
      <c r="M101" s="541"/>
      <c r="N101" s="541"/>
      <c r="O101" s="61"/>
      <c r="P101" s="890"/>
    </row>
    <row r="102" ht="14.4" customHeight="1" hidden="1">
      <c r="A102" s="887"/>
      <c r="B102" s="61"/>
      <c r="C102" t="s" s="513">
        <f>IF(LEFT(RIGHT($B$1,2),1)=" ",RIGHT($B$1,1),RIGHT($B$1,2))</f>
        <v>2173</v>
      </c>
      <c r="D102" s="61"/>
      <c r="E102" s="61"/>
      <c r="F102" s="541"/>
      <c r="G102" s="541"/>
      <c r="H102" s="541"/>
      <c r="I102" s="541"/>
      <c r="J102" s="541"/>
      <c r="K102" s="541"/>
      <c r="L102" s="61"/>
      <c r="M102" s="541"/>
      <c r="N102" s="541"/>
      <c r="O102" s="61"/>
      <c r="P102" s="890"/>
    </row>
    <row r="103" ht="25.8" customHeight="1" hidden="1">
      <c r="A103" s="891"/>
      <c r="B103" s="512"/>
      <c r="C103" t="s" s="513">
        <f>IF(LEFT(RIGHT($B$1,2),1)=" ",RIGHT($B$1,1),RIGHT($B$1,2))</f>
        <v>2173</v>
      </c>
      <c r="D103" s="61">
        <f>IF(LEFT(F103,14)="Bonne pratique",D99+1,D99)</f>
      </c>
      <c r="E103" s="565">
        <f>C103&amp;D103&amp;RIGHT(F103,1)</f>
      </c>
      <c r="F103" t="s" s="828">
        <v>1888</v>
      </c>
      <c r="G103" s="829"/>
      <c r="H103" s="830"/>
      <c r="I103" s="831"/>
      <c r="J103" s="831">
        <f>VLOOKUP(E110,'BDD'!$A$2:$N$567,6,FALSE)</f>
      </c>
      <c r="K103" s="832"/>
      <c r="L103" s="517"/>
      <c r="M103" s="829"/>
      <c r="N103" s="829"/>
      <c r="O103" s="512"/>
      <c r="P103" s="892"/>
    </row>
    <row r="104" ht="9" customHeight="1" hidden="1">
      <c r="A104" s="887"/>
      <c r="B104" s="61"/>
      <c r="C104" t="s" s="513">
        <f>IF(LEFT(RIGHT($B$1,2),1)=" ",RIGHT($B$1,1),RIGHT($B$1,2))</f>
        <v>2173</v>
      </c>
      <c r="D104" s="61">
        <f>IF(LEFT(F104,14)="Bonne pratique",D103+1,D103)</f>
      </c>
      <c r="E104" s="565">
        <f>C104&amp;D104&amp;RIGHT(F104,1)</f>
      </c>
      <c r="F104" s="541"/>
      <c r="G104" s="541"/>
      <c r="H104" s="541"/>
      <c r="I104" s="541"/>
      <c r="J104" s="541"/>
      <c r="K104" s="541"/>
      <c r="L104" s="61"/>
      <c r="M104" s="541"/>
      <c r="N104" s="541"/>
      <c r="O104" s="61"/>
      <c r="P104" s="890"/>
    </row>
    <row r="105" ht="18" customHeight="1" hidden="1">
      <c r="A105" s="893"/>
      <c r="B105" s="524"/>
      <c r="C105" t="s" s="513">
        <f>IF(LEFT(RIGHT($B$1,2),1)=" ",RIGHT($B$1,1),RIGHT($B$1,2))</f>
        <v>2173</v>
      </c>
      <c r="D105" s="61">
        <f>IF(LEFT(F105,14)="Bonne pratique",D104+1,D104)</f>
      </c>
      <c r="E105" s="565">
        <f>C105&amp;D105&amp;RIGHT(F105,1)</f>
      </c>
      <c r="F105" s="833"/>
      <c r="G105" s="833"/>
      <c r="H105" s="833"/>
      <c r="I105" s="834"/>
      <c r="J105" s="835"/>
      <c r="K105" s="834"/>
      <c r="L105" s="524"/>
      <c r="M105" s="833"/>
      <c r="N105" s="833"/>
      <c r="O105" s="524"/>
      <c r="P105" s="894"/>
    </row>
    <row r="106" ht="18" customHeight="1" hidden="1">
      <c r="A106" s="887"/>
      <c r="B106" s="61"/>
      <c r="C106" t="s" s="513">
        <f>IF(LEFT(RIGHT($B$1,2),1)=" ",RIGHT($B$1,1),RIGHT($B$1,2))</f>
        <v>2173</v>
      </c>
      <c r="D106" s="61">
        <f>IF(LEFT(F106,14)="Bonne pratique",D105+1,D105)</f>
      </c>
      <c r="E106" s="565">
        <f>C106&amp;D106&amp;RIGHT(F106,1)</f>
      </c>
      <c r="F106" s="541"/>
      <c r="G106" s="541"/>
      <c r="H106" s="541"/>
      <c r="I106" s="541"/>
      <c r="J106" s="836"/>
      <c r="K106" s="541"/>
      <c r="L106" s="61"/>
      <c r="M106" s="541"/>
      <c r="N106" s="541"/>
      <c r="O106" s="61"/>
      <c r="P106" s="890"/>
    </row>
    <row r="107" ht="9" customHeight="1" hidden="1">
      <c r="A107" s="887"/>
      <c r="B107" s="61"/>
      <c r="C107" t="s" s="513">
        <f>IF(LEFT(RIGHT($B$1,2),1)=" ",RIGHT($B$1,1),RIGHT($B$1,2))</f>
        <v>2173</v>
      </c>
      <c r="D107" s="61">
        <f>IF(LEFT(F107,14)="Bonne pratique",D106+1,D106)</f>
      </c>
      <c r="E107" s="565">
        <f>C107&amp;D107&amp;RIGHT(F107,1)</f>
      </c>
      <c r="F107" s="541"/>
      <c r="G107" s="541"/>
      <c r="H107" s="541"/>
      <c r="I107" s="541"/>
      <c r="J107" s="837"/>
      <c r="K107" s="541"/>
      <c r="L107" s="542"/>
      <c r="M107" t="s" s="562">
        <v>1763</v>
      </c>
      <c r="N107" s="563"/>
      <c r="O107" s="534"/>
      <c r="P107" s="890"/>
    </row>
    <row r="108" ht="33" customHeight="1" hidden="1">
      <c r="A108" s="887"/>
      <c r="B108" s="61"/>
      <c r="C108" t="s" s="513">
        <f>IF(LEFT(RIGHT($B$1,2),1)=" ",RIGHT($B$1,1),RIGHT($B$1,2))</f>
        <v>2173</v>
      </c>
      <c r="D108" s="61">
        <f>IF(LEFT(F108,14)="Bonne pratique",D107+1,D107)</f>
      </c>
      <c r="E108" s="565">
        <f>C108&amp;D108&amp;RIGHT(F108,1)</f>
      </c>
      <c r="F108" s="838"/>
      <c r="G108" t="s" s="536">
        <v>244</v>
      </c>
      <c r="H108" t="s" s="536">
        <v>1764</v>
      </c>
      <c r="I108" t="s" s="536">
        <v>1787</v>
      </c>
      <c r="J108" t="s" s="536">
        <v>1765</v>
      </c>
      <c r="K108" t="s" s="536">
        <v>1788</v>
      </c>
      <c r="L108" s="538"/>
      <c r="M108" t="s" s="539">
        <v>1766</v>
      </c>
      <c r="N108" t="s" s="540">
        <v>1767</v>
      </c>
      <c r="O108" s="534"/>
      <c r="P108" s="890"/>
    </row>
    <row r="109" ht="9" customHeight="1" hidden="1">
      <c r="A109" s="887"/>
      <c r="B109" s="61"/>
      <c r="C109" t="s" s="513">
        <f>IF(LEFT(RIGHT($B$1,2),1)=" ",RIGHT($B$1,1),RIGHT($B$1,2))</f>
        <v>2173</v>
      </c>
      <c r="D109" s="61">
        <f>IF(LEFT(F109,14)="Bonne pratique",D108+1,D108)</f>
      </c>
      <c r="E109" s="565">
        <f>C109&amp;D109&amp;RIGHT(F109,1)</f>
      </c>
      <c r="F109" s="541"/>
      <c r="G109" s="541"/>
      <c r="H109" s="541"/>
      <c r="I109" s="541"/>
      <c r="J109" s="541"/>
      <c r="K109" s="541"/>
      <c r="L109" s="61"/>
      <c r="M109" s="541"/>
      <c r="N109" s="541"/>
      <c r="O109" s="61"/>
      <c r="P109" s="890"/>
    </row>
    <row r="110" ht="130.05" customHeight="1" hidden="1">
      <c r="A110" s="887"/>
      <c r="B110" s="542"/>
      <c r="C110" t="s" s="543">
        <f>IF(LEFT(RIGHT($B$1,2),1)=" ",RIGHT($B$1,1),RIGHT($B$1,2))</f>
        <v>2173</v>
      </c>
      <c r="D110" s="550">
        <f>IF(LEFT(F110,14)="Bonne pratique",D109+1,D109)</f>
      </c>
      <c r="E110" s="566">
        <f>C110&amp;D110&amp;RIGHT(F110,1)</f>
      </c>
      <c r="F110" t="s" s="546">
        <v>1769</v>
      </c>
      <c r="G110" s="567">
        <f>_xlfn.IFERROR(IF(VLOOKUP($E110,'BDD'!$A$1:$S$567,MATCH(G$10,'BDD'!$A$1:$P$1,0),FALSE)=0,"",VLOOKUP($E110,'BDD'!$A$1:$S$567,MATCH(G$10,'BDD'!$A$1:$P$1,0),FALSE)),"")</f>
      </c>
      <c r="H110" s="568">
        <f>IF(VLOOKUP(E110,'BDD'!$A$1:$S$567,15,FALSE)=0,"Critère non évalué","")</f>
      </c>
      <c r="I110" s="569">
        <f>_xlfn.IFERROR(IF(VLOOKUP($E110,'BDD'!$A$1:$S$567,MATCH(I$10,'BDD'!$A$1:$P$1,0),FALSE)=0,"",VLOOKUP($E110,'BDD'!$A$1:$S$567,MATCH(I$10,'BDD'!$A$1:$P$1,0),FALSE)),"")</f>
      </c>
      <c r="J110" s="549"/>
      <c r="K110" s="567">
        <f>_xlfn.IFERROR(IF(VLOOKUP($E110,'BDD'!$A$1:$S$567,MATCH(K$10,'BDD'!$A$1:$P$1,0),FALSE)=0,"",VLOOKUP($E110,'BDD'!$A$1:$S$567,MATCH(K$10,'BDD'!$A$1:$P$1,0),FALSE)),"")</f>
      </c>
      <c r="L110" s="550"/>
      <c r="M110" s="551"/>
      <c r="N110" s="551"/>
      <c r="O110" s="534"/>
      <c r="P110" s="890"/>
    </row>
    <row r="111" ht="130.05" customHeight="1" hidden="1">
      <c r="A111" s="887"/>
      <c r="B111" s="542"/>
      <c r="C111" t="s" s="543">
        <f>IF(LEFT(RIGHT($B$1,2),1)=" ",RIGHT($B$1,1),RIGHT($B$1,2))</f>
        <v>2173</v>
      </c>
      <c r="D111" s="550">
        <f>IF(LEFT(F111,14)="Bonne pratique",D110+1,D110)</f>
      </c>
      <c r="E111" s="566">
        <f>C111&amp;D111&amp;RIGHT(F111,1)</f>
      </c>
      <c r="F111" t="s" s="552">
        <v>1772</v>
      </c>
      <c r="G111" s="557">
        <f>_xlfn.IFERROR(IF(VLOOKUP($E111,'BDD'!$A$1:$S$567,MATCH(G$10,'BDD'!$A$1:$P$1,0),FALSE)=0,"",VLOOKUP($E111,'BDD'!$A$1:$S$567,MATCH(G$10,'BDD'!$A$1:$P$1,0),FALSE)),"")</f>
      </c>
      <c r="H111" s="570">
        <f>IF(VLOOKUP(E111,'BDD'!$A$1:$S$567,15,FALSE)=0,"Critère non évalué","")</f>
      </c>
      <c r="I111" s="571">
        <f>_xlfn.IFERROR(IF(VLOOKUP($E111,'BDD'!$A$1:$S$567,MATCH(I$10,'BDD'!$A$1:$P$1,0),FALSE)=0,"",VLOOKUP($E111,'BDD'!$A$1:$S$567,MATCH(I$10,'BDD'!$A$1:$P$1,0),FALSE)),"")</f>
      </c>
      <c r="J111" s="554"/>
      <c r="K111" s="557">
        <f>_xlfn.IFERROR(IF(VLOOKUP($E111,'BDD'!$A$1:$S$567,MATCH(K$10,'BDD'!$A$1:$P$1,0),FALSE)=0,"",VLOOKUP($E111,'BDD'!$A$1:$S$567,MATCH(K$10,'BDD'!$A$1:$P$1,0),FALSE)),"")</f>
      </c>
      <c r="L111" s="550"/>
      <c r="M111" s="555"/>
      <c r="N111" s="555"/>
      <c r="O111" s="534"/>
      <c r="P111" s="890"/>
    </row>
    <row r="112" ht="130.05" customHeight="1" hidden="1">
      <c r="A112" s="887"/>
      <c r="B112" s="542"/>
      <c r="C112" t="s" s="543">
        <f>IF(LEFT(RIGHT($B$1,2),1)=" ",RIGHT($B$1,1),RIGHT($B$1,2))</f>
        <v>2173</v>
      </c>
      <c r="D112" s="550">
        <f>IF(LEFT(F112,14)="Bonne pratique",D111+1,D111)</f>
      </c>
      <c r="E112" s="566">
        <f>C112&amp;D112&amp;RIGHT(F112,1)</f>
      </c>
      <c r="F112" t="s" s="546">
        <v>1774</v>
      </c>
      <c r="G112" s="567">
        <f>_xlfn.IFERROR(IF(VLOOKUP($E112,'BDD'!$A$1:$S$567,MATCH(G$10,'BDD'!$A$1:$P$1,0),FALSE)=0,"",VLOOKUP($E112,'BDD'!$A$1:$S$567,MATCH(G$10,'BDD'!$A$1:$P$1,0),FALSE)),"")</f>
      </c>
      <c r="H112" s="568">
        <f>IF(VLOOKUP(E112,'BDD'!$A$1:$S$567,15,FALSE)=0,"Critère non évalué","")</f>
      </c>
      <c r="I112" s="569">
        <f>_xlfn.IFERROR(IF(VLOOKUP($E112,'BDD'!$A$1:$S$567,MATCH(I$10,'BDD'!$A$1:$P$1,0),FALSE)=0,"",VLOOKUP($E112,'BDD'!$A$1:$S$567,MATCH(I$10,'BDD'!$A$1:$P$1,0),FALSE)),"")</f>
      </c>
      <c r="J112" s="549"/>
      <c r="K112" s="567">
        <f>_xlfn.IFERROR(IF(VLOOKUP($E112,'BDD'!$A$1:$S$567,MATCH(K$10,'BDD'!$A$1:$P$1,0),FALSE)=0,"",VLOOKUP($E112,'BDD'!$A$1:$S$567,MATCH(K$10,'BDD'!$A$1:$P$1,0),FALSE)),"")</f>
      </c>
      <c r="L112" s="550"/>
      <c r="M112" s="551"/>
      <c r="N112" s="551"/>
      <c r="O112" s="534"/>
      <c r="P112" s="890"/>
    </row>
    <row r="113" ht="130.05" customHeight="1" hidden="1">
      <c r="A113" s="887"/>
      <c r="B113" s="542"/>
      <c r="C113" t="s" s="543">
        <f>IF(LEFT(RIGHT($B$1,2),1)=" ",RIGHT($B$1,1),RIGHT($B$1,2))</f>
        <v>2173</v>
      </c>
      <c r="D113" s="550">
        <f>IF(LEFT(F113,14)="Bonne pratique",D112+1,D112)</f>
      </c>
      <c r="E113" s="566">
        <f>C113&amp;D113&amp;RIGHT(F113,1)</f>
      </c>
      <c r="F113" t="s" s="552">
        <v>1776</v>
      </c>
      <c r="G113" s="557">
        <f>_xlfn.IFERROR(IF(VLOOKUP($E113,'BDD'!$A$1:$S$567,MATCH(G$10,'BDD'!$A$1:$P$1,0),FALSE)=0,"",VLOOKUP($E113,'BDD'!$A$1:$S$567,MATCH(G$10,'BDD'!$A$1:$P$1,0),FALSE)),"")</f>
      </c>
      <c r="H113" s="570">
        <f>IF(VLOOKUP(E113,'BDD'!$A$1:$S$567,15,FALSE)=0,"Critère non évalué","")</f>
      </c>
      <c r="I113" s="571">
        <f>_xlfn.IFERROR(IF(VLOOKUP($E113,'BDD'!$A$1:$S$567,MATCH(I$10,'BDD'!$A$1:$P$1,0),FALSE)=0,"",VLOOKUP($E113,'BDD'!$A$1:$S$567,MATCH(I$10,'BDD'!$A$1:$P$1,0),FALSE)),"")</f>
      </c>
      <c r="J113" s="556"/>
      <c r="K113" s="557">
        <f>_xlfn.IFERROR(IF(VLOOKUP($E113,'BDD'!$A$1:$S$567,MATCH(K$10,'BDD'!$A$1:$P$1,0),FALSE)=0,"",VLOOKUP($E113,'BDD'!$A$1:$S$567,MATCH(K$10,'BDD'!$A$1:$P$1,0),FALSE)),"")</f>
      </c>
      <c r="L113" s="550"/>
      <c r="M113" s="555"/>
      <c r="N113" s="555"/>
      <c r="O113" s="534"/>
      <c r="P113" s="890"/>
    </row>
    <row r="114" ht="130.05" customHeight="1" hidden="1">
      <c r="A114" s="887"/>
      <c r="B114" s="542"/>
      <c r="C114" t="s" s="543">
        <f>IF(LEFT(RIGHT($B$1,2),1)=" ",RIGHT($B$1,1),RIGHT($B$1,2))</f>
        <v>2173</v>
      </c>
      <c r="D114" s="550">
        <f>IF(LEFT(F114,14)="Bonne pratique",D113+1,D113)</f>
      </c>
      <c r="E114" s="566">
        <f>C114&amp;D114&amp;RIGHT(F114,1)</f>
      </c>
      <c r="F114" t="s" s="546">
        <v>1778</v>
      </c>
      <c r="G114" s="567">
        <f>_xlfn.IFERROR(IF(VLOOKUP($E114,'BDD'!$A$1:$S$567,MATCH(G$10,'BDD'!$A$1:$P$1,0),FALSE)=0,"",VLOOKUP($E114,'BDD'!$A$1:$S$567,MATCH(G$10,'BDD'!$A$1:$P$1,0),FALSE)),"")</f>
      </c>
      <c r="H114" s="568">
        <f>IF(VLOOKUP(E114,'BDD'!$A$1:$S$567,15,FALSE)=0,"Critère non évalué","")</f>
      </c>
      <c r="I114" s="569">
        <f>_xlfn.IFERROR(IF(VLOOKUP($E114,'BDD'!$A$1:$S$567,MATCH(I$10,'BDD'!$A$1:$P$1,0),FALSE)=0,"",VLOOKUP($E114,'BDD'!$A$1:$S$567,MATCH(I$10,'BDD'!$A$1:$P$1,0),FALSE)),"")</f>
      </c>
      <c r="J114" s="549"/>
      <c r="K114" s="567">
        <f>_xlfn.IFERROR(IF(VLOOKUP($E114,'BDD'!$A$1:$S$567,MATCH(K$10,'BDD'!$A$1:$P$1,0),FALSE)=0,"",VLOOKUP($E114,'BDD'!$A$1:$S$567,MATCH(K$10,'BDD'!$A$1:$P$1,0),FALSE)),"")</f>
      </c>
      <c r="L114" s="550"/>
      <c r="M114" s="557"/>
      <c r="N114" s="557"/>
      <c r="O114" s="534"/>
      <c r="P114" s="890"/>
    </row>
    <row r="115" ht="130.05" customHeight="1" hidden="1">
      <c r="A115" s="887"/>
      <c r="B115" s="542"/>
      <c r="C115" t="s" s="543">
        <f>IF(LEFT(RIGHT($B$1,2),1)=" ",RIGHT($B$1,1),RIGHT($B$1,2))</f>
        <v>2173</v>
      </c>
      <c r="D115" s="550">
        <f>IF(LEFT(F115,14)="Bonne pratique",D114+1,D114)</f>
      </c>
      <c r="E115" s="566">
        <f>C115&amp;D115&amp;RIGHT(F115,1)</f>
      </c>
      <c r="F115" t="s" s="552">
        <v>1780</v>
      </c>
      <c r="G115" s="557">
        <f>_xlfn.IFERROR(IF(VLOOKUP($E115,'BDD'!$A$1:$S$567,MATCH(G$10,'BDD'!$A$1:$P$1,0),FALSE)=0,"",VLOOKUP($E115,'BDD'!$A$1:$S$567,MATCH(G$10,'BDD'!$A$1:$P$1,0),FALSE)),"")</f>
      </c>
      <c r="H115" s="570">
        <f>IF(VLOOKUP(E115,'BDD'!$A$1:$S$567,15,FALSE)=0,"Critère non évalué","")</f>
      </c>
      <c r="I115" s="571">
        <f>_xlfn.IFERROR(IF(VLOOKUP($E115,'BDD'!$A$1:$S$567,MATCH(I$10,'BDD'!$A$1:$P$1,0),FALSE)=0,"",VLOOKUP($E115,'BDD'!$A$1:$S$567,MATCH(I$10,'BDD'!$A$1:$P$1,0),FALSE)),"")</f>
      </c>
      <c r="J115" s="556"/>
      <c r="K115" s="557">
        <f>_xlfn.IFERROR(IF(VLOOKUP($E115,'BDD'!$A$1:$S$567,MATCH(K$10,'BDD'!$A$1:$P$1,0),FALSE)=0,"",VLOOKUP($E115,'BDD'!$A$1:$S$567,MATCH(K$10,'BDD'!$A$1:$P$1,0),FALSE)),"")</f>
      </c>
      <c r="L115" s="550"/>
      <c r="M115" s="555"/>
      <c r="N115" s="555"/>
      <c r="O115" s="534"/>
      <c r="P115" s="890"/>
    </row>
    <row r="116" ht="130.05" customHeight="1" hidden="1">
      <c r="A116" s="887"/>
      <c r="B116" s="542"/>
      <c r="C116" t="s" s="543">
        <f>RIGHT($B$1,1)</f>
        <v>2173</v>
      </c>
      <c r="D116" s="550">
        <f>IF(LEFT(F116,14)="Bonne pratique",D115+1,D115)</f>
      </c>
      <c r="E116" s="566">
        <f>C116&amp;D116&amp;RIGHT(F116,1)</f>
      </c>
      <c r="F116" t="s" s="546">
        <v>1782</v>
      </c>
      <c r="G116" s="567">
        <f>_xlfn.IFERROR(IF(VLOOKUP($E116,'BDD'!$A$1:$S$567,MATCH(G$10,'BDD'!$A$1:$P$1,0),FALSE)=0,"",VLOOKUP($E116,'BDD'!$A$1:$S$567,MATCH(G$10,'BDD'!$A$1:$P$1,0),FALSE)),"")</f>
      </c>
      <c r="H116" s="568">
        <f>IF(VLOOKUP(E116,'BDD'!$A$1:$S$567,15,FALSE)=0,"Critère non évalué","")</f>
      </c>
      <c r="I116" s="569">
        <f>_xlfn.IFERROR(IF(VLOOKUP($E116,'BDD'!$A$1:$S$567,MATCH(I$10,'BDD'!$A$1:$P$1,0),FALSE)=0,"",VLOOKUP($E116,'BDD'!$A$1:$S$567,MATCH(I$10,'BDD'!$A$1:$P$1,0),FALSE)),"")</f>
      </c>
      <c r="J116" s="549"/>
      <c r="K116" s="567">
        <f>_xlfn.IFERROR(IF(VLOOKUP($E116,'BDD'!$A$1:$S$567,MATCH(K$10,'BDD'!$A$1:$P$1,0),FALSE)=0,"",VLOOKUP($E116,'BDD'!$A$1:$S$567,MATCH(K$10,'BDD'!$A$1:$P$1,0),FALSE)),"")</f>
      </c>
      <c r="L116" s="550"/>
      <c r="M116" s="557"/>
      <c r="N116" s="557"/>
      <c r="O116" s="534"/>
      <c r="P116" s="890"/>
    </row>
    <row r="117" ht="14.4" customHeight="1">
      <c r="A117" s="887"/>
      <c r="B117" s="61"/>
      <c r="C117" s="61"/>
      <c r="D117" s="61"/>
      <c r="E117" s="61"/>
      <c r="F117" s="559"/>
      <c r="G117" s="559"/>
      <c r="H117" s="559"/>
      <c r="I117" s="559"/>
      <c r="J117" s="559"/>
      <c r="K117" s="559"/>
      <c r="L117" s="61"/>
      <c r="M117" s="559"/>
      <c r="N117" s="559"/>
      <c r="O117" s="61"/>
      <c r="P117" s="890"/>
    </row>
    <row r="118" ht="14.4" customHeight="1">
      <c r="A118" t="s" s="895">
        <v>171</v>
      </c>
      <c r="B118" s="896"/>
      <c r="C118" s="896"/>
      <c r="D118" s="896"/>
      <c r="E118" s="896"/>
      <c r="F118" s="896"/>
      <c r="G118" s="896"/>
      <c r="H118" s="896"/>
      <c r="I118" s="896"/>
      <c r="J118" s="896"/>
      <c r="K118" s="896"/>
      <c r="L118" s="896"/>
      <c r="M118" s="896"/>
      <c r="N118" s="896"/>
      <c r="O118" s="896"/>
      <c r="P118" t="s" s="897">
        <v>171</v>
      </c>
    </row>
  </sheetData>
  <mergeCells count="7">
    <mergeCell ref="M107:N107"/>
    <mergeCell ref="M9:N9"/>
    <mergeCell ref="M25:N25"/>
    <mergeCell ref="M41:N41"/>
    <mergeCell ref="M57:N57"/>
    <mergeCell ref="M75:N75"/>
    <mergeCell ref="M91:N91"/>
  </mergeCells>
  <pageMargins left="0.7" right="0.7" top="0.75" bottom="0.75" header="0.3" footer="0.3"/>
  <pageSetup firstPageNumber="1" fitToHeight="1" fitToWidth="1" scale="100" useFirstPageNumber="0" orientation="portrait" pageOrder="downThenOver"/>
  <headerFooter>
    <oddFooter>&amp;C&amp;"Helvetica Neue,Regular"&amp;12&amp;K000000&amp;P</oddFooter>
  </headerFooter>
  <drawing r:id="rId1"/>
</worksheet>
</file>

<file path=xl/worksheets/sheet21.xml><?xml version="1.0" encoding="utf-8"?>
<worksheet xmlns:r="http://schemas.openxmlformats.org/officeDocument/2006/relationships" xmlns="http://schemas.openxmlformats.org/spreadsheetml/2006/main">
  <dimension ref="A1:AI100"/>
  <sheetViews>
    <sheetView workbookViewId="0" showGridLines="0" defaultGridColor="1"/>
  </sheetViews>
  <sheetFormatPr defaultColWidth="8.83333" defaultRowHeight="14.4" customHeight="1" outlineLevelRow="0" outlineLevelCol="0"/>
  <cols>
    <col min="1" max="2" width="5.85156" style="1008" customWidth="1"/>
    <col min="3" max="5" hidden="1" width="8.83333" style="1008" customWidth="1"/>
    <col min="6" max="6" width="25.6719" style="1008" customWidth="1"/>
    <col min="7" max="7" width="73.5" style="1008" customWidth="1"/>
    <col min="8" max="12" width="5.85156" style="1008" customWidth="1"/>
    <col min="13" max="13" width="8.85156" style="1008" customWidth="1"/>
    <col min="14" max="14" width="50.8516" style="1008" customWidth="1"/>
    <col min="15" max="21" width="4.35156" style="1008" customWidth="1"/>
    <col min="22" max="22" width="3" style="1008" customWidth="1"/>
    <col min="23" max="23" width="23.8516" style="1008" customWidth="1"/>
    <col min="24" max="24" width="59.8516" style="1008" customWidth="1"/>
    <col min="25" max="25" width="4" style="1008" customWidth="1"/>
    <col min="26" max="27" width="17.1719" style="1008" customWidth="1"/>
    <col min="28" max="28" width="5.85156" style="1008" customWidth="1"/>
    <col min="29" max="29" width="7.85156" style="1008" customWidth="1"/>
    <col min="30" max="30" width="2.5" style="1008" customWidth="1"/>
    <col min="31" max="31" width="19" style="1008" customWidth="1"/>
    <col min="32" max="34" width="5.85156" style="1008" customWidth="1"/>
    <col min="35" max="35" width="8.85156" style="1008" customWidth="1"/>
    <col min="36" max="16384" width="8.85156" style="1008" customWidth="1"/>
  </cols>
  <sheetData>
    <row r="1" ht="45" customHeight="1">
      <c r="A1" s="899"/>
      <c r="B1" t="s" s="881">
        <v>2172</v>
      </c>
      <c r="C1" s="900"/>
      <c r="D1" s="900"/>
      <c r="E1" s="882"/>
      <c r="F1" s="882"/>
      <c r="G1" s="882"/>
      <c r="H1" s="882"/>
      <c r="I1" s="882"/>
      <c r="J1" s="901"/>
      <c r="K1" s="902"/>
      <c r="L1" s="882"/>
      <c r="M1" s="882"/>
      <c r="N1" t="s" s="904">
        <f>VLOOKUP($E$27,'BDD'!$A$2:$N$567,3,FALSE)</f>
        <v>230</v>
      </c>
      <c r="O1" s="884"/>
      <c r="P1" s="883"/>
      <c r="Q1" s="884"/>
      <c r="R1" s="883"/>
      <c r="S1" s="884"/>
      <c r="T1" s="884"/>
      <c r="U1" s="884"/>
      <c r="V1" s="884"/>
      <c r="W1" s="884"/>
      <c r="X1" s="884"/>
      <c r="Y1" s="884"/>
      <c r="Z1" s="884"/>
      <c r="AA1" s="884"/>
      <c r="AB1" s="884"/>
      <c r="AC1" s="884"/>
      <c r="AD1" s="884"/>
      <c r="AE1" s="884"/>
      <c r="AF1" s="884"/>
      <c r="AG1" s="884"/>
      <c r="AH1" s="884"/>
      <c r="AI1" s="582"/>
    </row>
    <row r="2" ht="45" customHeight="1">
      <c r="A2" s="887"/>
      <c r="B2" s="888"/>
      <c r="C2" s="888"/>
      <c r="D2" s="888"/>
      <c r="E2" s="888"/>
      <c r="F2" s="888"/>
      <c r="G2" s="888"/>
      <c r="H2" s="888"/>
      <c r="I2" s="888"/>
      <c r="J2" s="888"/>
      <c r="K2" s="888"/>
      <c r="L2" s="888"/>
      <c r="M2" s="888"/>
      <c r="N2" t="s" s="889">
        <f>VLOOKUP($E$27,'BDD'!$A$2:$N$567,4,FALSE)</f>
        <v>975</v>
      </c>
      <c r="O2" s="888"/>
      <c r="P2" s="888"/>
      <c r="Q2" s="888"/>
      <c r="R2" s="888"/>
      <c r="S2" s="906"/>
      <c r="T2" s="906"/>
      <c r="U2" s="906"/>
      <c r="V2" s="906"/>
      <c r="W2" s="906"/>
      <c r="X2" s="906"/>
      <c r="Y2" s="906"/>
      <c r="Z2" s="906"/>
      <c r="AA2" s="906"/>
      <c r="AB2" s="906"/>
      <c r="AC2" s="906"/>
      <c r="AD2" s="906"/>
      <c r="AE2" s="906"/>
      <c r="AF2" s="906"/>
      <c r="AG2" s="906"/>
      <c r="AH2" s="906"/>
      <c r="AI2" s="585"/>
    </row>
    <row r="3" ht="45" customHeight="1">
      <c r="A3" s="887"/>
      <c r="B3" s="586"/>
      <c r="C3" s="586"/>
      <c r="D3" s="586"/>
      <c r="E3" s="586"/>
      <c r="F3" s="586"/>
      <c r="G3" s="587"/>
      <c r="H3" s="587"/>
      <c r="I3" s="587"/>
      <c r="J3" s="587"/>
      <c r="K3" s="587"/>
      <c r="L3" s="587"/>
      <c r="M3" s="587"/>
      <c r="N3" s="586"/>
      <c r="O3" s="586"/>
      <c r="P3" s="586"/>
      <c r="Q3" s="586"/>
      <c r="R3" s="586"/>
      <c r="S3" s="586"/>
      <c r="T3" s="586"/>
      <c r="U3" s="586"/>
      <c r="V3" s="586"/>
      <c r="W3" s="588"/>
      <c r="X3" s="586"/>
      <c r="Y3" s="586"/>
      <c r="Z3" s="586"/>
      <c r="AA3" s="589"/>
      <c r="AB3" s="586"/>
      <c r="AC3" s="586"/>
      <c r="AD3" s="586"/>
      <c r="AE3" s="586"/>
      <c r="AF3" s="586"/>
      <c r="AG3" s="586"/>
      <c r="AH3" s="888"/>
      <c r="AI3" s="585"/>
    </row>
    <row r="4" ht="26.4" customHeight="1">
      <c r="A4" s="887"/>
      <c r="B4" s="586"/>
      <c r="C4" s="586"/>
      <c r="D4" s="586"/>
      <c r="E4" s="586"/>
      <c r="F4" s="586"/>
      <c r="G4" t="s" s="590">
        <v>1817</v>
      </c>
      <c r="H4" s="591"/>
      <c r="I4" s="587"/>
      <c r="J4" s="591"/>
      <c r="K4" s="591"/>
      <c r="L4" s="591"/>
      <c r="M4" s="591"/>
      <c r="N4" s="586"/>
      <c r="O4" s="586"/>
      <c r="P4" s="586"/>
      <c r="Q4" s="586"/>
      <c r="R4" s="586"/>
      <c r="S4" s="586"/>
      <c r="T4" s="586"/>
      <c r="U4" s="586"/>
      <c r="V4" s="586"/>
      <c r="W4" t="s" s="907">
        <v>1818</v>
      </c>
      <c r="X4" s="586"/>
      <c r="Y4" s="586"/>
      <c r="Z4" s="593"/>
      <c r="AA4" s="594"/>
      <c r="AB4" t="s" s="595">
        <v>1819</v>
      </c>
      <c r="AC4" s="586"/>
      <c r="AD4" s="586"/>
      <c r="AE4" s="586"/>
      <c r="AF4" s="596"/>
      <c r="AG4" s="596"/>
      <c r="AH4" s="908"/>
      <c r="AI4" s="585"/>
    </row>
    <row r="5" ht="30" customHeight="1">
      <c r="A5" s="887"/>
      <c r="B5" s="586"/>
      <c r="C5" s="586"/>
      <c r="D5" s="586"/>
      <c r="E5" t="s" s="744">
        <f>RIGHT($B$1,1)&amp;"11"</f>
        <v>117</v>
      </c>
      <c r="F5" s="586"/>
      <c r="G5" t="s" s="598">
        <f>IF(VLOOKUP(E5,'BDD'!$A$2:$N$567,13,FALSE)=0,"",VLOOKUP(E5,'BDD'!$A$2:$N$567,13,FALSE))</f>
        <v>981</v>
      </c>
      <c r="H5" s="599"/>
      <c r="I5" s="587"/>
      <c r="J5" s="25"/>
      <c r="K5" s="599"/>
      <c r="L5" s="909"/>
      <c r="M5" s="909"/>
      <c r="N5" s="910"/>
      <c r="O5" s="910"/>
      <c r="P5" s="910"/>
      <c r="Q5" s="910"/>
      <c r="R5" s="910"/>
      <c r="S5" s="910"/>
      <c r="T5" s="910"/>
      <c r="U5" s="910"/>
      <c r="V5" s="910"/>
      <c r="W5" s="911"/>
      <c r="X5" s="910"/>
      <c r="Y5" s="910"/>
      <c r="Z5" s="910"/>
      <c r="AA5" s="912"/>
      <c r="AB5" s="910"/>
      <c r="AC5" s="586"/>
      <c r="AD5" s="586"/>
      <c r="AE5" s="586"/>
      <c r="AF5" s="586"/>
      <c r="AG5" s="586"/>
      <c r="AH5" s="888"/>
      <c r="AI5" s="585"/>
    </row>
    <row r="6" ht="30" customHeight="1">
      <c r="A6" s="913"/>
      <c r="B6" s="565"/>
      <c r="C6" s="565"/>
      <c r="D6" s="565"/>
      <c r="E6" t="s" s="558">
        <f>RIGHT($B$1,1)&amp;"12"</f>
        <v>983</v>
      </c>
      <c r="F6" s="565"/>
      <c r="G6" t="s" s="598">
        <f>IF(VLOOKUP(E6,'BDD'!$A$2:$N$567,13,FALSE)=0,"",VLOOKUP(E6,'BDD'!$A$2:$N$567,13,FALSE))</f>
        <v>986</v>
      </c>
      <c r="H6" s="605"/>
      <c r="I6" s="587"/>
      <c r="J6" s="25"/>
      <c r="K6" s="914"/>
      <c r="L6" s="915"/>
      <c r="M6" s="916"/>
      <c r="N6" s="917"/>
      <c r="O6" s="918"/>
      <c r="P6" s="918"/>
      <c r="Q6" s="918"/>
      <c r="R6" s="918"/>
      <c r="S6" s="918"/>
      <c r="T6" s="918"/>
      <c r="U6" s="918"/>
      <c r="V6" s="919"/>
      <c r="W6" s="918"/>
      <c r="X6" s="918"/>
      <c r="Y6" s="919"/>
      <c r="Z6" s="920"/>
      <c r="AA6" s="920"/>
      <c r="AB6" s="921"/>
      <c r="AC6" s="922"/>
      <c r="AD6" s="615"/>
      <c r="AE6" s="615"/>
      <c r="AF6" s="587"/>
      <c r="AG6" s="587"/>
      <c r="AH6" s="923"/>
      <c r="AI6" s="617"/>
    </row>
    <row r="7" ht="31.8" customHeight="1">
      <c r="A7" s="913"/>
      <c r="B7" s="565"/>
      <c r="C7" s="565"/>
      <c r="D7" s="565"/>
      <c r="E7" t="s" s="558">
        <f>RIGHT($B$1,1)&amp;"13"</f>
        <v>988</v>
      </c>
      <c r="F7" s="565"/>
      <c r="G7" t="s" s="598">
        <f>IF(VLOOKUP(E7,'BDD'!$A$2:$N$567,13,FALSE)=0,"",VLOOKUP(E7,'BDD'!$A$2:$N$567,13,FALSE))</f>
        <v>991</v>
      </c>
      <c r="H7" s="605"/>
      <c r="I7" s="587"/>
      <c r="J7" s="25"/>
      <c r="K7" s="914"/>
      <c r="L7" s="924"/>
      <c r="M7" s="925"/>
      <c r="N7" t="s" s="620">
        <v>11</v>
      </c>
      <c r="O7" t="s" s="621">
        <v>12</v>
      </c>
      <c r="P7" t="s" s="621">
        <v>13</v>
      </c>
      <c r="Q7" t="s" s="621">
        <v>14</v>
      </c>
      <c r="R7" t="s" s="621">
        <v>15</v>
      </c>
      <c r="S7" t="s" s="621">
        <v>16</v>
      </c>
      <c r="T7" t="s" s="621">
        <v>17</v>
      </c>
      <c r="U7" t="s" s="621">
        <v>18</v>
      </c>
      <c r="V7" s="163"/>
      <c r="W7" t="s" s="622">
        <v>20</v>
      </c>
      <c r="X7" t="s" s="623">
        <v>21</v>
      </c>
      <c r="Y7" s="926"/>
      <c r="Z7" t="s" s="625">
        <v>22</v>
      </c>
      <c r="AA7" t="s" s="626">
        <v>223</v>
      </c>
      <c r="AB7" s="927"/>
      <c r="AC7" s="928"/>
      <c r="AD7" t="s" s="629">
        <v>1820</v>
      </c>
      <c r="AE7" t="s" s="630">
        <v>1752</v>
      </c>
      <c r="AF7" s="631"/>
      <c r="AG7" s="587"/>
      <c r="AH7" s="923"/>
      <c r="AI7" s="617"/>
    </row>
    <row r="8" ht="41.4" customHeight="1">
      <c r="A8" s="913"/>
      <c r="B8" s="565"/>
      <c r="C8" s="565"/>
      <c r="D8" s="565"/>
      <c r="E8" t="s" s="558">
        <f>RIGHT($B$1,1)&amp;"14"</f>
        <v>993</v>
      </c>
      <c r="F8" s="565"/>
      <c r="G8" t="s" s="598">
        <f>IF(VLOOKUP(E8,'BDD'!$A$2:$N$567,13,FALSE)=0,"",VLOOKUP(E8,'BDD'!$A$2:$N$567,13,FALSE))</f>
        <v>996</v>
      </c>
      <c r="H8" s="605"/>
      <c r="I8" s="587"/>
      <c r="J8" s="25"/>
      <c r="K8" s="914"/>
      <c r="L8" s="924"/>
      <c r="M8" t="s" s="929">
        <f>IF(LEFT(RIGHT($B$1,2),1)=" ",RIGHT($B$1,1),RIGHT($B$1,2))&amp;1</f>
        <v>623</v>
      </c>
      <c r="N8" t="s" s="539">
        <f>RIGHT(M8,1)&amp;" : "&amp;VLOOKUP($M8&amp;"1",'BDD'!$A$2:$N$567,6,FALSE)</f>
        <v>2210</v>
      </c>
      <c r="O8" t="s" s="71">
        <f>IF(VLOOKUP($M8&amp;RIGHT(O$7,1),'BDD'!$A$1:$S$428,15,FALSE)=4,"NE",IF(VLOOKUP($M8&amp;RIGHT(O$7,1),'BDD'!$A$1:$S$428,15,FALSE)=0,"NE",VLOOKUP($M8&amp;RIGHT(O$7,1),'BDD'!$A$1:$S$428,15,FALSE)))</f>
        <v>27</v>
      </c>
      <c r="P8" t="s" s="71">
        <f>IF(VLOOKUP($M8&amp;RIGHT(P$7,1),'BDD'!$A$1:$S$428,15,FALSE)=4,"NE",IF(VLOOKUP($M8&amp;RIGHT(P$7,1),'BDD'!$A$1:$S$428,15,FALSE)=0,"NE",VLOOKUP($M8&amp;RIGHT(P$7,1),'BDD'!$A$1:$S$428,15,FALSE)))</f>
        <v>27</v>
      </c>
      <c r="Q8" t="s" s="71">
        <f>IF(VLOOKUP($M8&amp;RIGHT(Q$7,1),'BDD'!$A$1:$S$428,15,FALSE)=4,"NE",IF(VLOOKUP($M8&amp;RIGHT(Q$7,1),'BDD'!$A$1:$S$428,15,FALSE)=0,"NE",VLOOKUP($M8&amp;RIGHT(Q$7,1),'BDD'!$A$1:$S$428,15,FALSE)))</f>
        <v>27</v>
      </c>
      <c r="R8" t="s" s="71">
        <f>IF(VLOOKUP($M8&amp;RIGHT(R$7,1),'BDD'!$A$1:$S$428,15,FALSE)=4,"NE",IF(VLOOKUP($M8&amp;RIGHT(R$7,1),'BDD'!$A$1:$S$428,15,FALSE)=0,"NE",VLOOKUP($M8&amp;RIGHT(R$7,1),'BDD'!$A$1:$S$428,15,FALSE)))</f>
        <v>27</v>
      </c>
      <c r="S8" s="72"/>
      <c r="T8" s="72"/>
      <c r="U8" s="72"/>
      <c r="V8" s="930"/>
      <c r="W8" t="s" s="634">
        <v>28</v>
      </c>
      <c r="X8" s="635"/>
      <c r="Y8" s="931"/>
      <c r="Z8" s="637">
        <f>O25</f>
        <v>0</v>
      </c>
      <c r="AA8" s="77">
        <f>P25</f>
      </c>
      <c r="AB8" s="927"/>
      <c r="AC8" s="928"/>
      <c r="AD8" s="638"/>
      <c r="AE8" t="s" s="639">
        <v>1753</v>
      </c>
      <c r="AF8" s="631"/>
      <c r="AG8" s="587"/>
      <c r="AH8" s="923"/>
      <c r="AI8" s="617"/>
    </row>
    <row r="9" ht="30" customHeight="1">
      <c r="A9" s="913"/>
      <c r="B9" s="565"/>
      <c r="C9" s="565"/>
      <c r="D9" s="565"/>
      <c r="E9" t="s" s="558">
        <f>RIGHT($B$1,1)&amp;"15"</f>
        <v>997</v>
      </c>
      <c r="F9" s="565"/>
      <c r="G9" t="s" s="598">
        <f>IF(VLOOKUP(E9,'BDD'!$A$2:$N$567,13,FALSE)=0,"",VLOOKUP(E9,'BDD'!$A$2:$N$567,13,FALSE))</f>
      </c>
      <c r="H9" s="605"/>
      <c r="I9" s="587"/>
      <c r="J9" s="25"/>
      <c r="K9" s="914"/>
      <c r="L9" s="924"/>
      <c r="M9" t="s" s="929">
        <f>IF(LEFT(RIGHT($B$1,2),1)=" ",RIGHT($B$1,1),RIGHT($B$1,2))&amp;2</f>
        <v>627</v>
      </c>
      <c r="N9" t="s" s="640">
        <f>RIGHT(M9,1)&amp;" : "&amp;VLOOKUP($M9&amp;"1",'BDD'!$A$2:$N$567,6,FALSE)</f>
        <v>2211</v>
      </c>
      <c r="O9" t="s" s="85">
        <f>IF(VLOOKUP($M9&amp;RIGHT(O$7,1),'BDD'!$A$1:$S$428,15,FALSE)=4,"NE",IF(VLOOKUP($M9&amp;RIGHT(O$7,1),'BDD'!$A$1:$S$428,15,FALSE)=0,"NE",VLOOKUP($M9&amp;RIGHT(O$7,1),'BDD'!$A$1:$S$428,15,FALSE)))</f>
        <v>27</v>
      </c>
      <c r="P9" t="s" s="85">
        <f>IF(VLOOKUP($M9&amp;RIGHT(P$7,1),'BDD'!$A$1:$S$428,15,FALSE)=4,"NE",IF(VLOOKUP($M9&amp;RIGHT(P$7,1),'BDD'!$A$1:$S$428,15,FALSE)=0,"NE",VLOOKUP($M9&amp;RIGHT(P$7,1),'BDD'!$A$1:$S$428,15,FALSE)))</f>
        <v>27</v>
      </c>
      <c r="Q9" t="s" s="85">
        <f>IF(VLOOKUP($M9&amp;RIGHT(Q$7,1),'BDD'!$A$1:$S$428,15,FALSE)=4,"NE",IF(VLOOKUP($M9&amp;RIGHT(Q$7,1),'BDD'!$A$1:$S$428,15,FALSE)=0,"NE",VLOOKUP($M9&amp;RIGHT(Q$7,1),'BDD'!$A$1:$S$428,15,FALSE)))</f>
        <v>27</v>
      </c>
      <c r="R9" t="s" s="85">
        <f>IF(VLOOKUP($M9&amp;RIGHT(R$7,1),'BDD'!$A$1:$S$428,15,FALSE)=4,"NE",IF(VLOOKUP($M9&amp;RIGHT(R$7,1),'BDD'!$A$1:$S$428,15,FALSE)=0,"NE",VLOOKUP($M9&amp;RIGHT(R$7,1),'BDD'!$A$1:$S$428,15,FALSE)))</f>
        <v>27</v>
      </c>
      <c r="S9" t="s" s="85">
        <f>IF(VLOOKUP($M9&amp;RIGHT(S$7,1),'BDD'!$A$1:$S$428,15,FALSE)=4,"NE",IF(VLOOKUP($M9&amp;RIGHT(S$7,1),'BDD'!$A$1:$S$428,15,FALSE)=0,"NE",VLOOKUP($M9&amp;RIGHT(S$7,1),'BDD'!$A$1:$S$428,15,FALSE)))</f>
        <v>27</v>
      </c>
      <c r="T9" t="s" s="85">
        <f>IF(VLOOKUP($M9&amp;RIGHT(T$7,1),'BDD'!$A$1:$S$428,15,FALSE)=4,"NE",IF(VLOOKUP($M9&amp;RIGHT(T$7,1),'BDD'!$A$1:$S$428,15,FALSE)=0,"NE",VLOOKUP($M9&amp;RIGHT(T$7,1),'BDD'!$A$1:$S$428,15,FALSE)))</f>
        <v>27</v>
      </c>
      <c r="U9" s="86"/>
      <c r="V9" s="930"/>
      <c r="W9" t="s" s="641">
        <v>28</v>
      </c>
      <c r="X9" s="642"/>
      <c r="Y9" s="932"/>
      <c r="Z9" s="644">
        <f>O31</f>
        <v>0</v>
      </c>
      <c r="AA9" s="90">
        <f>P31</f>
      </c>
      <c r="AB9" s="927"/>
      <c r="AC9" s="928"/>
      <c r="AD9" s="638"/>
      <c r="AE9" t="s" s="645">
        <v>1754</v>
      </c>
      <c r="AF9" s="631"/>
      <c r="AG9" s="587"/>
      <c r="AH9" s="923"/>
      <c r="AI9" s="617"/>
    </row>
    <row r="10" ht="30" customHeight="1">
      <c r="A10" s="913"/>
      <c r="B10" s="565"/>
      <c r="C10" s="565"/>
      <c r="D10" s="565"/>
      <c r="E10" t="s" s="558">
        <f>RIGHT($B$1,1)&amp;"16"</f>
        <v>998</v>
      </c>
      <c r="F10" s="565"/>
      <c r="G10" t="s" s="646">
        <f>IF(VLOOKUP(E10,'BDD'!$A$2:$N$567,13,FALSE)=0,"",VLOOKUP(E10,'BDD'!$A$2:$N$567,13,FALSE))</f>
      </c>
      <c r="H10" s="605"/>
      <c r="I10" s="587"/>
      <c r="J10" s="25"/>
      <c r="K10" s="914"/>
      <c r="L10" s="924"/>
      <c r="M10" t="s" s="929">
        <f>IF(LEFT(RIGHT($B$1,2),1)=" ",RIGHT($B$1,1),RIGHT($B$1,2))&amp;3</f>
        <v>630</v>
      </c>
      <c r="N10" t="s" s="539">
        <f>RIGHT(M10,1)&amp;" : "&amp;VLOOKUP($M10&amp;"1",'BDD'!$A$2:$N$567,6,FALSE)</f>
        <v>2212</v>
      </c>
      <c r="O10" t="s" s="71">
        <f>IF(VLOOKUP($M10&amp;RIGHT(O$7,1),'BDD'!$A$1:$S$428,15,FALSE)=4,"NE",IF(VLOOKUP($M10&amp;RIGHT(O$7,1),'BDD'!$A$1:$S$428,15,FALSE)=0,"NE",VLOOKUP($M10&amp;RIGHT(O$7,1),'BDD'!$A$1:$S$428,15,FALSE)))</f>
        <v>27</v>
      </c>
      <c r="P10" t="s" s="71">
        <f>IF(VLOOKUP($M10&amp;RIGHT(P$7,1),'BDD'!$A$1:$S$428,15,FALSE)=4,"NE",IF(VLOOKUP($M10&amp;RIGHT(P$7,1),'BDD'!$A$1:$S$428,15,FALSE)=0,"NE",VLOOKUP($M10&amp;RIGHT(P$7,1),'BDD'!$A$1:$S$428,15,FALSE)))</f>
        <v>27</v>
      </c>
      <c r="Q10" s="72"/>
      <c r="R10" s="72"/>
      <c r="S10" s="72"/>
      <c r="T10" s="72"/>
      <c r="U10" s="72"/>
      <c r="V10" s="930"/>
      <c r="W10" t="s" s="647">
        <v>28</v>
      </c>
      <c r="X10" s="648"/>
      <c r="Y10" s="931"/>
      <c r="Z10" s="637">
        <f>O39</f>
        <v>0</v>
      </c>
      <c r="AA10" s="77">
        <f>P39</f>
      </c>
      <c r="AB10" s="927"/>
      <c r="AC10" s="928"/>
      <c r="AD10" s="649"/>
      <c r="AE10" t="s" s="650">
        <v>1824</v>
      </c>
      <c r="AF10" s="651"/>
      <c r="AG10" s="652"/>
      <c r="AH10" s="933"/>
      <c r="AI10" s="617"/>
    </row>
    <row r="11" ht="30" customHeight="1">
      <c r="A11" s="887"/>
      <c r="B11" s="586"/>
      <c r="C11" s="586"/>
      <c r="D11" s="586"/>
      <c r="E11" t="s" s="744">
        <f>RIGHT($B$1,1)&amp;"17"</f>
        <v>999</v>
      </c>
      <c r="F11" s="586"/>
      <c r="G11" t="s" s="646">
        <f>IF(VLOOKUP(E11,'BDD'!$A$2:$N$567,13,FALSE)=0,"",VLOOKUP(E11,'BDD'!$A$2:$N$567,13,FALSE))</f>
      </c>
      <c r="H11" s="652"/>
      <c r="I11" s="587"/>
      <c r="J11" s="25"/>
      <c r="K11" s="934"/>
      <c r="L11" s="935"/>
      <c r="M11" t="s" s="929">
        <f>IF(LEFT(RIGHT($B$1,2),1)=" ",RIGHT($B$1,1),RIGHT($B$1,2))&amp;4</f>
        <v>634</v>
      </c>
      <c r="N11" t="s" s="640">
        <f>RIGHT(M11,1)&amp;" : "&amp;VLOOKUP($M11&amp;"1",'BDD'!$A$2:$N$567,6,FALSE)</f>
        <v>2213</v>
      </c>
      <c r="O11" t="s" s="85">
        <f>IF(VLOOKUP($M11&amp;RIGHT(O$7,1),'BDD'!$A$1:$S$428,15,FALSE)=4,"NE",IF(VLOOKUP($M11&amp;RIGHT(O$7,1),'BDD'!$A$1:$S$428,15,FALSE)=0,"NE",VLOOKUP($M11&amp;RIGHT(O$7,1),'BDD'!$A$1:$S$428,15,FALSE)))</f>
        <v>27</v>
      </c>
      <c r="P11" t="s" s="85">
        <f>IF(VLOOKUP($M11&amp;RIGHT(P$7,1),'BDD'!$A$1:$S$428,15,FALSE)=4,"NE",IF(VLOOKUP($M11&amp;RIGHT(P$7,1),'BDD'!$A$1:$S$428,15,FALSE)=0,"NE",VLOOKUP($M11&amp;RIGHT(P$7,1),'BDD'!$A$1:$S$428,15,FALSE)))</f>
        <v>27</v>
      </c>
      <c r="Q11" t="s" s="85">
        <f>IF(VLOOKUP($M11&amp;RIGHT(Q$7,1),'BDD'!$A$1:$S$428,15,FALSE)=4,"NE",IF(VLOOKUP($M11&amp;RIGHT(Q$7,1),'BDD'!$A$1:$S$428,15,FALSE)=0,"NE",VLOOKUP($M11&amp;RIGHT(Q$7,1),'BDD'!$A$1:$S$428,15,FALSE)))</f>
        <v>27</v>
      </c>
      <c r="R11" t="s" s="85">
        <f>IF(VLOOKUP($M11&amp;RIGHT(R$7,1),'BDD'!$A$1:$S$428,15,FALSE)=4,"NE",IF(VLOOKUP($M11&amp;RIGHT(R$7,1),'BDD'!$A$1:$S$428,15,FALSE)=0,"NE",VLOOKUP($M11&amp;RIGHT(R$7,1),'BDD'!$A$1:$S$428,15,FALSE)))</f>
        <v>27</v>
      </c>
      <c r="S11" t="s" s="85">
        <f>IF(VLOOKUP($M11&amp;RIGHT(S$7,1),'BDD'!$A$1:$S$428,15,FALSE)=4,"NE",IF(VLOOKUP($M11&amp;RIGHT(S$7,1),'BDD'!$A$1:$S$428,15,FALSE)=0,"NE",VLOOKUP($M11&amp;RIGHT(S$7,1),'BDD'!$A$1:$S$428,15,FALSE)))</f>
        <v>27</v>
      </c>
      <c r="T11" s="86"/>
      <c r="U11" s="86"/>
      <c r="V11" s="930"/>
      <c r="W11" t="s" s="641">
        <v>28</v>
      </c>
      <c r="X11" s="642"/>
      <c r="Y11" s="931"/>
      <c r="Z11" s="644">
        <f>O43</f>
        <v>0</v>
      </c>
      <c r="AA11" s="90">
        <f>P43</f>
      </c>
      <c r="AB11" s="927"/>
      <c r="AC11" s="936"/>
      <c r="AD11" s="658"/>
      <c r="AE11" s="659"/>
      <c r="AF11" s="652"/>
      <c r="AG11" s="652"/>
      <c r="AH11" s="933"/>
      <c r="AI11" s="585"/>
    </row>
    <row r="12" ht="30" customHeight="1">
      <c r="A12" s="887"/>
      <c r="B12" s="586"/>
      <c r="C12" s="586"/>
      <c r="D12" s="586"/>
      <c r="E12" s="586"/>
      <c r="F12" s="586"/>
      <c r="G12" t="s" s="660">
        <v>1826</v>
      </c>
      <c r="H12" s="587"/>
      <c r="I12" s="587"/>
      <c r="J12" s="25"/>
      <c r="K12" s="937"/>
      <c r="L12" s="938"/>
      <c r="M12" t="s" s="929">
        <f>IF(LEFT(RIGHT($B$1,2),1)=" ",RIGHT($B$1,1),RIGHT($B$1,2))&amp;5</f>
        <v>637</v>
      </c>
      <c r="N12" t="s" s="539">
        <f>RIGHT(M12,1)&amp;" : "&amp;VLOOKUP($M12&amp;"1",'BDD'!$A$2:$N$567,6,FALSE)</f>
        <v>2214</v>
      </c>
      <c r="O12" t="s" s="71">
        <f>IF(VLOOKUP($M12&amp;RIGHT(O$7,1),'BDD'!$A$1:$S$428,15,FALSE)=4,"NE",IF(VLOOKUP($M12&amp;RIGHT(O$7,1),'BDD'!$A$1:$S$428,15,FALSE)=0,"NE",VLOOKUP($M12&amp;RIGHT(O$7,1),'BDD'!$A$1:$S$428,15,FALSE)))</f>
        <v>27</v>
      </c>
      <c r="P12" t="s" s="71">
        <f>IF(VLOOKUP($M12&amp;RIGHT(P$7,1),'BDD'!$A$1:$S$428,15,FALSE)=4,"NE",IF(VLOOKUP($M12&amp;RIGHT(P$7,1),'BDD'!$A$1:$S$428,15,FALSE)=0,"NE",VLOOKUP($M12&amp;RIGHT(P$7,1),'BDD'!$A$1:$S$428,15,FALSE)))</f>
        <v>27</v>
      </c>
      <c r="Q12" t="s" s="71">
        <f>IF(VLOOKUP($M12&amp;RIGHT(Q$7,1),'BDD'!$A$1:$S$428,15,FALSE)=4,"NE",IF(VLOOKUP($M12&amp;RIGHT(Q$7,1),'BDD'!$A$1:$S$428,15,FALSE)=0,"NE",VLOOKUP($M12&amp;RIGHT(Q$7,1),'BDD'!$A$1:$S$428,15,FALSE)))</f>
        <v>27</v>
      </c>
      <c r="R12" t="s" s="71">
        <f>IF(VLOOKUP($M12&amp;RIGHT(R$7,1),'BDD'!$A$1:$S$428,15,FALSE)=4,"NE",IF(VLOOKUP($M12&amp;RIGHT(R$7,1),'BDD'!$A$1:$S$428,15,FALSE)=0,"NE",VLOOKUP($M12&amp;RIGHT(R$7,1),'BDD'!$A$1:$S$428,15,FALSE)))</f>
        <v>27</v>
      </c>
      <c r="S12" s="72"/>
      <c r="T12" s="72"/>
      <c r="U12" s="72"/>
      <c r="V12" s="930"/>
      <c r="W12" t="s" s="647">
        <v>28</v>
      </c>
      <c r="X12" s="648"/>
      <c r="Y12" s="931"/>
      <c r="Z12" s="637">
        <f>O50</f>
        <v>0</v>
      </c>
      <c r="AA12" s="77">
        <f>P50</f>
      </c>
      <c r="AB12" s="927"/>
      <c r="AC12" s="936"/>
      <c r="AD12" s="666"/>
      <c r="AE12" s="25"/>
      <c r="AF12" s="586"/>
      <c r="AG12" s="586"/>
      <c r="AH12" s="888"/>
      <c r="AI12" s="585"/>
    </row>
    <row r="13" ht="28.2" customHeight="1">
      <c r="A13" s="887"/>
      <c r="B13" s="586"/>
      <c r="C13" s="586"/>
      <c r="D13" s="586"/>
      <c r="E13" t="s" s="744">
        <f>RIGHT($B$1,1)&amp;"11"</f>
        <v>117</v>
      </c>
      <c r="F13" s="586"/>
      <c r="G13" t="s" s="667">
        <f>IF(VLOOKUP(E13,'BDD'!$A$2:$N$567,14,FALSE)=0,"",VLOOKUP(E13,'BDD'!$A$2:$N$567,14,FALSE))</f>
        <v>982</v>
      </c>
      <c r="H13" s="591"/>
      <c r="I13" s="587"/>
      <c r="J13" s="25"/>
      <c r="K13" s="934"/>
      <c r="L13" s="935"/>
      <c r="M13" t="s" s="929">
        <f>IF(LEFT(RIGHT($B$1,2),1)=" ",RIGHT($B$1,1),RIGHT($B$1,2))&amp;6</f>
        <v>639</v>
      </c>
      <c r="N13" t="s" s="640">
        <f>RIGHT(M13,1)&amp;" : "&amp;VLOOKUP($M13&amp;"1",'BDD'!$A$2:$N$567,6,FALSE)</f>
        <v>2215</v>
      </c>
      <c r="O13" t="s" s="85">
        <f>IF(VLOOKUP($M13&amp;RIGHT(O$7,1),'BDD'!$A$1:$S$428,15,FALSE)=4,"NE",IF(VLOOKUP($M13&amp;RIGHT(O$7,1),'BDD'!$A$1:$S$428,15,FALSE)=0,"NE",VLOOKUP($M13&amp;RIGHT(O$7,1),'BDD'!$A$1:$S$428,15,FALSE)))</f>
        <v>27</v>
      </c>
      <c r="P13" t="s" s="85">
        <f>IF(VLOOKUP($M13&amp;RIGHT(P$7,1),'BDD'!$A$1:$S$428,15,FALSE)=4,"NE",IF(VLOOKUP($M13&amp;RIGHT(P$7,1),'BDD'!$A$1:$S$428,15,FALSE)=0,"NE",VLOOKUP($M13&amp;RIGHT(P$7,1),'BDD'!$A$1:$S$428,15,FALSE)))</f>
        <v>27</v>
      </c>
      <c r="Q13" t="s" s="85">
        <f>IF(VLOOKUP($M13&amp;RIGHT(Q$7,1),'BDD'!$A$1:$S$428,15,FALSE)=4,"NE",IF(VLOOKUP($M13&amp;RIGHT(Q$7,1),'BDD'!$A$1:$S$428,15,FALSE)=0,"NE",VLOOKUP($M13&amp;RIGHT(Q$7,1),'BDD'!$A$1:$S$428,15,FALSE)))</f>
        <v>27</v>
      </c>
      <c r="R13" t="s" s="85">
        <f>IF(VLOOKUP($M13&amp;RIGHT(R$7,1),'BDD'!$A$1:$S$428,15,FALSE)=4,"NE",IF(VLOOKUP($M13&amp;RIGHT(R$7,1),'BDD'!$A$1:$S$428,15,FALSE)=0,"NE",VLOOKUP($M13&amp;RIGHT(R$7,1),'BDD'!$A$1:$S$428,15,FALSE)))</f>
        <v>27</v>
      </c>
      <c r="S13" t="s" s="85">
        <f>IF(VLOOKUP($M13&amp;RIGHT(S$7,1),'BDD'!$A$1:$S$428,15,FALSE)=4,"NE",IF(VLOOKUP($M13&amp;RIGHT(S$7,1),'BDD'!$A$1:$S$428,15,FALSE)=0,"NE",VLOOKUP($M13&amp;RIGHT(S$7,1),'BDD'!$A$1:$S$428,15,FALSE)))</f>
        <v>27</v>
      </c>
      <c r="T13" s="86"/>
      <c r="U13" s="86"/>
      <c r="V13" s="930"/>
      <c r="W13" t="s" s="847">
        <v>28</v>
      </c>
      <c r="X13" s="848"/>
      <c r="Y13" s="931"/>
      <c r="Z13" s="644">
        <f>O56</f>
        <v>0</v>
      </c>
      <c r="AA13" s="90">
        <f>P56</f>
      </c>
      <c r="AB13" s="927"/>
      <c r="AC13" s="936"/>
      <c r="AD13" s="586"/>
      <c r="AE13" s="586"/>
      <c r="AF13" s="679"/>
      <c r="AG13" s="679"/>
      <c r="AH13" s="949"/>
      <c r="AI13" s="585"/>
    </row>
    <row r="14" ht="30" customHeight="1">
      <c r="A14" s="887"/>
      <c r="B14" s="586"/>
      <c r="C14" s="586"/>
      <c r="D14" s="586"/>
      <c r="E14" t="s" s="744">
        <f>RIGHT($B$1,1)&amp;"12"</f>
        <v>983</v>
      </c>
      <c r="F14" s="586"/>
      <c r="G14" t="s" s="667">
        <f>IF(VLOOKUP(E14,'BDD'!$A$2:$N$567,14,FALSE)=0,"",VLOOKUP(E14,'BDD'!$A$2:$N$567,14,FALSE))</f>
        <v>987</v>
      </c>
      <c r="H14" s="681"/>
      <c r="I14" s="587"/>
      <c r="J14" s="25"/>
      <c r="K14" s="939"/>
      <c r="L14" s="940"/>
      <c r="M14" s="941"/>
      <c r="N14" s="942"/>
      <c r="O14" s="943"/>
      <c r="P14" s="943"/>
      <c r="Q14" s="943"/>
      <c r="R14" s="943"/>
      <c r="S14" s="943"/>
      <c r="T14" s="943"/>
      <c r="U14" s="943"/>
      <c r="V14" s="944"/>
      <c r="W14" s="1002"/>
      <c r="X14" s="945"/>
      <c r="Y14" s="944"/>
      <c r="Z14" s="946"/>
      <c r="AA14" s="946"/>
      <c r="AB14" s="947"/>
      <c r="AC14" s="948"/>
      <c r="AD14" s="679"/>
      <c r="AE14" s="679"/>
      <c r="AF14" s="586"/>
      <c r="AG14" s="586"/>
      <c r="AH14" s="888"/>
      <c r="AI14" s="585"/>
    </row>
    <row r="15" ht="30" customHeight="1">
      <c r="A15" s="887"/>
      <c r="B15" s="586"/>
      <c r="C15" s="586"/>
      <c r="D15" s="586"/>
      <c r="E15" t="s" s="744">
        <f>RIGHT($B$1,1)&amp;"13"</f>
        <v>988</v>
      </c>
      <c r="F15" s="586"/>
      <c r="G15" t="s" s="667">
        <f>IF(VLOOKUP(E15,'BDD'!$A$2:$N$567,14,FALSE)=0,"",VLOOKUP(E15,'BDD'!$A$2:$N$567,14,FALSE))</f>
        <v>992</v>
      </c>
      <c r="H15" s="694"/>
      <c r="I15" s="587"/>
      <c r="J15" s="25"/>
      <c r="K15" s="1009"/>
      <c r="L15" s="951"/>
      <c r="M15" s="952"/>
      <c r="N15" t="s" s="953">
        <f>"Evaluation globale du vecteur "&amp;RIGHT(B1,2)</f>
        <v>2216</v>
      </c>
      <c r="O15" s="954"/>
      <c r="P15" s="955"/>
      <c r="Q15" s="955"/>
      <c r="R15" s="955"/>
      <c r="S15" s="955"/>
      <c r="T15" s="955"/>
      <c r="U15" s="955"/>
      <c r="V15" s="955"/>
      <c r="W15" s="956"/>
      <c r="X15" s="957"/>
      <c r="Y15" s="958"/>
      <c r="Z15" t="s" s="959">
        <v>1829</v>
      </c>
      <c r="AA15" t="s" s="960">
        <v>1830</v>
      </c>
      <c r="AB15" s="961"/>
      <c r="AC15" s="948"/>
      <c r="AD15" s="586"/>
      <c r="AE15" s="586"/>
      <c r="AF15" s="586"/>
      <c r="AG15" s="586"/>
      <c r="AH15" s="888"/>
      <c r="AI15" s="585"/>
    </row>
    <row r="16" ht="30" customHeight="1">
      <c r="A16" s="887"/>
      <c r="B16" s="586"/>
      <c r="C16" s="586"/>
      <c r="D16" s="586"/>
      <c r="E16" t="s" s="744">
        <f>RIGHT($B$1,1)&amp;"14"</f>
        <v>993</v>
      </c>
      <c r="F16" s="586"/>
      <c r="G16" t="s" s="667">
        <f>IF(VLOOKUP(E16,'BDD'!$A$2:$N$567,14,FALSE)=0,"",VLOOKUP(E16,'BDD'!$A$2:$N$567,14,FALSE))</f>
      </c>
      <c r="H16" s="694"/>
      <c r="I16" s="587"/>
      <c r="J16" s="25"/>
      <c r="K16" s="950"/>
      <c r="L16" s="938"/>
      <c r="M16" s="962"/>
      <c r="N16" s="697"/>
      <c r="O16" s="963"/>
      <c r="P16" s="955"/>
      <c r="Q16" s="955"/>
      <c r="R16" s="955"/>
      <c r="S16" s="955"/>
      <c r="T16" s="955"/>
      <c r="U16" s="955"/>
      <c r="V16" s="964"/>
      <c r="W16" t="s" s="701">
        <v>28</v>
      </c>
      <c r="X16" s="702"/>
      <c r="Y16" s="965"/>
      <c r="Z16" s="966">
        <f>O22</f>
        <v>0</v>
      </c>
      <c r="AA16" s="967">
        <f>SUM($W$26:$W$64)</f>
      </c>
      <c r="AB16" s="968"/>
      <c r="AC16" s="948"/>
      <c r="AD16" s="586"/>
      <c r="AE16" s="586"/>
      <c r="AF16" s="586"/>
      <c r="AG16" s="586"/>
      <c r="AH16" s="888"/>
      <c r="AI16" s="585"/>
    </row>
    <row r="17" ht="15" customHeight="1">
      <c r="A17" s="887"/>
      <c r="B17" s="586"/>
      <c r="C17" s="586"/>
      <c r="D17" s="586"/>
      <c r="E17" t="s" s="744">
        <f>RIGHT($B$1,1)&amp;"15"</f>
        <v>997</v>
      </c>
      <c r="F17" s="586"/>
      <c r="G17" t="s" s="667">
        <f>IF(VLOOKUP(E17,'BDD'!$A$2:$N$567,14,FALSE)=0,"",VLOOKUP(E17,'BDD'!$A$2:$N$567,14,FALSE))</f>
      </c>
      <c r="H17" s="694"/>
      <c r="I17" s="587"/>
      <c r="J17" s="25"/>
      <c r="K17" s="937"/>
      <c r="L17" s="969"/>
      <c r="M17" s="970"/>
      <c r="N17" s="971"/>
      <c r="O17" s="972"/>
      <c r="P17" s="972"/>
      <c r="Q17" s="972"/>
      <c r="R17" s="972"/>
      <c r="S17" s="972"/>
      <c r="T17" s="972"/>
      <c r="U17" s="972"/>
      <c r="V17" s="972"/>
      <c r="W17" s="973"/>
      <c r="X17" s="971"/>
      <c r="Y17" s="972"/>
      <c r="Z17" s="974"/>
      <c r="AA17" s="974"/>
      <c r="AB17" s="975"/>
      <c r="AC17" s="948"/>
      <c r="AD17" s="586"/>
      <c r="AE17" s="586"/>
      <c r="AF17" s="586"/>
      <c r="AG17" s="586"/>
      <c r="AH17" s="888"/>
      <c r="AI17" s="585"/>
    </row>
    <row r="18" ht="27" customHeight="1">
      <c r="A18" s="887"/>
      <c r="B18" s="586"/>
      <c r="C18" s="586"/>
      <c r="D18" s="586"/>
      <c r="E18" t="s" s="744">
        <f>RIGHT($B$1,1)&amp;"16"</f>
        <v>998</v>
      </c>
      <c r="F18" s="586"/>
      <c r="G18" t="s" s="667">
        <f>IF(VLOOKUP(E18,'BDD'!$A$2:$N$567,14,FALSE)=0,"",VLOOKUP(E18,'BDD'!$A$2:$N$567,14,FALSE))</f>
      </c>
      <c r="H18" s="694"/>
      <c r="I18" s="694"/>
      <c r="J18" s="25"/>
      <c r="K18" s="694"/>
      <c r="L18" s="976"/>
      <c r="M18" s="977"/>
      <c r="N18" s="978"/>
      <c r="O18" s="978"/>
      <c r="P18" s="978"/>
      <c r="Q18" s="978"/>
      <c r="R18" s="978"/>
      <c r="S18" s="979"/>
      <c r="T18" s="979"/>
      <c r="U18" s="979"/>
      <c r="V18" s="979"/>
      <c r="W18" s="979"/>
      <c r="X18" s="979"/>
      <c r="Y18" s="979"/>
      <c r="Z18" s="979"/>
      <c r="AA18" s="979"/>
      <c r="AB18" s="979"/>
      <c r="AC18" s="586"/>
      <c r="AD18" s="586"/>
      <c r="AE18" s="586"/>
      <c r="AF18" s="586"/>
      <c r="AG18" s="586"/>
      <c r="AH18" s="888"/>
      <c r="AI18" s="585"/>
    </row>
    <row r="19" ht="27" customHeight="1" hidden="1">
      <c r="A19" s="887"/>
      <c r="B19" s="586"/>
      <c r="C19" s="586"/>
      <c r="D19" s="586"/>
      <c r="E19" s="586"/>
      <c r="F19" s="586"/>
      <c r="G19" s="717"/>
      <c r="H19" s="694"/>
      <c r="I19" s="694"/>
      <c r="J19" s="25"/>
      <c r="K19" s="694"/>
      <c r="L19" s="694"/>
      <c r="M19" s="587"/>
      <c r="N19" s="718"/>
      <c r="O19" s="718"/>
      <c r="P19" s="718"/>
      <c r="Q19" s="718"/>
      <c r="R19" s="718"/>
      <c r="S19" s="586"/>
      <c r="T19" s="586"/>
      <c r="U19" s="586"/>
      <c r="V19" s="586"/>
      <c r="W19" s="586"/>
      <c r="X19" s="586"/>
      <c r="Y19" s="586"/>
      <c r="Z19" s="586"/>
      <c r="AA19" s="586"/>
      <c r="AB19" s="586"/>
      <c r="AC19" s="586"/>
      <c r="AD19" s="586"/>
      <c r="AE19" s="586"/>
      <c r="AF19" s="586"/>
      <c r="AG19" s="586"/>
      <c r="AH19" s="888"/>
      <c r="AI19" s="585"/>
    </row>
    <row r="20" ht="30" customHeight="1">
      <c r="A20" s="887"/>
      <c r="B20" s="586"/>
      <c r="C20" s="586"/>
      <c r="D20" s="586"/>
      <c r="E20" s="586"/>
      <c r="F20" s="586"/>
      <c r="G20" s="717"/>
      <c r="H20" s="694"/>
      <c r="I20" s="587"/>
      <c r="J20" s="25"/>
      <c r="K20" s="694"/>
      <c r="L20" s="694"/>
      <c r="M20" s="719"/>
      <c r="N20" t="s" s="536">
        <v>1831</v>
      </c>
      <c r="O20" s="721">
        <f>COUNTIF(N27:N100,"Non renseigné")</f>
        <v>26</v>
      </c>
      <c r="P20" s="722"/>
      <c r="Q20" s="722"/>
      <c r="R20" s="723"/>
      <c r="S20" s="724"/>
      <c r="T20" s="586"/>
      <c r="U20" s="586"/>
      <c r="V20" s="586"/>
      <c r="W20" s="586"/>
      <c r="X20" s="586"/>
      <c r="Y20" s="586"/>
      <c r="Z20" s="586"/>
      <c r="AA20" s="586"/>
      <c r="AB20" s="586"/>
      <c r="AC20" s="586"/>
      <c r="AD20" s="586"/>
      <c r="AE20" s="586"/>
      <c r="AF20" s="586"/>
      <c r="AG20" s="586"/>
      <c r="AH20" s="888"/>
      <c r="AI20" s="585"/>
    </row>
    <row r="21" ht="30" customHeight="1">
      <c r="A21" s="887"/>
      <c r="B21" s="586"/>
      <c r="C21" s="586"/>
      <c r="D21" s="586"/>
      <c r="E21" t="s" s="744">
        <f>RIGHT($B$1,1)&amp;"17"</f>
        <v>999</v>
      </c>
      <c r="F21" s="586"/>
      <c r="G21" t="s" s="667">
        <f>IF(VLOOKUP(E21,'BDD'!$A$2:$N$567,14,FALSE)=0,"",VLOOKUP(E21,'BDD'!$A$2:$N$567,14,FALSE))</f>
      </c>
      <c r="H21" s="694"/>
      <c r="I21" s="694"/>
      <c r="J21" s="25"/>
      <c r="K21" s="694"/>
      <c r="L21" s="694"/>
      <c r="M21" s="719"/>
      <c r="N21" t="s" s="855">
        <v>1832</v>
      </c>
      <c r="O21" s="856">
        <f>COUNTIF($N$27:$N$91,"Non évalué")</f>
        <v>0</v>
      </c>
      <c r="P21" s="857"/>
      <c r="Q21" s="857"/>
      <c r="R21" s="858"/>
      <c r="S21" s="724"/>
      <c r="T21" s="586"/>
      <c r="U21" s="586"/>
      <c r="V21" s="586"/>
      <c r="W21" s="586"/>
      <c r="X21" s="586"/>
      <c r="Y21" s="586"/>
      <c r="Z21" s="586"/>
      <c r="AA21" s="586"/>
      <c r="AB21" s="586"/>
      <c r="AC21" s="586"/>
      <c r="AD21" s="586"/>
      <c r="AE21" s="586"/>
      <c r="AF21" s="586"/>
      <c r="AG21" s="586"/>
      <c r="AH21" s="888"/>
      <c r="AI21" s="585"/>
    </row>
    <row r="22" ht="50.4" customHeight="1">
      <c r="A22" s="887"/>
      <c r="B22" s="586"/>
      <c r="C22" s="586"/>
      <c r="D22" s="586"/>
      <c r="E22" s="586"/>
      <c r="F22" s="586"/>
      <c r="G22" s="717"/>
      <c r="H22" s="730"/>
      <c r="I22" s="730"/>
      <c r="J22" s="730"/>
      <c r="K22" s="730"/>
      <c r="L22" s="731"/>
      <c r="M22" s="719"/>
      <c r="N22" t="s" s="732">
        <v>1833</v>
      </c>
      <c r="O22" s="733">
        <v>0</v>
      </c>
      <c r="P22" s="734"/>
      <c r="Q22" s="734"/>
      <c r="R22" s="734"/>
      <c r="S22" s="586"/>
      <c r="T22" s="586"/>
      <c r="U22" s="586"/>
      <c r="V22" s="586"/>
      <c r="W22" s="586"/>
      <c r="X22" s="586"/>
      <c r="Y22" s="586"/>
      <c r="Z22" s="586"/>
      <c r="AA22" s="586"/>
      <c r="AB22" s="586"/>
      <c r="AC22" s="586"/>
      <c r="AD22" s="586"/>
      <c r="AE22" s="586"/>
      <c r="AF22" s="586"/>
      <c r="AG22" s="586"/>
      <c r="AH22" s="888"/>
      <c r="AI22" s="585"/>
    </row>
    <row r="23" ht="30" customHeight="1">
      <c r="A23" s="887"/>
      <c r="B23" s="586"/>
      <c r="C23" s="25"/>
      <c r="D23" s="586"/>
      <c r="E23" s="586"/>
      <c r="F23" s="586"/>
      <c r="G23" s="736"/>
      <c r="H23" t="s" s="737">
        <v>245</v>
      </c>
      <c r="I23" s="738"/>
      <c r="J23" s="739"/>
      <c r="K23" s="739"/>
      <c r="L23" s="740"/>
      <c r="M23" s="741"/>
      <c r="N23" s="742"/>
      <c r="O23" s="730"/>
      <c r="P23" s="730"/>
      <c r="Q23" s="730"/>
      <c r="R23" s="730"/>
      <c r="S23" s="730"/>
      <c r="T23" s="730"/>
      <c r="U23" s="730"/>
      <c r="V23" s="730"/>
      <c r="W23" s="586"/>
      <c r="X23" s="586"/>
      <c r="Y23" s="586"/>
      <c r="Z23" s="586"/>
      <c r="AA23" s="586"/>
      <c r="AB23" s="586"/>
      <c r="AC23" s="586"/>
      <c r="AD23" s="586"/>
      <c r="AE23" s="586"/>
      <c r="AF23" s="586"/>
      <c r="AG23" s="586"/>
      <c r="AH23" s="888"/>
      <c r="AI23" s="585"/>
    </row>
    <row r="24" ht="39.6" customHeight="1">
      <c r="A24" s="887"/>
      <c r="B24" s="586"/>
      <c r="C24" t="s" s="744">
        <v>10</v>
      </c>
      <c r="D24" t="s" s="745">
        <v>1745</v>
      </c>
      <c r="E24" t="s" s="745">
        <v>1834</v>
      </c>
      <c r="F24" s="746"/>
      <c r="G24" t="s" s="747">
        <v>244</v>
      </c>
      <c r="H24" t="s" s="747">
        <v>283</v>
      </c>
      <c r="I24" t="s" s="747">
        <v>263</v>
      </c>
      <c r="J24" t="s" s="747">
        <v>271</v>
      </c>
      <c r="K24" t="s" s="747">
        <v>291</v>
      </c>
      <c r="L24" t="s" s="747">
        <v>256</v>
      </c>
      <c r="M24" s="748"/>
      <c r="N24" t="s" s="747">
        <v>1764</v>
      </c>
      <c r="O24" t="s" s="749">
        <v>22</v>
      </c>
      <c r="P24" s="750"/>
      <c r="Q24" s="750"/>
      <c r="R24" s="750"/>
      <c r="S24" t="s" s="751">
        <v>223</v>
      </c>
      <c r="T24" s="750"/>
      <c r="U24" s="750"/>
      <c r="V24" s="752"/>
      <c r="W24" s="724"/>
      <c r="X24" s="586"/>
      <c r="Y24" s="586"/>
      <c r="Z24" s="586"/>
      <c r="AA24" s="586"/>
      <c r="AB24" s="586"/>
      <c r="AC24" s="586"/>
      <c r="AD24" s="586"/>
      <c r="AE24" s="586"/>
      <c r="AF24" s="586"/>
      <c r="AG24" s="586"/>
      <c r="AH24" s="888"/>
      <c r="AI24" s="585"/>
    </row>
    <row r="25" ht="30" customHeight="1">
      <c r="A25" s="887"/>
      <c r="B25" s="753"/>
      <c r="C25" t="s" s="754">
        <f>IF(LEFT(RIGHT($B$1,2),1)=" ",RIGHT($B$1,1),RIGHT($B$1,2))</f>
        <v>2173</v>
      </c>
      <c r="D25" s="755">
        <f>IF(LEFT(F25,5)="Bonne",B23+1,D24)</f>
        <v>1</v>
      </c>
      <c r="E25" s="756"/>
      <c r="F25" t="s" s="757">
        <v>1762</v>
      </c>
      <c r="G25" t="s" s="758">
        <f>VLOOKUP(E27,'BDD'!$A$2:$N$567,6,FALSE)</f>
        <v>976</v>
      </c>
      <c r="H25" s="759"/>
      <c r="I25" s="760"/>
      <c r="J25" s="760"/>
      <c r="K25" s="760"/>
      <c r="L25" s="761"/>
      <c r="M25" s="762"/>
      <c r="N25" s="763"/>
      <c r="O25" s="764">
        <v>0</v>
      </c>
      <c r="P25" s="764"/>
      <c r="Q25" s="764"/>
      <c r="R25" s="764"/>
      <c r="S25" s="765">
        <f>_xlfn.SUMIFS(S1:S100,$D1:$D100,D25,$N1:$N100,"Exigences"&amp;"*")</f>
      </c>
      <c r="T25" s="765"/>
      <c r="U25" s="765"/>
      <c r="V25" s="766"/>
      <c r="W25" s="767"/>
      <c r="X25" s="586"/>
      <c r="Y25" s="586"/>
      <c r="Z25" s="586"/>
      <c r="AA25" s="586"/>
      <c r="AB25" s="586"/>
      <c r="AC25" s="586"/>
      <c r="AD25" s="586"/>
      <c r="AE25" s="586"/>
      <c r="AF25" s="586"/>
      <c r="AG25" s="586"/>
      <c r="AH25" s="888"/>
      <c r="AI25" s="585"/>
    </row>
    <row r="26" ht="30" customHeight="1">
      <c r="A26" s="887"/>
      <c r="B26" s="753"/>
      <c r="C26" t="s" s="754">
        <f>IF(LEFT(RIGHT($B$1,2),1)=" ",RIGHT($B$1,1),RIGHT($B$1,2))</f>
        <v>2173</v>
      </c>
      <c r="D26" s="755">
        <f>IF(LEFT(F26,5)="Bonne",D24+1,D25)</f>
        <v>1</v>
      </c>
      <c r="E26" s="768"/>
      <c r="F26" t="s" s="769">
        <v>1835</v>
      </c>
      <c r="G26" t="s" s="770">
        <f>VLOOKUP(E28,'BDD'!$A$2:$N$567,7,FALSE)</f>
        <v>2217</v>
      </c>
      <c r="H26" s="771"/>
      <c r="I26" s="771"/>
      <c r="J26" s="771"/>
      <c r="K26" s="771"/>
      <c r="L26" s="772"/>
      <c r="M26" s="773"/>
      <c r="N26" s="774"/>
      <c r="O26" s="775"/>
      <c r="P26" s="775"/>
      <c r="Q26" s="775"/>
      <c r="R26" s="775"/>
      <c r="S26" s="776"/>
      <c r="T26" s="776"/>
      <c r="U26" s="776"/>
      <c r="V26" s="777"/>
      <c r="W26" s="789">
        <f>_xlfn.IFERROR(IF(N26='Suppl'!$E$65,0,IF(N26='Suppl'!$E$66,1/2/(_xlfn.COUNTIFS($N1:$N100,"Exigences"&amp;"*")+_xlfn.COUNTIFS($N1:$N100,"Non"&amp;"*")),IF(N26='Suppl'!$E$67,1/(_xlfn.COUNTIFS($N1:$N100,"Exigences"&amp;"*")+_xlfn.COUNTIFS($N1:$N100,"Non"&amp;"*")),0))),0)</f>
        <v>0</v>
      </c>
      <c r="X26" s="586"/>
      <c r="Y26" s="586"/>
      <c r="Z26" s="586"/>
      <c r="AA26" s="586"/>
      <c r="AB26" s="586"/>
      <c r="AC26" s="586"/>
      <c r="AD26" s="586"/>
      <c r="AE26" s="586"/>
      <c r="AF26" s="586"/>
      <c r="AG26" s="586"/>
      <c r="AH26" s="888"/>
      <c r="AI26" s="585"/>
    </row>
    <row r="27" ht="30" customHeight="1">
      <c r="A27" s="887"/>
      <c r="B27" s="753"/>
      <c r="C27" t="s" s="754">
        <f>IF(LEFT(RIGHT($B$1,2),1)=" ",RIGHT($B$1,1),RIGHT($B$1,2))</f>
        <v>2173</v>
      </c>
      <c r="D27" s="755">
        <f>IF(LEFT(F27,5)="Bonne",D25+1,D26)</f>
        <v>1</v>
      </c>
      <c r="E27" t="s" s="778">
        <f>C27&amp;D27&amp;RIGHT(F27,1)</f>
        <v>2174</v>
      </c>
      <c r="F27" t="s" s="779">
        <v>1769</v>
      </c>
      <c r="G27" t="s" s="780">
        <f>VLOOKUP(E27,'BDD'!$A$2:$N$567,MATCH(G$24,'BDD'!$A$1:$P$1,0),FALSE)</f>
        <v>979</v>
      </c>
      <c r="H27" t="s" s="799">
        <v>283</v>
      </c>
      <c r="I27" s="782"/>
      <c r="J27" s="782"/>
      <c r="K27" s="782"/>
      <c r="L27" s="793"/>
      <c r="M27" s="784">
        <f>IF(N27="Exigences partiellement respectées",1,IF(N27="Exigences respectées",2,0))</f>
        <v>0</v>
      </c>
      <c r="N27" t="s" s="780">
        <f>VLOOKUP(VLOOKUP(E27,'BDD'!$A$2:$P$428,15,FALSE),'Suppl'!$D$64:$E$68,2,FALSE)</f>
        <v>1751</v>
      </c>
      <c r="O27" s="785"/>
      <c r="P27" s="786"/>
      <c r="Q27" s="786"/>
      <c r="R27" s="786"/>
      <c r="S27" s="787">
        <f>IF(N27='Suppl'!$E$65,0,IF(N27='Suppl'!$E$66,1/2/(_xlfn.COUNTIFS($D1:$D100,D27,$N1:$N100,"Exigences"&amp;"*",G1:G100,"&lt;&gt;0")+_xlfn.COUNTIFS($D1:$D100,D27,$N1:$N100,"Non"&amp;"*",G1:G100,"&lt;&gt;0")),IF(N27='Suppl'!$E$67,1/(_xlfn.COUNTIFS($D1:$D100,D27,$N1:$N100,"Exigences"&amp;"*",G1:G100,"&lt;&gt;0")+_xlfn.COUNTIFS($D1:$D100,D27,$N1:$N100,"Non"&amp;"*",G1:G100,"&lt;&gt;0")),0)))</f>
        <v>0</v>
      </c>
      <c r="T27" s="787"/>
      <c r="U27" s="787"/>
      <c r="V27" s="788"/>
      <c r="W27" s="789">
        <f>_xlfn.IFERROR(IF(N27='Suppl'!$E$65,0,IF(N27='Suppl'!$E$66,1/2/(_xlfn.COUNTIFS($N1:$N100,"Exigences"&amp;"*")+_xlfn.COUNTIFS($N1:$N100,"Non"&amp;"*")),IF(N27='Suppl'!$E$67,1/(_xlfn.COUNTIFS($N1:$N100,"Exigences"&amp;"*")+_xlfn.COUNTIFS($N1:$N100,"Non"&amp;"*")),0))),0)</f>
        <v>0</v>
      </c>
      <c r="X27" s="586"/>
      <c r="Y27" s="586"/>
      <c r="Z27" s="586"/>
      <c r="AA27" s="586"/>
      <c r="AB27" s="586"/>
      <c r="AC27" s="586"/>
      <c r="AD27" s="586"/>
      <c r="AE27" s="586"/>
      <c r="AF27" s="586"/>
      <c r="AG27" s="586"/>
      <c r="AH27" s="888"/>
      <c r="AI27" s="585"/>
    </row>
    <row r="28" ht="30" customHeight="1">
      <c r="A28" s="887"/>
      <c r="B28" s="753"/>
      <c r="C28" t="s" s="754">
        <f>IF(LEFT(RIGHT($B$1,2),1)=" ",RIGHT($B$1,1),RIGHT($B$1,2))</f>
        <v>2173</v>
      </c>
      <c r="D28" s="755">
        <f>IF(LEFT(F28,5)="Bonne",D26+1,D27)</f>
        <v>1</v>
      </c>
      <c r="E28" t="s" s="778">
        <f>C28&amp;D28&amp;RIGHT(F28,1)</f>
        <v>2175</v>
      </c>
      <c r="F28" t="s" s="790">
        <v>1837</v>
      </c>
      <c r="G28" t="s" s="791">
        <f>VLOOKUP(E28,'BDD'!$A$2:$N$567,MATCH(G$24,'BDD'!$A$1:$P$1,0),FALSE)</f>
        <v>984</v>
      </c>
      <c r="H28" s="781"/>
      <c r="I28" t="s" s="792">
        <v>263</v>
      </c>
      <c r="J28" s="782"/>
      <c r="K28" s="782"/>
      <c r="L28" s="793"/>
      <c r="M28" s="794">
        <f>IF(N28="Exigences partiellement respectées",1,IF(N28="Exigences respectées",2,0))</f>
        <v>0</v>
      </c>
      <c r="N28" t="s" s="791">
        <f>VLOOKUP(VLOOKUP(E28,'BDD'!$A$2:$P$428,15,FALSE),'Suppl'!$D$64:$E$68,2,FALSE)</f>
        <v>1751</v>
      </c>
      <c r="O28" s="795"/>
      <c r="P28" s="796"/>
      <c r="Q28" s="796"/>
      <c r="R28" s="796"/>
      <c r="S28" s="797">
        <f>IF(N28='Suppl'!$E$65,0,IF(N28='Suppl'!$E$66,1/2/(_xlfn.COUNTIFS($D1:$D100,D28,$N1:$N100,"Exigences"&amp;"*",G1:G100,"&lt;&gt;0")+_xlfn.COUNTIFS($D1:$D100,D28,$N1:$N100,"Non"&amp;"*",G1:G100,"&lt;&gt;0")),IF(N28='Suppl'!$E$67,1/(_xlfn.COUNTIFS($D1:$D100,D28,$N1:$N100,"Exigences"&amp;"*",G1:G100,"&lt;&gt;0")+_xlfn.COUNTIFS($D1:$D100,D28,$N1:$N100,"Non"&amp;"*",G1:G100,"&lt;&gt;0")),0)))</f>
        <v>0</v>
      </c>
      <c r="T28" s="797"/>
      <c r="U28" s="797"/>
      <c r="V28" s="798"/>
      <c r="W28" s="789">
        <f>_xlfn.IFERROR(IF(N28='Suppl'!$E$65,0,IF(N28='Suppl'!$E$66,1/2/(_xlfn.COUNTIFS($N1:$N100,"Exigences"&amp;"*")+_xlfn.COUNTIFS($N1:$N100,"Non"&amp;"*")),IF(N28='Suppl'!$E$67,1/(_xlfn.COUNTIFS($N1:$N100,"Exigences"&amp;"*")+_xlfn.COUNTIFS($N1:$N100,"Non"&amp;"*")),0))),0)</f>
        <v>0</v>
      </c>
      <c r="X28" s="586"/>
      <c r="Y28" s="586"/>
      <c r="Z28" s="586"/>
      <c r="AA28" s="586"/>
      <c r="AB28" s="586"/>
      <c r="AC28" s="586"/>
      <c r="AD28" s="586"/>
      <c r="AE28" s="586"/>
      <c r="AF28" s="586"/>
      <c r="AG28" s="586"/>
      <c r="AH28" s="888"/>
      <c r="AI28" s="585"/>
    </row>
    <row r="29" ht="41.4" customHeight="1">
      <c r="A29" s="887"/>
      <c r="B29" s="753"/>
      <c r="C29" t="s" s="754">
        <f>IF(LEFT(RIGHT($B$1,2),1)=" ",RIGHT($B$1,1),RIGHT($B$1,2))</f>
        <v>2173</v>
      </c>
      <c r="D29" s="755">
        <f>IF(LEFT(F29,5)="Bonne",D27+1,D28)</f>
        <v>1</v>
      </c>
      <c r="E29" t="s" s="778">
        <f>C29&amp;D29&amp;RIGHT(F29,1)</f>
        <v>2176</v>
      </c>
      <c r="F29" t="s" s="779">
        <v>1774</v>
      </c>
      <c r="G29" t="s" s="780">
        <f>VLOOKUP(E29,'BDD'!$A$2:$N$567,MATCH(G$24,'BDD'!$A$1:$P$1,0),FALSE)</f>
        <v>990</v>
      </c>
      <c r="H29" s="781"/>
      <c r="I29" t="s" s="792">
        <v>263</v>
      </c>
      <c r="J29" s="782"/>
      <c r="K29" s="782"/>
      <c r="L29" s="793"/>
      <c r="M29" s="794">
        <f>IF(N29="Exigences partiellement respectées",1,IF(N29="Exigences respectées",2,0))</f>
        <v>0</v>
      </c>
      <c r="N29" t="s" s="780">
        <f>VLOOKUP(VLOOKUP(E29,'BDD'!$A$2:$P$428,15,FALSE),'Suppl'!$D$64:$E$68,2,FALSE)</f>
        <v>1751</v>
      </c>
      <c r="O29" s="795"/>
      <c r="P29" s="796"/>
      <c r="Q29" s="796"/>
      <c r="R29" s="796"/>
      <c r="S29" s="797">
        <f>IF(N29='Suppl'!$E$65,0,IF(N29='Suppl'!$E$66,1/2/(_xlfn.COUNTIFS($D1:$D100,D29,$N1:$N100,"Exigences"&amp;"*",G1:G100,"&lt;&gt;0")+_xlfn.COUNTIFS($D1:$D100,D29,$N1:$N100,"Non"&amp;"*",G1:G100,"&lt;&gt;0")),IF(N29='Suppl'!$E$67,1/(_xlfn.COUNTIFS($D1:$D100,D29,$N1:$N100,"Exigences"&amp;"*",G1:G100,"&lt;&gt;0")+_xlfn.COUNTIFS($D1:$D100,D29,$N1:$N100,"Non"&amp;"*",G1:G100,"&lt;&gt;0")),0)))</f>
        <v>0</v>
      </c>
      <c r="T29" s="797"/>
      <c r="U29" s="797"/>
      <c r="V29" s="798"/>
      <c r="W29" s="789">
        <f>_xlfn.IFERROR(IF(N29='Suppl'!$E$65,0,IF(N29='Suppl'!$E$66,1/2/(_xlfn.COUNTIFS($N1:$N100,"Exigences"&amp;"*")+_xlfn.COUNTIFS($N1:$N100,"Non"&amp;"*")),IF(N29='Suppl'!$E$67,1/(_xlfn.COUNTIFS($N1:$N100,"Exigences"&amp;"*")+_xlfn.COUNTIFS($N1:$N100,"Non"&amp;"*")),0))),0)</f>
        <v>0</v>
      </c>
      <c r="X29" s="586"/>
      <c r="Y29" s="586"/>
      <c r="Z29" s="586"/>
      <c r="AA29" s="586"/>
      <c r="AB29" s="586"/>
      <c r="AC29" s="586"/>
      <c r="AD29" s="586"/>
      <c r="AE29" s="586"/>
      <c r="AF29" s="586"/>
      <c r="AG29" s="586"/>
      <c r="AH29" s="888"/>
      <c r="AI29" s="585"/>
    </row>
    <row r="30" ht="30" customHeight="1">
      <c r="A30" s="887"/>
      <c r="B30" s="753"/>
      <c r="C30" t="s" s="754">
        <f>IF(LEFT(RIGHT($B$1,2),1)=" ",RIGHT($B$1,1),RIGHT($B$1,2))</f>
        <v>2173</v>
      </c>
      <c r="D30" s="755">
        <f>IF(LEFT(F30,5)="Bonne",D28+1,D29)</f>
        <v>1</v>
      </c>
      <c r="E30" t="s" s="778">
        <f>C30&amp;D30&amp;RIGHT(F30,1)</f>
        <v>2177</v>
      </c>
      <c r="F30" t="s" s="790">
        <v>1776</v>
      </c>
      <c r="G30" t="s" s="791">
        <f>VLOOKUP(E30,'BDD'!$A$2:$N$567,MATCH(G$24,'BDD'!$A$1:$P$1,0),FALSE)</f>
        <v>994</v>
      </c>
      <c r="H30" s="781"/>
      <c r="I30" s="782"/>
      <c r="J30" t="s" s="792">
        <v>271</v>
      </c>
      <c r="K30" s="782"/>
      <c r="L30" s="793"/>
      <c r="M30" s="800">
        <f>IF(N30="Exigences partiellement respectées",1,IF(N30="Exigences respectées",2,0))</f>
        <v>0</v>
      </c>
      <c r="N30" t="s" s="791">
        <f>VLOOKUP(VLOOKUP(E30,'BDD'!$A$2:$P$428,15,FALSE),'Suppl'!$D$64:$E$68,2,FALSE)</f>
        <v>1751</v>
      </c>
      <c r="O30" s="801"/>
      <c r="P30" s="802"/>
      <c r="Q30" s="802"/>
      <c r="R30" s="802"/>
      <c r="S30" s="803">
        <f>IF(N30='Suppl'!$E$65,0,IF(N30='Suppl'!$E$66,1/2/(_xlfn.COUNTIFS($D1:$D100,D30,$N1:$N100,"Exigences"&amp;"*",G1:G100,"&lt;&gt;0")+_xlfn.COUNTIFS($D1:$D100,D30,$N1:$N100,"Non"&amp;"*",G1:G100,"&lt;&gt;0")),IF(N30='Suppl'!$E$67,1/(_xlfn.COUNTIFS($D1:$D100,D30,$N1:$N100,"Exigences"&amp;"*",G1:G100,"&lt;&gt;0")+_xlfn.COUNTIFS($D1:$D100,D30,$N1:$N100,"Non"&amp;"*",G1:G100,"&lt;&gt;0")),0)))</f>
        <v>0</v>
      </c>
      <c r="T30" s="803"/>
      <c r="U30" s="803"/>
      <c r="V30" s="804"/>
      <c r="W30" s="789">
        <f>_xlfn.IFERROR(IF(N30='Suppl'!$E$65,0,IF(N30='Suppl'!$E$66,1/2/(_xlfn.COUNTIFS($N1:$N100,"Exigences"&amp;"*")+_xlfn.COUNTIFS($N1:$N100,"Non"&amp;"*")),IF(N30='Suppl'!$E$67,1/(_xlfn.COUNTIFS($N1:$N100,"Exigences"&amp;"*")+_xlfn.COUNTIFS($N1:$N100,"Non"&amp;"*")),0))),0)</f>
        <v>0</v>
      </c>
      <c r="X30" t="s" s="744">
        <v>171</v>
      </c>
      <c r="Y30" s="586"/>
      <c r="Z30" s="586"/>
      <c r="AA30" s="586"/>
      <c r="AB30" s="586"/>
      <c r="AC30" s="586"/>
      <c r="AD30" s="586"/>
      <c r="AE30" s="586"/>
      <c r="AF30" s="586"/>
      <c r="AG30" s="586"/>
      <c r="AH30" s="888"/>
      <c r="AI30" s="585"/>
    </row>
    <row r="31" ht="30" customHeight="1">
      <c r="A31" s="887"/>
      <c r="B31" s="753"/>
      <c r="C31" t="s" s="754">
        <f>IF(LEFT(RIGHT($B$1,2),1)=" ",RIGHT($B$1,1),RIGHT($B$1,2))</f>
        <v>2173</v>
      </c>
      <c r="D31" s="755">
        <f>IF(LEFT(F31,5)="Bonne",D29+1,D30)</f>
        <v>2</v>
      </c>
      <c r="E31" t="s" s="778">
        <f>C31&amp;D31&amp;RIGHT(F31,1)</f>
        <v>2182</v>
      </c>
      <c r="F31" t="s" s="757">
        <v>1785</v>
      </c>
      <c r="G31" t="s" s="758">
        <f>VLOOKUP(E33,'BDD'!$A$2:$N$567,6,FALSE)</f>
        <v>1000</v>
      </c>
      <c r="H31" t="s" s="805">
        <f>VLOOKUP(E33,'BDD'!$A$2:$N$567,6,FALSE)</f>
        <v>1000</v>
      </c>
      <c r="I31" s="760"/>
      <c r="J31" s="760"/>
      <c r="K31" s="760"/>
      <c r="L31" s="761"/>
      <c r="M31" s="762"/>
      <c r="N31" s="763"/>
      <c r="O31" s="764">
        <v>0</v>
      </c>
      <c r="P31" s="764"/>
      <c r="Q31" s="764"/>
      <c r="R31" s="764"/>
      <c r="S31" s="765">
        <f>_xlfn.SUMIFS(S1:S100,$D1:$D100,D31,$N1:$N100,"Exigences"&amp;"*")</f>
      </c>
      <c r="T31" s="765"/>
      <c r="U31" s="765"/>
      <c r="V31" s="766"/>
      <c r="W31" s="789">
        <f>_xlfn.IFERROR(IF(N31='Suppl'!$E$65,0,IF(N31='Suppl'!$E$66,1/2/(_xlfn.COUNTIFS($N1:$N100,"Exigences"&amp;"*")+_xlfn.COUNTIFS($N1:$N100,"Non"&amp;"*")),IF(N31='Suppl'!$E$67,1/(_xlfn.COUNTIFS($N1:$N100,"Exigences"&amp;"*")+_xlfn.COUNTIFS($N1:$N100,"Non"&amp;"*")),0))),0)</f>
        <v>0</v>
      </c>
      <c r="X31" s="586"/>
      <c r="Y31" s="586"/>
      <c r="Z31" s="586"/>
      <c r="AA31" s="586"/>
      <c r="AB31" s="586"/>
      <c r="AC31" s="586"/>
      <c r="AD31" s="586"/>
      <c r="AE31" s="586"/>
      <c r="AF31" s="586"/>
      <c r="AG31" s="586"/>
      <c r="AH31" s="888"/>
      <c r="AI31" s="585"/>
    </row>
    <row r="32" ht="30" customHeight="1">
      <c r="A32" s="887"/>
      <c r="B32" s="753"/>
      <c r="C32" t="s" s="754">
        <f>IF(LEFT(RIGHT($B$1,2),1)=" ",RIGHT($B$1,1),RIGHT($B$1,2))</f>
        <v>2173</v>
      </c>
      <c r="D32" s="755">
        <f>IF(LEFT(F32,5)="Bonne",D30+1,D31)</f>
        <v>2</v>
      </c>
      <c r="E32" t="s" s="778">
        <f>C32&amp;D32&amp;RIGHT(F32,1)</f>
        <v>2184</v>
      </c>
      <c r="F32" t="s" s="769">
        <v>1835</v>
      </c>
      <c r="G32" t="s" s="770">
        <f>VLOOKUP(E34,'BDD'!$A$2:$N$567,7,FALSE)</f>
        <v>2218</v>
      </c>
      <c r="H32" s="771"/>
      <c r="I32" s="771"/>
      <c r="J32" s="771"/>
      <c r="K32" s="771"/>
      <c r="L32" s="772"/>
      <c r="M32" s="773"/>
      <c r="N32" s="774"/>
      <c r="O32" s="775"/>
      <c r="P32" s="775"/>
      <c r="Q32" s="775"/>
      <c r="R32" s="775"/>
      <c r="S32" s="776"/>
      <c r="T32" s="776"/>
      <c r="U32" s="776"/>
      <c r="V32" s="777"/>
      <c r="W32" s="789">
        <f>_xlfn.IFERROR(IF(N32='Suppl'!$E$65,0,IF(N32='Suppl'!$E$66,1/2/(_xlfn.COUNTIFS($N1:$N100,"Exigences"&amp;"*")+_xlfn.COUNTIFS($N1:$N100,"Non"&amp;"*")),IF(N32='Suppl'!$E$67,1/(_xlfn.COUNTIFS($N1:$N100,"Exigences"&amp;"*")+_xlfn.COUNTIFS($N1:$N100,"Non"&amp;"*")),0))),0)</f>
        <v>0</v>
      </c>
      <c r="X32" s="586"/>
      <c r="Y32" s="586"/>
      <c r="Z32" s="586"/>
      <c r="AA32" s="586"/>
      <c r="AB32" s="586"/>
      <c r="AC32" s="586"/>
      <c r="AD32" s="586"/>
      <c r="AE32" s="586"/>
      <c r="AF32" s="586"/>
      <c r="AG32" s="586"/>
      <c r="AH32" s="888"/>
      <c r="AI32" s="585"/>
    </row>
    <row r="33" ht="30" customHeight="1">
      <c r="A33" s="887"/>
      <c r="B33" s="753"/>
      <c r="C33" t="s" s="754">
        <f>IF(LEFT(RIGHT($B$1,2),1)=" ",RIGHT($B$1,1),RIGHT($B$1,2))</f>
        <v>2173</v>
      </c>
      <c r="D33" s="755">
        <f>IF(LEFT(F33,5)="Bonne",D31+1,D32)</f>
        <v>2</v>
      </c>
      <c r="E33" t="s" s="778">
        <f>C33&amp;D33&amp;RIGHT(F33,1)</f>
        <v>2184</v>
      </c>
      <c r="F33" t="s" s="779">
        <v>1769</v>
      </c>
      <c r="G33" t="s" s="780">
        <f>VLOOKUP(E33,'BDD'!$A$2:$N$567,MATCH(G$24,'BDD'!$A$1:$P$1,0),FALSE)</f>
        <v>1003</v>
      </c>
      <c r="H33" t="s" s="799">
        <v>283</v>
      </c>
      <c r="I33" s="782"/>
      <c r="J33" s="782"/>
      <c r="K33" s="782"/>
      <c r="L33" s="793"/>
      <c r="M33" s="784">
        <f>IF(N33="Exigences partiellement respectées",1,IF(N33="Exigences respectées",2,0))</f>
        <v>0</v>
      </c>
      <c r="N33" t="s" s="780">
        <f>VLOOKUP(VLOOKUP(E33,'BDD'!$A$2:$P$428,15,FALSE),'Suppl'!$D$64:$E$68,2,FALSE)</f>
        <v>1751</v>
      </c>
      <c r="O33" s="785"/>
      <c r="P33" s="786"/>
      <c r="Q33" s="786"/>
      <c r="R33" s="786"/>
      <c r="S33" s="787">
        <f>IF(N33='Suppl'!$E$65,0,IF(N33='Suppl'!$E$66,1/2/(_xlfn.COUNTIFS($D1:$D100,D33,$N1:$N100,"Exigences"&amp;"*",G1:G100,"&lt;&gt;0")+_xlfn.COUNTIFS($D1:$D100,D33,$N1:$N100,"Non"&amp;"*",G1:G100,"&lt;&gt;0")),IF(N33='Suppl'!$E$67,1/(_xlfn.COUNTIFS($D1:$D100,D33,$N1:$N100,"Exigences"&amp;"*",G1:G100,"&lt;&gt;0")+_xlfn.COUNTIFS($D1:$D100,D33,$N1:$N100,"Non"&amp;"*",G1:G100,"&lt;&gt;0")),0)))</f>
        <v>0</v>
      </c>
      <c r="T33" s="787"/>
      <c r="U33" s="787"/>
      <c r="V33" s="788"/>
      <c r="W33" s="789">
        <f>_xlfn.IFERROR(IF(N33='Suppl'!$E$65,0,IF(N33='Suppl'!$E$66,1/2/(_xlfn.COUNTIFS($N1:$N100,"Exigences"&amp;"*")+_xlfn.COUNTIFS($N1:$N100,"Non"&amp;"*")),IF(N33='Suppl'!$E$67,1/(_xlfn.COUNTIFS($N1:$N100,"Exigences"&amp;"*")+_xlfn.COUNTIFS($N1:$N100,"Non"&amp;"*")),0))),0)</f>
        <v>0</v>
      </c>
      <c r="X33" s="586"/>
      <c r="Y33" s="586"/>
      <c r="Z33" s="586"/>
      <c r="AA33" s="586"/>
      <c r="AB33" s="586"/>
      <c r="AC33" s="586"/>
      <c r="AD33" s="586"/>
      <c r="AE33" s="586"/>
      <c r="AF33" s="586"/>
      <c r="AG33" s="586"/>
      <c r="AH33" s="888"/>
      <c r="AI33" s="585"/>
    </row>
    <row r="34" ht="30" customHeight="1">
      <c r="A34" s="887"/>
      <c r="B34" s="753"/>
      <c r="C34" t="s" s="754">
        <f>IF(LEFT(RIGHT($B$1,2),1)=" ",RIGHT($B$1,1),RIGHT($B$1,2))</f>
        <v>2173</v>
      </c>
      <c r="D34" s="755">
        <f>IF(LEFT(F34,5)="Bonne",D32+1,D33)</f>
        <v>2</v>
      </c>
      <c r="E34" t="s" s="778">
        <f>C34&amp;D34&amp;RIGHT(F34,1)</f>
        <v>2182</v>
      </c>
      <c r="F34" t="s" s="790">
        <v>1837</v>
      </c>
      <c r="G34" t="s" s="791">
        <f>VLOOKUP(E34,'BDD'!$A$2:$N$567,MATCH(G$24,'BDD'!$A$1:$P$1,0),FALSE)</f>
        <v>1006</v>
      </c>
      <c r="H34" s="781"/>
      <c r="I34" t="s" s="792">
        <v>263</v>
      </c>
      <c r="J34" s="782"/>
      <c r="K34" s="782"/>
      <c r="L34" s="793"/>
      <c r="M34" s="794">
        <f>IF(N34="Exigences partiellement respectées",1,IF(N34="Exigences respectées",2,0))</f>
        <v>0</v>
      </c>
      <c r="N34" t="s" s="791">
        <f>VLOOKUP(VLOOKUP(E34,'BDD'!$A$2:$P$428,15,FALSE),'Suppl'!$D$64:$E$68,2,FALSE)</f>
        <v>1751</v>
      </c>
      <c r="O34" s="795"/>
      <c r="P34" s="796"/>
      <c r="Q34" s="796"/>
      <c r="R34" s="796"/>
      <c r="S34" s="797">
        <f>IF(N34='Suppl'!$E$65,0,IF(N34='Suppl'!$E$66,1/2/(_xlfn.COUNTIFS($D1:$D100,D34,$N1:$N100,"Exigences"&amp;"*",G1:G100,"&lt;&gt;0")+_xlfn.COUNTIFS($D1:$D100,D34,$N1:$N100,"Non"&amp;"*",G1:G100,"&lt;&gt;0")),IF(N34='Suppl'!$E$67,1/(_xlfn.COUNTIFS($D1:$D100,D34,$N1:$N100,"Exigences"&amp;"*",G1:G100,"&lt;&gt;0")+_xlfn.COUNTIFS($D1:$D100,D34,$N1:$N100,"Non"&amp;"*",G1:G100,"&lt;&gt;0")),0)))</f>
        <v>0</v>
      </c>
      <c r="T34" s="797"/>
      <c r="U34" s="797"/>
      <c r="V34" s="798"/>
      <c r="W34" s="789">
        <f>_xlfn.IFERROR(IF(N34='Suppl'!$E$65,0,IF(N34='Suppl'!$E$66,1/2/(_xlfn.COUNTIFS($N1:$N100,"Exigences"&amp;"*")+_xlfn.COUNTIFS($N1:$N100,"Non"&amp;"*")),IF(N34='Suppl'!$E$67,1/(_xlfn.COUNTIFS($N1:$N100,"Exigences"&amp;"*")+_xlfn.COUNTIFS($N1:$N100,"Non"&amp;"*")),0))),0)</f>
        <v>0</v>
      </c>
      <c r="X34" s="586"/>
      <c r="Y34" s="586"/>
      <c r="Z34" s="586"/>
      <c r="AA34" s="586"/>
      <c r="AB34" s="586"/>
      <c r="AC34" s="586"/>
      <c r="AD34" s="586"/>
      <c r="AE34" s="586"/>
      <c r="AF34" s="586"/>
      <c r="AG34" s="586"/>
      <c r="AH34" s="888"/>
      <c r="AI34" s="585"/>
    </row>
    <row r="35" ht="30" customHeight="1">
      <c r="A35" s="887"/>
      <c r="B35" s="753"/>
      <c r="C35" t="s" s="754">
        <f>IF(LEFT(RIGHT($B$1,2),1)=" ",RIGHT($B$1,1),RIGHT($B$1,2))</f>
        <v>2173</v>
      </c>
      <c r="D35" s="755">
        <f>IF(LEFT(F35,5)="Bonne",D33+1,D34)</f>
        <v>2</v>
      </c>
      <c r="E35" t="s" s="778">
        <f>C35&amp;D35&amp;RIGHT(F35,1)</f>
        <v>2185</v>
      </c>
      <c r="F35" t="s" s="779">
        <v>1774</v>
      </c>
      <c r="G35" t="s" s="780">
        <f>VLOOKUP(E35,'BDD'!$A$2:$N$567,MATCH(G$24,'BDD'!$A$1:$P$1,0),FALSE)</f>
        <v>1009</v>
      </c>
      <c r="H35" s="781"/>
      <c r="I35" s="782"/>
      <c r="J35" t="s" s="792">
        <v>271</v>
      </c>
      <c r="K35" s="782"/>
      <c r="L35" s="793"/>
      <c r="M35" s="794">
        <f>IF(N35="Exigences partiellement respectées",1,IF(N35="Exigences respectées",2,0))</f>
        <v>0</v>
      </c>
      <c r="N35" t="s" s="780">
        <f>VLOOKUP(VLOOKUP(E35,'BDD'!$A$2:$P$428,15,FALSE),'Suppl'!$D$64:$E$68,2,FALSE)</f>
        <v>1751</v>
      </c>
      <c r="O35" s="795"/>
      <c r="P35" s="796"/>
      <c r="Q35" s="796"/>
      <c r="R35" s="796"/>
      <c r="S35" s="797">
        <f>IF(N35='Suppl'!$E$65,0,IF(N35='Suppl'!$E$66,1/2/(_xlfn.COUNTIFS($D1:$D100,D35,$N1:$N100,"Exigences"&amp;"*",G1:G100,"&lt;&gt;0")+_xlfn.COUNTIFS($D1:$D100,D35,$N1:$N100,"Non"&amp;"*",G1:G100,"&lt;&gt;0")),IF(N35='Suppl'!$E$67,1/(_xlfn.COUNTIFS($D1:$D100,D35,$N1:$N100,"Exigences"&amp;"*",G1:G100,"&lt;&gt;0")+_xlfn.COUNTIFS($D1:$D100,D35,$N1:$N100,"Non"&amp;"*",G1:G100,"&lt;&gt;0")),0)))</f>
        <v>0</v>
      </c>
      <c r="T35" s="797"/>
      <c r="U35" s="797"/>
      <c r="V35" s="798"/>
      <c r="W35" s="789">
        <f>_xlfn.IFERROR(IF(N35='Suppl'!$E$65,0,IF(N35='Suppl'!$E$66,1/2/(_xlfn.COUNTIFS($N1:$N100,"Exigences"&amp;"*")+_xlfn.COUNTIFS($N1:$N100,"Non"&amp;"*")),IF(N35='Suppl'!$E$67,1/(_xlfn.COUNTIFS($N1:$N100,"Exigences"&amp;"*")+_xlfn.COUNTIFS($N1:$N100,"Non"&amp;"*")),0))),0)</f>
        <v>0</v>
      </c>
      <c r="X35" s="586"/>
      <c r="Y35" s="586"/>
      <c r="Z35" s="586"/>
      <c r="AA35" s="586"/>
      <c r="AB35" s="586"/>
      <c r="AC35" s="586"/>
      <c r="AD35" s="586"/>
      <c r="AE35" s="586"/>
      <c r="AF35" s="586"/>
      <c r="AG35" s="586"/>
      <c r="AH35" s="888"/>
      <c r="AI35" s="585"/>
    </row>
    <row r="36" ht="30" customHeight="1">
      <c r="A36" s="887"/>
      <c r="B36" s="753"/>
      <c r="C36" t="s" s="754">
        <f>IF(LEFT(RIGHT($B$1,2),1)=" ",RIGHT($B$1,1),RIGHT($B$1,2))</f>
        <v>2173</v>
      </c>
      <c r="D36" s="755">
        <f>IF(LEFT(F36,5)="Bonne",D34+1,D35)</f>
        <v>2</v>
      </c>
      <c r="E36" t="s" s="778">
        <f>C36&amp;D36&amp;RIGHT(F36,1)</f>
        <v>2186</v>
      </c>
      <c r="F36" t="s" s="790">
        <v>1776</v>
      </c>
      <c r="G36" t="s" s="791">
        <f>VLOOKUP(E36,'BDD'!$A$2:$N$567,MATCH(G$24,'BDD'!$A$1:$P$1,0),FALSE)</f>
        <v>1012</v>
      </c>
      <c r="H36" s="781"/>
      <c r="I36" t="s" s="792">
        <v>263</v>
      </c>
      <c r="J36" s="782"/>
      <c r="K36" s="782"/>
      <c r="L36" s="793"/>
      <c r="M36" s="794">
        <f>IF(N36="Exigences partiellement respectées",1,IF(N36="Exigences respectées",2,0))</f>
        <v>0</v>
      </c>
      <c r="N36" t="s" s="791">
        <f>VLOOKUP(VLOOKUP(E36,'BDD'!$A$2:$P$428,15,FALSE),'Suppl'!$D$64:$E$68,2,FALSE)</f>
        <v>1751</v>
      </c>
      <c r="O36" s="795"/>
      <c r="P36" s="796"/>
      <c r="Q36" s="796"/>
      <c r="R36" s="796"/>
      <c r="S36" s="797">
        <f>IF(N36='Suppl'!$E$65,0,IF(N36='Suppl'!$E$66,1/2/(_xlfn.COUNTIFS($D1:$D100,D36,$N1:$N100,"Exigences"&amp;"*",G1:G100,"&lt;&gt;0")+_xlfn.COUNTIFS($D1:$D100,D36,$N1:$N100,"Non"&amp;"*",G1:G100,"&lt;&gt;0")),IF(N36='Suppl'!$E$67,1/(_xlfn.COUNTIFS($D1:$D100,D36,$N1:$N100,"Exigences"&amp;"*",G1:G100,"&lt;&gt;0")+_xlfn.COUNTIFS($D1:$D100,D36,$N1:$N100,"Non"&amp;"*",G1:G100,"&lt;&gt;0")),0)))</f>
        <v>0</v>
      </c>
      <c r="T36" s="797"/>
      <c r="U36" s="797"/>
      <c r="V36" s="798"/>
      <c r="W36" s="789">
        <f>_xlfn.IFERROR(IF(N36='Suppl'!$E$65,0,IF(N36='Suppl'!$E$66,1/2/(_xlfn.COUNTIFS($N1:$N100,"Exigences"&amp;"*")+_xlfn.COUNTIFS($N1:$N100,"Non"&amp;"*")),IF(N36='Suppl'!$E$67,1/(_xlfn.COUNTIFS($N1:$N100,"Exigences"&amp;"*")+_xlfn.COUNTIFS($N1:$N100,"Non"&amp;"*")),0))),0)</f>
        <v>0</v>
      </c>
      <c r="X36" s="586"/>
      <c r="Y36" s="586"/>
      <c r="Z36" s="586"/>
      <c r="AA36" s="586"/>
      <c r="AB36" s="586"/>
      <c r="AC36" s="586"/>
      <c r="AD36" s="586"/>
      <c r="AE36" s="586"/>
      <c r="AF36" s="586"/>
      <c r="AG36" s="586"/>
      <c r="AH36" s="888"/>
      <c r="AI36" s="585"/>
    </row>
    <row r="37" ht="30" customHeight="1">
      <c r="A37" s="887"/>
      <c r="B37" s="753"/>
      <c r="C37" t="s" s="754">
        <f>IF(LEFT(RIGHT($B$1,2),1)=" ",RIGHT($B$1,1),RIGHT($B$1,2))</f>
        <v>2173</v>
      </c>
      <c r="D37" s="755">
        <f>IF(LEFT(F37,5)="Bonne",D35+1,D36)</f>
        <v>2</v>
      </c>
      <c r="E37" t="s" s="778">
        <f>C37&amp;D37&amp;RIGHT(F37,1)</f>
        <v>2187</v>
      </c>
      <c r="F37" t="s" s="779">
        <v>1778</v>
      </c>
      <c r="G37" t="s" s="780">
        <f>VLOOKUP(E37,'BDD'!$A$2:$N$567,MATCH(G$24,'BDD'!$A$1:$P$1,0),FALSE)</f>
        <v>1015</v>
      </c>
      <c r="H37" s="781"/>
      <c r="I37" s="782"/>
      <c r="J37" s="782"/>
      <c r="K37" t="s" s="792">
        <v>291</v>
      </c>
      <c r="L37" s="793"/>
      <c r="M37" s="794">
        <f>IF(N37="Exigences partiellement respectées",1,IF(N37="Exigences respectées",2,0))</f>
        <v>0</v>
      </c>
      <c r="N37" t="s" s="780">
        <f>VLOOKUP(VLOOKUP(E37,'BDD'!$A$2:$P$428,15,FALSE),'Suppl'!$D$64:$E$68,2,FALSE)</f>
        <v>1751</v>
      </c>
      <c r="O37" s="795"/>
      <c r="P37" s="796"/>
      <c r="Q37" s="796"/>
      <c r="R37" s="796"/>
      <c r="S37" s="797">
        <f>IF(N37='Suppl'!$E$65,0,IF(N37='Suppl'!$E$66,1/2/(_xlfn.COUNTIFS($D1:$D100,D37,$N1:$N100,"Exigences"&amp;"*",G1:G100,"&lt;&gt;0")+_xlfn.COUNTIFS($D1:$D100,D37,$N1:$N100,"Non"&amp;"*",G1:G100,"&lt;&gt;0")),IF(N37='Suppl'!$E$67,1/(_xlfn.COUNTIFS($D1:$D100,D37,$N1:$N100,"Exigences"&amp;"*",G1:G100,"&lt;&gt;0")+_xlfn.COUNTIFS($D1:$D100,D37,$N1:$N100,"Non"&amp;"*",G1:G100,"&lt;&gt;0")),0)))</f>
        <v>0</v>
      </c>
      <c r="T37" s="797"/>
      <c r="U37" s="797"/>
      <c r="V37" s="798"/>
      <c r="W37" s="789">
        <f>_xlfn.IFERROR(IF(N37='Suppl'!$E$65,0,IF(N37='Suppl'!$E$66,1/2/(_xlfn.COUNTIFS($N1:$N100,"Exigences"&amp;"*")+_xlfn.COUNTIFS($N1:$N100,"Non"&amp;"*")),IF(N37='Suppl'!$E$67,1/(_xlfn.COUNTIFS($N1:$N100,"Exigences"&amp;"*")+_xlfn.COUNTIFS($N1:$N100,"Non"&amp;"*")),0))),0)</f>
        <v>0</v>
      </c>
      <c r="X37" s="586"/>
      <c r="Y37" s="586"/>
      <c r="Z37" s="586"/>
      <c r="AA37" s="586"/>
      <c r="AB37" s="586"/>
      <c r="AC37" s="586"/>
      <c r="AD37" s="586"/>
      <c r="AE37" s="586"/>
      <c r="AF37" s="586"/>
      <c r="AG37" s="586"/>
      <c r="AH37" s="888"/>
      <c r="AI37" s="585"/>
    </row>
    <row r="38" ht="30" customHeight="1">
      <c r="A38" s="887"/>
      <c r="B38" s="753"/>
      <c r="C38" t="s" s="754">
        <f>IF(LEFT(RIGHT($B$1,2),1)=" ",RIGHT($B$1,1),RIGHT($B$1,2))</f>
        <v>2173</v>
      </c>
      <c r="D38" s="755">
        <f>IF(LEFT(F38,5)="Bonne",D36+1,D37)</f>
        <v>2</v>
      </c>
      <c r="E38" t="s" s="778">
        <f>C38&amp;D38&amp;RIGHT(F38,1)</f>
        <v>2188</v>
      </c>
      <c r="F38" t="s" s="790">
        <v>1780</v>
      </c>
      <c r="G38" t="s" s="791">
        <f>VLOOKUP(E38,'BDD'!$A$2:$N$567,MATCH(G$24,'BDD'!$A$1:$P$1,0),FALSE)</f>
        <v>1018</v>
      </c>
      <c r="H38" s="781"/>
      <c r="I38" s="782"/>
      <c r="J38" t="s" s="792">
        <v>271</v>
      </c>
      <c r="K38" s="782"/>
      <c r="L38" s="793"/>
      <c r="M38" s="800">
        <f>IF(N38="Exigences partiellement respectées",1,IF(N38="Exigences respectées",2,0))</f>
        <v>0</v>
      </c>
      <c r="N38" t="s" s="791">
        <f>VLOOKUP(VLOOKUP(E38,'BDD'!$A$2:$P$428,15,FALSE),'Suppl'!$D$64:$E$68,2,FALSE)</f>
        <v>1751</v>
      </c>
      <c r="O38" s="801"/>
      <c r="P38" s="802"/>
      <c r="Q38" s="802"/>
      <c r="R38" s="802"/>
      <c r="S38" s="803">
        <f>IF(N38='Suppl'!$E$65,0,IF(N38='Suppl'!$E$66,1/2/(_xlfn.COUNTIFS($D1:$D100,D38,$N1:$N100,"Exigences"&amp;"*",G1:G100,"&lt;&gt;0")+_xlfn.COUNTIFS($D1:$D100,D38,$N1:$N100,"Non"&amp;"*",G1:G100,"&lt;&gt;0")),IF(N38='Suppl'!$E$67,1/(_xlfn.COUNTIFS($D1:$D100,D38,$N1:$N100,"Exigences"&amp;"*",G1:G100,"&lt;&gt;0")+_xlfn.COUNTIFS($D1:$D100,D38,$N1:$N100,"Non"&amp;"*",G1:G100,"&lt;&gt;0")),0)))</f>
        <v>0</v>
      </c>
      <c r="T38" s="803"/>
      <c r="U38" s="803"/>
      <c r="V38" s="804"/>
      <c r="W38" s="789">
        <f>_xlfn.IFERROR(IF(N38='Suppl'!$E$65,0,IF(N38='Suppl'!$E$66,1/2/(_xlfn.COUNTIFS($N1:$N100,"Exigences"&amp;"*")+_xlfn.COUNTIFS($N1:$N100,"Non"&amp;"*")),IF(N38='Suppl'!$E$67,1/(_xlfn.COUNTIFS($N1:$N100,"Exigences"&amp;"*")+_xlfn.COUNTIFS($N1:$N100,"Non"&amp;"*")),0))),0)</f>
        <v>0</v>
      </c>
      <c r="X38" s="586"/>
      <c r="Y38" s="586"/>
      <c r="Z38" s="586"/>
      <c r="AA38" s="586"/>
      <c r="AB38" s="586"/>
      <c r="AC38" s="586"/>
      <c r="AD38" s="586"/>
      <c r="AE38" s="586"/>
      <c r="AF38" s="586"/>
      <c r="AG38" s="586"/>
      <c r="AH38" s="888"/>
      <c r="AI38" s="585"/>
    </row>
    <row r="39" ht="30" customHeight="1">
      <c r="A39" s="887"/>
      <c r="B39" s="753"/>
      <c r="C39" t="s" s="754">
        <f>IF(LEFT(RIGHT($B$1,2),1)=" ",RIGHT($B$1,1),RIGHT($B$1,2))</f>
        <v>2173</v>
      </c>
      <c r="D39" s="755">
        <f>IF(LEFT(F39,5)="Bonne",D37+1,D38)</f>
        <v>3</v>
      </c>
      <c r="E39" t="s" s="778">
        <f>C39&amp;D39&amp;RIGHT(F39,1)</f>
        <v>2190</v>
      </c>
      <c r="F39" t="s" s="757">
        <v>1797</v>
      </c>
      <c r="G39" t="s" s="758">
        <f>VLOOKUP(E41,'BDD'!$A$2:$N$567,6,FALSE)</f>
        <v>225</v>
      </c>
      <c r="H39" s="759"/>
      <c r="I39" s="760"/>
      <c r="J39" s="760"/>
      <c r="K39" s="760"/>
      <c r="L39" s="761"/>
      <c r="M39" s="762"/>
      <c r="N39" s="763"/>
      <c r="O39" s="764">
        <v>0</v>
      </c>
      <c r="P39" s="764"/>
      <c r="Q39" s="764"/>
      <c r="R39" s="764"/>
      <c r="S39" s="765">
        <f>_xlfn.SUMIFS(S1:S100,$D1:$D100,D39,$N1:$N100,"Exigences"&amp;"*")</f>
      </c>
      <c r="T39" s="765"/>
      <c r="U39" s="765"/>
      <c r="V39" s="766"/>
      <c r="W39" s="789">
        <f>_xlfn.IFERROR(IF(N39='Suppl'!$E$65,0,IF(N39='Suppl'!$E$66,1/2/(_xlfn.COUNTIFS($N1:$N100,"Exigences"&amp;"*")+_xlfn.COUNTIFS($N1:$N100,"Non"&amp;"*")),IF(N39='Suppl'!$E$67,1/(_xlfn.COUNTIFS($N1:$N100,"Exigences"&amp;"*")+_xlfn.COUNTIFS($N1:$N100,"Non"&amp;"*")),0))),0)</f>
        <v>0</v>
      </c>
      <c r="X39" s="586"/>
      <c r="Y39" s="586"/>
      <c r="Z39" s="586"/>
      <c r="AA39" s="586"/>
      <c r="AB39" s="586"/>
      <c r="AC39" s="586"/>
      <c r="AD39" s="586"/>
      <c r="AE39" s="586"/>
      <c r="AF39" s="586"/>
      <c r="AG39" s="586"/>
      <c r="AH39" s="888"/>
      <c r="AI39" s="585"/>
    </row>
    <row r="40" ht="30" customHeight="1">
      <c r="A40" s="887"/>
      <c r="B40" s="753"/>
      <c r="C40" t="s" s="754">
        <f>IF(LEFT(RIGHT($B$1,2),1)=" ",RIGHT($B$1,1),RIGHT($B$1,2))</f>
        <v>2173</v>
      </c>
      <c r="D40" s="755">
        <f>IF(LEFT(F40,5)="Bonne",D38+1,D39)</f>
        <v>3</v>
      </c>
      <c r="E40" t="s" s="778">
        <f>C40&amp;D40&amp;RIGHT(F40,1)</f>
        <v>2192</v>
      </c>
      <c r="F40" t="s" s="769">
        <v>1835</v>
      </c>
      <c r="G40" t="s" s="770">
        <f>VLOOKUP(E42,'BDD'!$A$2:$N$567,7,FALSE)</f>
        <v>2219</v>
      </c>
      <c r="H40" s="771"/>
      <c r="I40" s="771"/>
      <c r="J40" s="771"/>
      <c r="K40" s="771"/>
      <c r="L40" s="772"/>
      <c r="M40" s="773"/>
      <c r="N40" s="774"/>
      <c r="O40" s="775"/>
      <c r="P40" s="775"/>
      <c r="Q40" s="775"/>
      <c r="R40" s="775"/>
      <c r="S40" s="776"/>
      <c r="T40" s="776"/>
      <c r="U40" s="776"/>
      <c r="V40" s="777"/>
      <c r="W40" s="789">
        <f>_xlfn.IFERROR(IF(N40='Suppl'!$E$65,0,IF(N40='Suppl'!$E$66,1/2/(_xlfn.COUNTIFS($N1:$N100,"Exigences"&amp;"*")+_xlfn.COUNTIFS($N1:$N100,"Non"&amp;"*")),IF(N40='Suppl'!$E$67,1/(_xlfn.COUNTIFS($N1:$N100,"Exigences"&amp;"*")+_xlfn.COUNTIFS($N1:$N100,"Non"&amp;"*")),0))),0)</f>
        <v>0</v>
      </c>
      <c r="X40" s="586"/>
      <c r="Y40" s="586"/>
      <c r="Z40" s="586"/>
      <c r="AA40" s="586"/>
      <c r="AB40" s="586"/>
      <c r="AC40" s="586"/>
      <c r="AD40" s="586"/>
      <c r="AE40" s="586"/>
      <c r="AF40" s="586"/>
      <c r="AG40" s="586"/>
      <c r="AH40" s="888"/>
      <c r="AI40" s="585"/>
    </row>
    <row r="41" ht="30" customHeight="1">
      <c r="A41" s="887"/>
      <c r="B41" s="753"/>
      <c r="C41" t="s" s="754">
        <f>IF(LEFT(RIGHT($B$1,2),1)=" ",RIGHT($B$1,1),RIGHT($B$1,2))</f>
        <v>2173</v>
      </c>
      <c r="D41" s="755">
        <f>IF(LEFT(F41,5)="Bonne",D39+1,D40)</f>
        <v>3</v>
      </c>
      <c r="E41" t="s" s="778">
        <f>C41&amp;D41&amp;RIGHT(F41,1)</f>
        <v>2192</v>
      </c>
      <c r="F41" t="s" s="779">
        <v>1769</v>
      </c>
      <c r="G41" t="s" s="780">
        <f>VLOOKUP(E41,'BDD'!$A$2:$N$567,MATCH(G$24,'BDD'!$A$1:$P$1,0),FALSE)</f>
        <v>1023</v>
      </c>
      <c r="H41" s="781"/>
      <c r="I41" s="782"/>
      <c r="J41" t="s" s="792">
        <v>271</v>
      </c>
      <c r="K41" s="782"/>
      <c r="L41" s="793"/>
      <c r="M41" s="784">
        <f>IF(N41="Exigences partiellement respectées",1,IF(N41="Exigences respectées",2,0))</f>
        <v>0</v>
      </c>
      <c r="N41" t="s" s="780">
        <f>VLOOKUP(VLOOKUP(E41,'BDD'!$A$2:$P$428,15,FALSE),'Suppl'!$D$64:$E$68,2,FALSE)</f>
        <v>1751</v>
      </c>
      <c r="O41" s="785"/>
      <c r="P41" s="786"/>
      <c r="Q41" s="786"/>
      <c r="R41" s="786"/>
      <c r="S41" s="787">
        <f>IF(N41='Suppl'!$E$65,0,IF(N41='Suppl'!$E$66,1/2/(_xlfn.COUNTIFS($D1:$D100,D41,$N1:$N100,"Exigences"&amp;"*",G1:G100,"&lt;&gt;0")+_xlfn.COUNTIFS($D1:$D100,D41,$N1:$N100,"Non"&amp;"*",G1:G100,"&lt;&gt;0")),IF(N41='Suppl'!$E$67,1/(_xlfn.COUNTIFS($D1:$D100,D41,$N1:$N100,"Exigences"&amp;"*",G1:G100,"&lt;&gt;0")+_xlfn.COUNTIFS($D1:$D100,D41,$N1:$N100,"Non"&amp;"*",G1:G100,"&lt;&gt;0")),0)))</f>
        <v>0</v>
      </c>
      <c r="T41" s="787"/>
      <c r="U41" s="787"/>
      <c r="V41" s="788"/>
      <c r="W41" s="789">
        <f>_xlfn.IFERROR(IF(N41='Suppl'!$E$65,0,IF(N41='Suppl'!$E$66,1/2/(_xlfn.COUNTIFS($N1:$N100,"Exigences"&amp;"*")+_xlfn.COUNTIFS($N1:$N100,"Non"&amp;"*")),IF(N41='Suppl'!$E$67,1/(_xlfn.COUNTIFS($N1:$N100,"Exigences"&amp;"*")+_xlfn.COUNTIFS($N1:$N100,"Non"&amp;"*")),0))),0)</f>
        <v>0</v>
      </c>
      <c r="X41" s="586"/>
      <c r="Y41" s="586"/>
      <c r="Z41" s="586"/>
      <c r="AA41" s="586"/>
      <c r="AB41" s="586"/>
      <c r="AC41" s="586"/>
      <c r="AD41" s="586"/>
      <c r="AE41" s="586"/>
      <c r="AF41" s="586"/>
      <c r="AG41" s="586"/>
      <c r="AH41" s="888"/>
      <c r="AI41" s="585"/>
    </row>
    <row r="42" ht="40.8" customHeight="1">
      <c r="A42" s="887"/>
      <c r="B42" s="753"/>
      <c r="C42" t="s" s="754">
        <f>IF(LEFT(RIGHT($B$1,2),1)=" ",RIGHT($B$1,1),RIGHT($B$1,2))</f>
        <v>2173</v>
      </c>
      <c r="D42" s="755">
        <f>IF(LEFT(F42,5)="Bonne",D40+1,D41)</f>
        <v>3</v>
      </c>
      <c r="E42" t="s" s="778">
        <f>C42&amp;D42&amp;RIGHT(F42,1)</f>
        <v>2193</v>
      </c>
      <c r="F42" t="s" s="790">
        <v>1837</v>
      </c>
      <c r="G42" t="s" s="791">
        <f>VLOOKUP(E42,'BDD'!$A$2:$N$567,MATCH(G$24,'BDD'!$A$1:$P$1,0),FALSE)</f>
        <v>1026</v>
      </c>
      <c r="H42" s="781"/>
      <c r="I42" s="782"/>
      <c r="J42" t="s" s="792">
        <v>271</v>
      </c>
      <c r="K42" s="782"/>
      <c r="L42" s="793"/>
      <c r="M42" s="800">
        <f>IF(N42="Exigences partiellement respectées",1,IF(N42="Exigences respectées",2,0))</f>
        <v>0</v>
      </c>
      <c r="N42" t="s" s="791">
        <f>VLOOKUP(VLOOKUP(E42,'BDD'!$A$2:$P$428,15,FALSE),'Suppl'!$D$64:$E$68,2,FALSE)</f>
        <v>1751</v>
      </c>
      <c r="O42" s="801"/>
      <c r="P42" s="802"/>
      <c r="Q42" s="802"/>
      <c r="R42" s="802"/>
      <c r="S42" s="803">
        <f>IF(N42='Suppl'!$E$65,0,IF(N42='Suppl'!$E$66,1/2/(_xlfn.COUNTIFS($D1:$D100,D42,$N1:$N100,"Exigences"&amp;"*",G1:G100,"&lt;&gt;0")+_xlfn.COUNTIFS($D1:$D100,D42,$N1:$N100,"Non"&amp;"*",G1:G100,"&lt;&gt;0")),IF(N42='Suppl'!$E$67,1/(_xlfn.COUNTIFS($D1:$D100,D42,$N1:$N100,"Exigences"&amp;"*",G1:G100,"&lt;&gt;0")+_xlfn.COUNTIFS($D1:$D100,D42,$N1:$N100,"Non"&amp;"*",G1:G100,"&lt;&gt;0")),0)))</f>
        <v>0</v>
      </c>
      <c r="T42" s="803"/>
      <c r="U42" s="803"/>
      <c r="V42" s="804"/>
      <c r="W42" s="789">
        <f>_xlfn.IFERROR(IF(N42='Suppl'!$E$65,0,IF(N42='Suppl'!$E$66,1/2/(_xlfn.COUNTIFS($N1:$N100,"Exigences"&amp;"*")+_xlfn.COUNTIFS($N1:$N100,"Non"&amp;"*")),IF(N42='Suppl'!$E$67,1/(_xlfn.COUNTIFS($N1:$N100,"Exigences"&amp;"*")+_xlfn.COUNTIFS($N1:$N100,"Non"&amp;"*")),0))),0)</f>
        <v>0</v>
      </c>
      <c r="X42" s="586"/>
      <c r="Y42" s="586"/>
      <c r="Z42" s="586"/>
      <c r="AA42" s="586"/>
      <c r="AB42" s="586"/>
      <c r="AC42" s="586"/>
      <c r="AD42" s="586"/>
      <c r="AE42" s="586"/>
      <c r="AF42" s="586"/>
      <c r="AG42" s="586"/>
      <c r="AH42" s="888"/>
      <c r="AI42" s="585"/>
    </row>
    <row r="43" ht="30" customHeight="1">
      <c r="A43" s="887"/>
      <c r="B43" s="753"/>
      <c r="C43" t="s" s="754">
        <f>IF(LEFT(RIGHT($B$1,2),1)=" ",RIGHT($B$1,1),RIGHT($B$1,2))</f>
        <v>2173</v>
      </c>
      <c r="D43" s="755">
        <f>IF(LEFT(F43,5)="Bonne",D41+1,D42)</f>
        <v>4</v>
      </c>
      <c r="E43" t="s" s="778">
        <f>C43&amp;D43&amp;RIGHT(F43,1)</f>
        <v>2198</v>
      </c>
      <c r="F43" t="s" s="757">
        <v>1806</v>
      </c>
      <c r="G43" t="s" s="758">
        <f>VLOOKUP(E45,'BDD'!$A$2:$N$567,6,FALSE)</f>
        <v>225</v>
      </c>
      <c r="H43" s="759"/>
      <c r="I43" s="760"/>
      <c r="J43" s="760"/>
      <c r="K43" s="760"/>
      <c r="L43" s="761"/>
      <c r="M43" s="762"/>
      <c r="N43" s="763"/>
      <c r="O43" s="764">
        <v>0</v>
      </c>
      <c r="P43" s="764"/>
      <c r="Q43" s="764"/>
      <c r="R43" s="764"/>
      <c r="S43" s="765">
        <f>_xlfn.SUMIFS(S1:S100,$D1:$D100,D43,$N1:$N100,"Exigences"&amp;"*")</f>
      </c>
      <c r="T43" s="765"/>
      <c r="U43" s="765"/>
      <c r="V43" s="766"/>
      <c r="W43" s="789">
        <f>_xlfn.IFERROR(IF(N43='Suppl'!$E$65,0,IF(N43='Suppl'!$E$66,1/2/(_xlfn.COUNTIFS($N1:$N100,"Exigences"&amp;"*")+_xlfn.COUNTIFS($N1:$N100,"Non"&amp;"*")),IF(N43='Suppl'!$E$67,1/(_xlfn.COUNTIFS($N1:$N100,"Exigences"&amp;"*")+_xlfn.COUNTIFS($N1:$N100,"Non"&amp;"*")),0))),0)</f>
        <v>0</v>
      </c>
      <c r="X43" s="586"/>
      <c r="Y43" s="586"/>
      <c r="Z43" s="586"/>
      <c r="AA43" s="586"/>
      <c r="AB43" s="586"/>
      <c r="AC43" s="586"/>
      <c r="AD43" s="586"/>
      <c r="AE43" s="586"/>
      <c r="AF43" s="586"/>
      <c r="AG43" s="586"/>
      <c r="AH43" s="888"/>
      <c r="AI43" s="585"/>
    </row>
    <row r="44" ht="30" customHeight="1">
      <c r="A44" s="887"/>
      <c r="B44" s="753"/>
      <c r="C44" t="s" s="754">
        <f>IF(LEFT(RIGHT($B$1,2),1)=" ",RIGHT($B$1,1),RIGHT($B$1,2))</f>
        <v>2173</v>
      </c>
      <c r="D44" s="755">
        <f>IF(LEFT(F44,5)="Bonne",D42+1,D43)</f>
        <v>4</v>
      </c>
      <c r="E44" t="s" s="778">
        <f>C44&amp;D44&amp;RIGHT(F44,1)</f>
        <v>2202</v>
      </c>
      <c r="F44" t="s" s="769">
        <v>1835</v>
      </c>
      <c r="G44" t="s" s="809">
        <f>VLOOKUP(E46,'BDD'!$A$2:$N$567,7,FALSE)</f>
        <v>2220</v>
      </c>
      <c r="H44" s="810"/>
      <c r="I44" s="810"/>
      <c r="J44" s="810"/>
      <c r="K44" s="810"/>
      <c r="L44" s="810"/>
      <c r="M44" s="810"/>
      <c r="N44" s="811"/>
      <c r="O44" s="775"/>
      <c r="P44" s="775"/>
      <c r="Q44" s="775"/>
      <c r="R44" s="775"/>
      <c r="S44" s="776"/>
      <c r="T44" s="776"/>
      <c r="U44" s="776"/>
      <c r="V44" s="777"/>
      <c r="W44" s="789">
        <f>_xlfn.IFERROR(IF(N44='Suppl'!$E$65,0,IF(N44='Suppl'!$E$66,1/2/(_xlfn.COUNTIFS($N1:$N100,"Exigences"&amp;"*")+_xlfn.COUNTIFS($N1:$N100,"Non"&amp;"*")),IF(N44='Suppl'!$E$67,1/(_xlfn.COUNTIFS($N1:$N100,"Exigences"&amp;"*")+_xlfn.COUNTIFS($N1:$N100,"Non"&amp;"*")),0))),0)</f>
        <v>0</v>
      </c>
      <c r="X44" s="586"/>
      <c r="Y44" s="586"/>
      <c r="Z44" s="586"/>
      <c r="AA44" s="586"/>
      <c r="AB44" s="586"/>
      <c r="AC44" s="586"/>
      <c r="AD44" s="586"/>
      <c r="AE44" s="586"/>
      <c r="AF44" s="586"/>
      <c r="AG44" s="586"/>
      <c r="AH44" s="888"/>
      <c r="AI44" s="585"/>
    </row>
    <row r="45" ht="41.4" customHeight="1">
      <c r="A45" s="887"/>
      <c r="B45" s="753"/>
      <c r="C45" t="s" s="754">
        <f>IF(LEFT(RIGHT($B$1,2),1)=" ",RIGHT($B$1,1),RIGHT($B$1,2))</f>
        <v>2173</v>
      </c>
      <c r="D45" s="755">
        <f>IF(LEFT(F45,5)="Bonne",D43+1,D44)</f>
        <v>4</v>
      </c>
      <c r="E45" t="s" s="778">
        <f>C45&amp;D45&amp;RIGHT(F45,1)</f>
        <v>2202</v>
      </c>
      <c r="F45" t="s" s="779">
        <v>1769</v>
      </c>
      <c r="G45" t="s" s="780">
        <f>VLOOKUP(E45,'BDD'!$A$2:$N$567,MATCH(G$24,'BDD'!$A$1:$P$1,0),FALSE)</f>
        <v>1034</v>
      </c>
      <c r="H45" s="781"/>
      <c r="I45" t="s" s="792">
        <v>263</v>
      </c>
      <c r="J45" s="782"/>
      <c r="K45" s="782"/>
      <c r="L45" s="793"/>
      <c r="M45" s="784">
        <f>IF(N45="Exigences partiellement respectées",1,IF(N45="Exigences respectées",2,0))</f>
        <v>0</v>
      </c>
      <c r="N45" t="s" s="780">
        <f>VLOOKUP(VLOOKUP(E45,'BDD'!$A$2:$P$428,15,FALSE),'Suppl'!$D$64:$E$68,2,FALSE)</f>
        <v>1751</v>
      </c>
      <c r="O45" s="785"/>
      <c r="P45" s="786"/>
      <c r="Q45" s="786"/>
      <c r="R45" s="786"/>
      <c r="S45" s="787">
        <f>IF(N45='Suppl'!$E$65,0,IF(N45='Suppl'!$E$66,1/2/(_xlfn.COUNTIFS($D1:$D100,D45,$N1:$N100,"Exigences"&amp;"*",G1:G100,"&lt;&gt;0")+_xlfn.COUNTIFS($D1:$D100,D45,$N1:$N100,"Non"&amp;"*",G1:G100,"&lt;&gt;0")),IF(N45='Suppl'!$E$67,1/(_xlfn.COUNTIFS($D1:$D100,D45,$N1:$N100,"Exigences"&amp;"*",G1:G100,"&lt;&gt;0")+_xlfn.COUNTIFS($D1:$D100,D45,$N1:$N100,"Non"&amp;"*",G1:G100,"&lt;&gt;0")),0)))</f>
        <v>0</v>
      </c>
      <c r="T45" s="787"/>
      <c r="U45" s="787"/>
      <c r="V45" s="788"/>
      <c r="W45" s="789">
        <f>_xlfn.IFERROR(IF(N45='Suppl'!$E$65,0,IF(N45='Suppl'!$E$66,1/2/(_xlfn.COUNTIFS($N1:$N100,"Exigences"&amp;"*")+_xlfn.COUNTIFS($N1:$N100,"Non"&amp;"*")),IF(N45='Suppl'!$E$67,1/(_xlfn.COUNTIFS($N1:$N100,"Exigences"&amp;"*")+_xlfn.COUNTIFS($N1:$N100,"Non"&amp;"*")),0))),0)</f>
        <v>0</v>
      </c>
      <c r="X45" s="586"/>
      <c r="Y45" s="586"/>
      <c r="Z45" s="586"/>
      <c r="AA45" s="586"/>
      <c r="AB45" s="586"/>
      <c r="AC45" s="586"/>
      <c r="AD45" s="586"/>
      <c r="AE45" s="586"/>
      <c r="AF45" s="586"/>
      <c r="AG45" s="586"/>
      <c r="AH45" s="888"/>
      <c r="AI45" s="585"/>
    </row>
    <row r="46" ht="30" customHeight="1">
      <c r="A46" s="887"/>
      <c r="B46" s="753"/>
      <c r="C46" t="s" s="754">
        <f>IF(LEFT(RIGHT($B$1,2),1)=" ",RIGHT($B$1,1),RIGHT($B$1,2))</f>
        <v>2173</v>
      </c>
      <c r="D46" s="755">
        <f>IF(LEFT(F46,5)="Bonne",D44+1,D45)</f>
        <v>4</v>
      </c>
      <c r="E46" t="s" s="778">
        <f>C46&amp;D46&amp;RIGHT(F46,1)</f>
        <v>2203</v>
      </c>
      <c r="F46" t="s" s="790">
        <v>1837</v>
      </c>
      <c r="G46" t="s" s="791">
        <f>VLOOKUP(E46,'BDD'!$A$2:$N$567,MATCH(G$24,'BDD'!$A$1:$P$1,0),FALSE)</f>
        <v>1038</v>
      </c>
      <c r="H46" t="s" s="799">
        <v>283</v>
      </c>
      <c r="I46" s="782"/>
      <c r="J46" s="782"/>
      <c r="K46" s="782"/>
      <c r="L46" s="793"/>
      <c r="M46" s="794">
        <f>IF(N46="Exigences partiellement respectées",1,IF(N46="Exigences respectées",2,0))</f>
        <v>0</v>
      </c>
      <c r="N46" t="s" s="791">
        <f>VLOOKUP(VLOOKUP(E46,'BDD'!$A$2:$P$428,15,FALSE),'Suppl'!$D$64:$E$68,2,FALSE)</f>
        <v>1751</v>
      </c>
      <c r="O46" s="795"/>
      <c r="P46" s="796"/>
      <c r="Q46" s="796"/>
      <c r="R46" s="796"/>
      <c r="S46" s="797">
        <f>IF(N46='Suppl'!$E$65,0,IF(N46='Suppl'!$E$66,1/2/(_xlfn.COUNTIFS($D1:$D100,D46,$N1:$N100,"Exigences"&amp;"*",G1:G100,"&lt;&gt;0")+_xlfn.COUNTIFS($D1:$D100,D46,$N1:$N100,"Non"&amp;"*",G1:G100,"&lt;&gt;0")),IF(N46='Suppl'!$E$67,1/(_xlfn.COUNTIFS($D1:$D100,D46,$N1:$N100,"Exigences"&amp;"*",G1:G100,"&lt;&gt;0")+_xlfn.COUNTIFS($D1:$D100,D46,$N1:$N100,"Non"&amp;"*",G1:G100,"&lt;&gt;0")),0)))</f>
        <v>0</v>
      </c>
      <c r="T46" s="797"/>
      <c r="U46" s="797"/>
      <c r="V46" s="798"/>
      <c r="W46" s="789">
        <f>_xlfn.IFERROR(IF(N46='Suppl'!$E$65,0,IF(N46='Suppl'!$E$66,1/2/(_xlfn.COUNTIFS($N1:$N100,"Exigences"&amp;"*")+_xlfn.COUNTIFS($N1:$N100,"Non"&amp;"*")),IF(N46='Suppl'!$E$67,1/(_xlfn.COUNTIFS($N1:$N100,"Exigences"&amp;"*")+_xlfn.COUNTIFS($N1:$N100,"Non"&amp;"*")),0))),0)</f>
        <v>0</v>
      </c>
      <c r="X46" s="586"/>
      <c r="Y46" s="586"/>
      <c r="Z46" s="586"/>
      <c r="AA46" s="586"/>
      <c r="AB46" s="586"/>
      <c r="AC46" s="586"/>
      <c r="AD46" s="586"/>
      <c r="AE46" s="586"/>
      <c r="AF46" s="586"/>
      <c r="AG46" s="586"/>
      <c r="AH46" s="888"/>
      <c r="AI46" s="585"/>
    </row>
    <row r="47" ht="41.4" customHeight="1">
      <c r="A47" s="887"/>
      <c r="B47" s="753"/>
      <c r="C47" t="s" s="754">
        <f>IF(LEFT(RIGHT($B$1,2),1)=" ",RIGHT($B$1,1),RIGHT($B$1,2))</f>
        <v>2173</v>
      </c>
      <c r="D47" s="755">
        <f>IF(LEFT(F47,5)="Bonne",D45+1,D46)</f>
        <v>4</v>
      </c>
      <c r="E47" t="s" s="778">
        <f>C47&amp;D47&amp;RIGHT(F47,1)</f>
        <v>2204</v>
      </c>
      <c r="F47" t="s" s="779">
        <v>1774</v>
      </c>
      <c r="G47" t="s" s="780">
        <f>VLOOKUP(E47,'BDD'!$A$2:$N$567,MATCH(G$24,'BDD'!$A$1:$P$1,0),FALSE)</f>
        <v>1040</v>
      </c>
      <c r="H47" s="781"/>
      <c r="I47" s="782"/>
      <c r="J47" t="s" s="792">
        <v>271</v>
      </c>
      <c r="K47" s="782"/>
      <c r="L47" s="793"/>
      <c r="M47" s="794">
        <f>IF(N47="Exigences partiellement respectées",1,IF(N47="Exigences respectées",2,0))</f>
        <v>0</v>
      </c>
      <c r="N47" t="s" s="780">
        <f>VLOOKUP(VLOOKUP(E47,'BDD'!$A$2:$P$428,15,FALSE),'Suppl'!$D$64:$E$68,2,FALSE)</f>
        <v>1751</v>
      </c>
      <c r="O47" s="795"/>
      <c r="P47" s="796"/>
      <c r="Q47" s="796"/>
      <c r="R47" s="796"/>
      <c r="S47" s="797">
        <f>IF(N47='Suppl'!$E$65,0,IF(N47='Suppl'!$E$66,1/2/(_xlfn.COUNTIFS($D1:$D100,D47,$N1:$N100,"Exigences"&amp;"*",G1:G100,"&lt;&gt;0")+_xlfn.COUNTIFS($D1:$D100,D47,$N1:$N100,"Non"&amp;"*",G1:G100,"&lt;&gt;0")),IF(N47='Suppl'!$E$67,1/(_xlfn.COUNTIFS($D1:$D100,D47,$N1:$N100,"Exigences"&amp;"*",G1:G100,"&lt;&gt;0")+_xlfn.COUNTIFS($D1:$D100,D47,$N1:$N100,"Non"&amp;"*",G1:G100,"&lt;&gt;0")),0)))</f>
        <v>0</v>
      </c>
      <c r="T47" s="797"/>
      <c r="U47" s="797"/>
      <c r="V47" s="798"/>
      <c r="W47" s="789">
        <f>_xlfn.IFERROR(IF(N47='Suppl'!$E$65,0,IF(N47='Suppl'!$E$66,1/2/(_xlfn.COUNTIFS($N1:$N100,"Exigences"&amp;"*")+_xlfn.COUNTIFS($N1:$N100,"Non"&amp;"*")),IF(N47='Suppl'!$E$67,1/(_xlfn.COUNTIFS($N1:$N100,"Exigences"&amp;"*")+_xlfn.COUNTIFS($N1:$N100,"Non"&amp;"*")),0))),0)</f>
        <v>0</v>
      </c>
      <c r="X47" s="586"/>
      <c r="Y47" s="586"/>
      <c r="Z47" s="586"/>
      <c r="AA47" s="586"/>
      <c r="AB47" s="586"/>
      <c r="AC47" s="586"/>
      <c r="AD47" s="586"/>
      <c r="AE47" s="586"/>
      <c r="AF47" s="586"/>
      <c r="AG47" s="586"/>
      <c r="AH47" s="888"/>
      <c r="AI47" s="585"/>
    </row>
    <row r="48" ht="30" customHeight="1">
      <c r="A48" s="887"/>
      <c r="B48" s="753"/>
      <c r="C48" t="s" s="754">
        <f>IF(LEFT(RIGHT($B$1,2),1)=" ",RIGHT($B$1,1),RIGHT($B$1,2))</f>
        <v>2173</v>
      </c>
      <c r="D48" s="755">
        <f>IF(LEFT(F48,5)="Bonne",D46+1,D47)</f>
        <v>4</v>
      </c>
      <c r="E48" t="s" s="778">
        <f>C48&amp;D48&amp;RIGHT(F48,1)</f>
        <v>2198</v>
      </c>
      <c r="F48" t="s" s="790">
        <v>1776</v>
      </c>
      <c r="G48" t="s" s="791">
        <f>VLOOKUP(E48,'BDD'!$A$2:$N$567,MATCH(G$24,'BDD'!$A$1:$P$1,0),FALSE)</f>
        <v>1043</v>
      </c>
      <c r="H48" s="781"/>
      <c r="I48" t="s" s="792">
        <v>263</v>
      </c>
      <c r="J48" s="782"/>
      <c r="K48" s="782"/>
      <c r="L48" s="793"/>
      <c r="M48" s="794">
        <f>IF(N48="Exigences partiellement respectées",1,IF(N48="Exigences respectées",2,0))</f>
        <v>0</v>
      </c>
      <c r="N48" t="s" s="791">
        <f>VLOOKUP(VLOOKUP(E48,'BDD'!$A$2:$P$428,15,FALSE),'Suppl'!$D$64:$E$68,2,FALSE)</f>
        <v>1751</v>
      </c>
      <c r="O48" s="795"/>
      <c r="P48" s="796"/>
      <c r="Q48" s="796"/>
      <c r="R48" s="796"/>
      <c r="S48" s="797">
        <f>IF(N48='Suppl'!$E$65,0,IF(N48='Suppl'!$E$66,1/2/(_xlfn.COUNTIFS($D1:$D100,D48,$N1:$N100,"Exigences"&amp;"*",G1:G100,"&lt;&gt;0")+_xlfn.COUNTIFS($D1:$D100,D48,$N1:$N100,"Non"&amp;"*",G1:G100,"&lt;&gt;0")),IF(N48='Suppl'!$E$67,1/(_xlfn.COUNTIFS($D1:$D100,D48,$N1:$N100,"Exigences"&amp;"*",G1:G100,"&lt;&gt;0")+_xlfn.COUNTIFS($D1:$D100,D48,$N1:$N100,"Non"&amp;"*",G1:G100,"&lt;&gt;0")),0)))</f>
        <v>0</v>
      </c>
      <c r="T48" s="797"/>
      <c r="U48" s="797"/>
      <c r="V48" s="798"/>
      <c r="W48" s="789">
        <f>_xlfn.IFERROR(IF(N48='Suppl'!$E$65,0,IF(N48='Suppl'!$E$66,1/2/(_xlfn.COUNTIFS($N1:$N100,"Exigences"&amp;"*")+_xlfn.COUNTIFS($N1:$N100,"Non"&amp;"*")),IF(N48='Suppl'!$E$67,1/(_xlfn.COUNTIFS($N1:$N100,"Exigences"&amp;"*")+_xlfn.COUNTIFS($N1:$N100,"Non"&amp;"*")),0))),0)</f>
        <v>0</v>
      </c>
      <c r="X48" s="586"/>
      <c r="Y48" s="586"/>
      <c r="Z48" s="586"/>
      <c r="AA48" s="586"/>
      <c r="AB48" s="586"/>
      <c r="AC48" s="586"/>
      <c r="AD48" s="586"/>
      <c r="AE48" s="586"/>
      <c r="AF48" s="586"/>
      <c r="AG48" s="586"/>
      <c r="AH48" s="888"/>
      <c r="AI48" s="585"/>
    </row>
    <row r="49" ht="30" customHeight="1">
      <c r="A49" s="887"/>
      <c r="B49" s="753"/>
      <c r="C49" t="s" s="754">
        <f>IF(LEFT(RIGHT($B$1,2),1)=" ",RIGHT($B$1,1),RIGHT($B$1,2))</f>
        <v>2173</v>
      </c>
      <c r="D49" s="755">
        <f>IF(LEFT(F49,5)="Bonne",D47+1,D48)</f>
        <v>4</v>
      </c>
      <c r="E49" t="s" s="778">
        <f>C49&amp;D49&amp;RIGHT(F49,1)</f>
        <v>2205</v>
      </c>
      <c r="F49" t="s" s="779">
        <v>1778</v>
      </c>
      <c r="G49" t="s" s="780">
        <f>VLOOKUP(E49,'BDD'!$A$2:$N$567,MATCH(G$24,'BDD'!$A$1:$P$1,0),FALSE)</f>
        <v>1046</v>
      </c>
      <c r="H49" s="781"/>
      <c r="I49" s="782"/>
      <c r="J49" s="782"/>
      <c r="K49" s="782"/>
      <c r="L49" t="s" s="783">
        <v>256</v>
      </c>
      <c r="M49" s="800">
        <f>IF(N49="Exigences partiellement respectées",1,IF(N49="Exigences respectées",2,0))</f>
        <v>0</v>
      </c>
      <c r="N49" t="s" s="780">
        <f>VLOOKUP(VLOOKUP(E49,'BDD'!$A$2:$P$428,15,FALSE),'Suppl'!$D$64:$E$68,2,FALSE)</f>
        <v>1751</v>
      </c>
      <c r="O49" s="801"/>
      <c r="P49" s="802"/>
      <c r="Q49" s="802"/>
      <c r="R49" s="802"/>
      <c r="S49" s="803">
        <f>IF(N49='Suppl'!$E$65,0,IF(N49='Suppl'!$E$66,1/2/(_xlfn.COUNTIFS($D1:$D100,D49,$N1:$N100,"Exigences"&amp;"*",G1:G100,"&lt;&gt;0")+_xlfn.COUNTIFS($D1:$D100,D49,$N1:$N100,"Non"&amp;"*",G1:G100,"&lt;&gt;0")),IF(N49='Suppl'!$E$67,1/(_xlfn.COUNTIFS($D1:$D100,D49,$N1:$N100,"Exigences"&amp;"*",G1:G100,"&lt;&gt;0")+_xlfn.COUNTIFS($D1:$D100,D49,$N1:$N100,"Non"&amp;"*",G1:G100,"&lt;&gt;0")),0)))</f>
        <v>0</v>
      </c>
      <c r="T49" s="803"/>
      <c r="U49" s="803"/>
      <c r="V49" s="804"/>
      <c r="W49" s="789">
        <f>_xlfn.IFERROR(IF(N49='Suppl'!$E$65,0,IF(N49='Suppl'!$E$66,1/2/(_xlfn.COUNTIFS($N1:$N100,"Exigences"&amp;"*")+_xlfn.COUNTIFS($N1:$N100,"Non"&amp;"*")),IF(N49='Suppl'!$E$67,1/(_xlfn.COUNTIFS($N1:$N100,"Exigences"&amp;"*")+_xlfn.COUNTIFS($N1:$N100,"Non"&amp;"*")),0))),0)</f>
        <v>0</v>
      </c>
      <c r="X49" s="586"/>
      <c r="Y49" s="586"/>
      <c r="Z49" s="586"/>
      <c r="AA49" s="586"/>
      <c r="AB49" s="586"/>
      <c r="AC49" s="586"/>
      <c r="AD49" s="586"/>
      <c r="AE49" s="586"/>
      <c r="AF49" s="586"/>
      <c r="AG49" s="586"/>
      <c r="AH49" s="888"/>
      <c r="AI49" s="585"/>
    </row>
    <row r="50" ht="30" customHeight="1">
      <c r="A50" s="887"/>
      <c r="B50" s="753"/>
      <c r="C50" t="s" s="754">
        <f>IF(LEFT(RIGHT($B$1,2),1)=" ",RIGHT($B$1,1),RIGHT($B$1,2))</f>
        <v>2173</v>
      </c>
      <c r="D50" s="755">
        <f>IF(LEFT(F50,5)="Bonne",D48+1,D49)</f>
        <v>5</v>
      </c>
      <c r="E50" t="s" s="778">
        <f>C50&amp;D50&amp;RIGHT(F50,1)</f>
        <v>2221</v>
      </c>
      <c r="F50" t="s" s="757">
        <v>1814</v>
      </c>
      <c r="G50" t="s" s="758">
        <f>VLOOKUP(E52,'BDD'!$A$2:$N$567,6,FALSE)</f>
        <v>1050</v>
      </c>
      <c r="H50" s="759"/>
      <c r="I50" s="760"/>
      <c r="J50" s="760"/>
      <c r="K50" s="760"/>
      <c r="L50" s="761"/>
      <c r="M50" s="762"/>
      <c r="N50" s="763"/>
      <c r="O50" s="764">
        <v>0</v>
      </c>
      <c r="P50" s="764"/>
      <c r="Q50" s="764"/>
      <c r="R50" s="764"/>
      <c r="S50" s="765">
        <f>_xlfn.SUMIFS(S1:S100,$D1:$D100,D50,$N1:$N100,"Exigences"&amp;"*")</f>
      </c>
      <c r="T50" s="765"/>
      <c r="U50" s="765"/>
      <c r="V50" s="766"/>
      <c r="W50" s="789">
        <f>_xlfn.IFERROR(IF(N50='Suppl'!$E$65,0,IF(N50='Suppl'!$E$66,1/2/(_xlfn.COUNTIFS($N1:$N100,"Exigences"&amp;"*")+_xlfn.COUNTIFS($N1:$N100,"Non"&amp;"*")),IF(N50='Suppl'!$E$67,1/(_xlfn.COUNTIFS($N1:$N100,"Exigences"&amp;"*")+_xlfn.COUNTIFS($N1:$N100,"Non"&amp;"*")),0))),0)</f>
        <v>0</v>
      </c>
      <c r="X50" s="586"/>
      <c r="Y50" s="586"/>
      <c r="Z50" s="586"/>
      <c r="AA50" s="586"/>
      <c r="AB50" s="586"/>
      <c r="AC50" s="586"/>
      <c r="AD50" s="586"/>
      <c r="AE50" s="586"/>
      <c r="AF50" s="586"/>
      <c r="AG50" s="586"/>
      <c r="AH50" s="888"/>
      <c r="AI50" s="585"/>
    </row>
    <row r="51" ht="30" customHeight="1">
      <c r="A51" s="887"/>
      <c r="B51" s="753"/>
      <c r="C51" t="s" s="754">
        <f>IF(LEFT(RIGHT($B$1,2),1)=" ",RIGHT($B$1,1),RIGHT($B$1,2))</f>
        <v>2173</v>
      </c>
      <c r="D51" s="755">
        <f>IF(LEFT(F51,5)="Bonne",D49+1,D50)</f>
        <v>5</v>
      </c>
      <c r="E51" t="s" s="778">
        <f>C51&amp;D51&amp;RIGHT(F51,1)</f>
        <v>2222</v>
      </c>
      <c r="F51" t="s" s="769">
        <v>1835</v>
      </c>
      <c r="G51" t="s" s="809">
        <f>VLOOKUP(E53,'BDD'!$A$2:$N$567,7,FALSE)</f>
        <v>2223</v>
      </c>
      <c r="H51" s="810"/>
      <c r="I51" s="810"/>
      <c r="J51" s="810"/>
      <c r="K51" s="810"/>
      <c r="L51" s="810"/>
      <c r="M51" s="810"/>
      <c r="N51" s="811"/>
      <c r="O51" s="775"/>
      <c r="P51" s="775"/>
      <c r="Q51" s="775"/>
      <c r="R51" s="775"/>
      <c r="S51" s="776"/>
      <c r="T51" s="776"/>
      <c r="U51" s="776"/>
      <c r="V51" s="777"/>
      <c r="W51" s="789">
        <f>_xlfn.IFERROR(IF(N51='Suppl'!$E$65,0,IF(N51='Suppl'!$E$66,1/2/(_xlfn.COUNTIFS($N1:$N100,"Exigences"&amp;"*")+_xlfn.COUNTIFS($N1:$N100,"Non"&amp;"*")),IF(N51='Suppl'!$E$67,1/(_xlfn.COUNTIFS($N1:$N100,"Exigences"&amp;"*")+_xlfn.COUNTIFS($N1:$N100,"Non"&amp;"*")),0))),0)</f>
        <v>0</v>
      </c>
      <c r="X51" s="586"/>
      <c r="Y51" s="586"/>
      <c r="Z51" s="586"/>
      <c r="AA51" s="586"/>
      <c r="AB51" s="586"/>
      <c r="AC51" s="586"/>
      <c r="AD51" s="586"/>
      <c r="AE51" s="586"/>
      <c r="AF51" s="586"/>
      <c r="AG51" s="586"/>
      <c r="AH51" s="888"/>
      <c r="AI51" s="585"/>
    </row>
    <row r="52" ht="55.2" customHeight="1">
      <c r="A52" s="887"/>
      <c r="B52" s="753"/>
      <c r="C52" t="s" s="754">
        <f>IF(LEFT(RIGHT($B$1,2),1)=" ",RIGHT($B$1,1),RIGHT($B$1,2))</f>
        <v>2173</v>
      </c>
      <c r="D52" s="755">
        <f>IF(LEFT(F52,5)="Bonne",D50+1,D51)</f>
        <v>5</v>
      </c>
      <c r="E52" t="s" s="778">
        <f>C52&amp;D52&amp;RIGHT(F52,1)</f>
        <v>2222</v>
      </c>
      <c r="F52" t="s" s="779">
        <v>1769</v>
      </c>
      <c r="G52" t="s" s="780">
        <f>VLOOKUP(E52,'BDD'!$A$2:$N$567,MATCH(G$24,'BDD'!$A$1:$P$1,0),FALSE)</f>
        <v>1052</v>
      </c>
      <c r="H52" s="781"/>
      <c r="I52" s="782"/>
      <c r="J52" t="s" s="792">
        <v>271</v>
      </c>
      <c r="K52" s="782"/>
      <c r="L52" s="793"/>
      <c r="M52" s="784">
        <f>IF(N52="Exigences partiellement respectées",1,IF(N52="Exigences respectées",2,0))</f>
        <v>0</v>
      </c>
      <c r="N52" t="s" s="780">
        <f>VLOOKUP(VLOOKUP(E52,'BDD'!$A$2:$P$428,15,FALSE),'Suppl'!$D$64:$E$68,2,FALSE)</f>
        <v>1751</v>
      </c>
      <c r="O52" s="785"/>
      <c r="P52" s="786"/>
      <c r="Q52" s="786"/>
      <c r="R52" s="786"/>
      <c r="S52" s="787"/>
      <c r="T52" s="787"/>
      <c r="U52" s="787"/>
      <c r="V52" s="788"/>
      <c r="W52" s="789">
        <f>_xlfn.IFERROR(IF(N52='Suppl'!$E$65,0,IF(N52='Suppl'!$E$66,1/2/(_xlfn.COUNTIFS($N1:$N100,"Exigences"&amp;"*")+_xlfn.COUNTIFS($N1:$N100,"Non"&amp;"*")),IF(N52='Suppl'!$E$67,1/(_xlfn.COUNTIFS($N1:$N100,"Exigences"&amp;"*")+_xlfn.COUNTIFS($N1:$N100,"Non"&amp;"*")),0))),0)</f>
        <v>0</v>
      </c>
      <c r="X52" s="586"/>
      <c r="Y52" s="586"/>
      <c r="Z52" s="586"/>
      <c r="AA52" s="586"/>
      <c r="AB52" s="586"/>
      <c r="AC52" s="586"/>
      <c r="AD52" s="586"/>
      <c r="AE52" s="586"/>
      <c r="AF52" s="586"/>
      <c r="AG52" s="586"/>
      <c r="AH52" s="888"/>
      <c r="AI52" s="585"/>
    </row>
    <row r="53" ht="55.2" customHeight="1">
      <c r="A53" s="887"/>
      <c r="B53" s="753"/>
      <c r="C53" t="s" s="754">
        <f>IF(LEFT(RIGHT($B$1,2),1)=" ",RIGHT($B$1,1),RIGHT($B$1,2))</f>
        <v>2173</v>
      </c>
      <c r="D53" s="755">
        <f>IF(LEFT(F53,5)="Bonne",D51+1,D52)</f>
        <v>5</v>
      </c>
      <c r="E53" t="s" s="778">
        <f>C53&amp;D53&amp;RIGHT(F53,1)</f>
        <v>2224</v>
      </c>
      <c r="F53" t="s" s="790">
        <v>1837</v>
      </c>
      <c r="G53" t="s" s="791">
        <f>VLOOKUP(E53,'BDD'!$A$2:$N$567,MATCH(G$24,'BDD'!$A$1:$P$1,0),FALSE)</f>
        <v>1056</v>
      </c>
      <c r="H53" s="781"/>
      <c r="I53" s="782"/>
      <c r="J53" s="782"/>
      <c r="K53" t="s" s="792">
        <v>291</v>
      </c>
      <c r="L53" s="793"/>
      <c r="M53" s="794">
        <f>IF(N53="Exigences partiellement respectées",1,IF(N53="Exigences respectées",2,0))</f>
        <v>0</v>
      </c>
      <c r="N53" t="s" s="791">
        <f>VLOOKUP(VLOOKUP(E53,'BDD'!$A$2:$P$428,15,FALSE),'Suppl'!$D$64:$E$68,2,FALSE)</f>
        <v>1751</v>
      </c>
      <c r="O53" s="795"/>
      <c r="P53" s="796"/>
      <c r="Q53" s="796"/>
      <c r="R53" s="796"/>
      <c r="S53" s="797">
        <f>IF(N53='Suppl'!$E$65,0,IF(N53='Suppl'!$E$66,1/2/(_xlfn.COUNTIFS($D1:$D100,D53,$N1:$N100,"Exigences"&amp;"*",G1:G100,"&lt;&gt;0")+_xlfn.COUNTIFS($D1:$D100,D53,$N1:$N100,"Non"&amp;"*",G1:G100,"&lt;&gt;0")),IF(N53='Suppl'!$E$67,1/(_xlfn.COUNTIFS($D1:$D100,D53,$N1:$N100,"Exigences"&amp;"*",G1:G100,"&lt;&gt;0")+_xlfn.COUNTIFS($D1:$D100,D53,$N1:$N100,"Non"&amp;"*",G1:G100,"&lt;&gt;0")),0)))</f>
        <v>0</v>
      </c>
      <c r="T53" s="797"/>
      <c r="U53" s="797"/>
      <c r="V53" s="798"/>
      <c r="W53" s="789">
        <f>_xlfn.IFERROR(IF(N53='Suppl'!$E$65,0,IF(N53='Suppl'!$E$66,1/2/(_xlfn.COUNTIFS($N1:$N100,"Exigences"&amp;"*")+_xlfn.COUNTIFS($N1:$N100,"Non"&amp;"*")),IF(N53='Suppl'!$E$67,1/(_xlfn.COUNTIFS($N1:$N100,"Exigences"&amp;"*")+_xlfn.COUNTIFS($N1:$N100,"Non"&amp;"*")),0))),0)</f>
        <v>0</v>
      </c>
      <c r="X53" s="586"/>
      <c r="Y53" s="586"/>
      <c r="Z53" s="586"/>
      <c r="AA53" s="586"/>
      <c r="AB53" s="586"/>
      <c r="AC53" s="586"/>
      <c r="AD53" s="586"/>
      <c r="AE53" s="586"/>
      <c r="AF53" s="586"/>
      <c r="AG53" s="586"/>
      <c r="AH53" s="888"/>
      <c r="AI53" s="585"/>
    </row>
    <row r="54" ht="30" customHeight="1">
      <c r="A54" s="887"/>
      <c r="B54" s="753"/>
      <c r="C54" t="s" s="754">
        <f>IF(LEFT(RIGHT($B$1,2),1)=" ",RIGHT($B$1,1),RIGHT($B$1,2))</f>
        <v>2173</v>
      </c>
      <c r="D54" s="755">
        <f>IF(LEFT(F54,5)="Bonne",D52+1,D53)</f>
        <v>5</v>
      </c>
      <c r="E54" t="s" s="778">
        <f>C54&amp;D54&amp;RIGHT(F54,1)</f>
        <v>2225</v>
      </c>
      <c r="F54" t="s" s="779">
        <v>1774</v>
      </c>
      <c r="G54" t="s" s="780">
        <f>VLOOKUP(E54,'BDD'!$A$2:$N$567,MATCH(G$24,'BDD'!$A$1:$P$1,0),FALSE)</f>
        <v>1059</v>
      </c>
      <c r="H54" s="781"/>
      <c r="I54" s="782"/>
      <c r="J54" t="s" s="792">
        <v>271</v>
      </c>
      <c r="K54" s="782"/>
      <c r="L54" s="793"/>
      <c r="M54" s="794">
        <f>IF(N54="Exigences partiellement respectées",1,IF(N54="Exigences respectées",2,0))</f>
        <v>0</v>
      </c>
      <c r="N54" t="s" s="780">
        <f>VLOOKUP(VLOOKUP(E54,'BDD'!$A$2:$P$428,15,FALSE),'Suppl'!$D$64:$E$68,2,FALSE)</f>
        <v>1751</v>
      </c>
      <c r="O54" s="795"/>
      <c r="P54" s="796"/>
      <c r="Q54" s="796"/>
      <c r="R54" s="796"/>
      <c r="S54" s="797">
        <f>IF(N54='Suppl'!$E$65,0,IF(N54='Suppl'!$E$66,1/2/(_xlfn.COUNTIFS($D1:$D100,D54,$N1:$N100,"Exigences"&amp;"*",G1:G100,"&lt;&gt;0")+_xlfn.COUNTIFS($D1:$D100,D54,$N1:$N100,"Non"&amp;"*",G1:G100,"&lt;&gt;0")),IF(N54='Suppl'!$E$67,1/(_xlfn.COUNTIFS($D1:$D100,D54,$N1:$N100,"Exigences"&amp;"*",G1:G100,"&lt;&gt;0")+_xlfn.COUNTIFS($D1:$D100,D54,$N1:$N100,"Non"&amp;"*",G1:G100,"&lt;&gt;0")),0)))</f>
        <v>0</v>
      </c>
      <c r="T54" s="797"/>
      <c r="U54" s="797"/>
      <c r="V54" s="798"/>
      <c r="W54" s="789">
        <f>_xlfn.IFERROR(IF(N54='Suppl'!$E$65,0,IF(N54='Suppl'!$E$66,1/2/(_xlfn.COUNTIFS($N1:$N100,"Exigences"&amp;"*")+_xlfn.COUNTIFS($N1:$N100,"Non"&amp;"*")),IF(N54='Suppl'!$E$67,1/(_xlfn.COUNTIFS($N1:$N100,"Exigences"&amp;"*")+_xlfn.COUNTIFS($N1:$N100,"Non"&amp;"*")),0))),0)</f>
        <v>0</v>
      </c>
      <c r="X54" s="586"/>
      <c r="Y54" s="586"/>
      <c r="Z54" s="586"/>
      <c r="AA54" s="586"/>
      <c r="AB54" s="586"/>
      <c r="AC54" s="586"/>
      <c r="AD54" s="586"/>
      <c r="AE54" s="586"/>
      <c r="AF54" s="586"/>
      <c r="AG54" s="586"/>
      <c r="AH54" s="888"/>
      <c r="AI54" s="585"/>
    </row>
    <row r="55" ht="41.4" customHeight="1">
      <c r="A55" s="887"/>
      <c r="B55" s="753"/>
      <c r="C55" t="s" s="754">
        <f>IF(LEFT(RIGHT($B$1,2),1)=" ",RIGHT($B$1,1),RIGHT($B$1,2))</f>
        <v>2173</v>
      </c>
      <c r="D55" s="755">
        <f>IF(LEFT(F55,5)="Bonne",D53+1,D54)</f>
        <v>5</v>
      </c>
      <c r="E55" t="s" s="778">
        <f>C55&amp;D55&amp;RIGHT(F55,1)</f>
        <v>2226</v>
      </c>
      <c r="F55" t="s" s="790">
        <v>1776</v>
      </c>
      <c r="G55" t="s" s="791">
        <f>VLOOKUP(E55,'BDD'!$A$2:$N$567,MATCH(G$24,'BDD'!$A$1:$P$1,0),FALSE)</f>
        <v>1062</v>
      </c>
      <c r="H55" t="s" s="799">
        <v>283</v>
      </c>
      <c r="I55" s="782"/>
      <c r="J55" s="782"/>
      <c r="K55" s="782"/>
      <c r="L55" s="793"/>
      <c r="M55" s="800">
        <f>IF(N55="Exigences partiellement respectées",1,IF(N55="Exigences respectées",2,0))</f>
        <v>0</v>
      </c>
      <c r="N55" t="s" s="791">
        <f>VLOOKUP(VLOOKUP(E55,'BDD'!$A$2:$P$428,15,FALSE),'Suppl'!$D$64:$E$68,2,FALSE)</f>
        <v>1751</v>
      </c>
      <c r="O55" s="801"/>
      <c r="P55" s="802"/>
      <c r="Q55" s="802"/>
      <c r="R55" s="802"/>
      <c r="S55" s="803">
        <f>IF(N55='Suppl'!$E$65,0,IF(N55='Suppl'!$E$66,1/2/(_xlfn.COUNTIFS($D1:$D100,D55,$N1:$N100,"Exigences"&amp;"*",G1:G100,"&lt;&gt;0")+_xlfn.COUNTIFS($D1:$D100,D55,$N1:$N100,"Non"&amp;"*",G1:G100,"&lt;&gt;0")),IF(N55='Suppl'!$E$67,1/(_xlfn.COUNTIFS($D1:$D100,D55,$N1:$N100,"Exigences"&amp;"*",G1:G100,"&lt;&gt;0")+_xlfn.COUNTIFS($D1:$D100,D55,$N1:$N100,"Non"&amp;"*",G1:G100,"&lt;&gt;0")),0)))</f>
        <v>0</v>
      </c>
      <c r="T55" s="803"/>
      <c r="U55" s="803"/>
      <c r="V55" s="804"/>
      <c r="W55" s="789">
        <f>_xlfn.IFERROR(IF(N55='Suppl'!$E$65,0,IF(N55='Suppl'!$E$66,1/2/(_xlfn.COUNTIFS($N1:$N100,"Exigences"&amp;"*")+_xlfn.COUNTIFS($N1:$N100,"Non"&amp;"*")),IF(N55='Suppl'!$E$67,1/(_xlfn.COUNTIFS($N1:$N100,"Exigences"&amp;"*")+_xlfn.COUNTIFS($N1:$N100,"Non"&amp;"*")),0))),0)</f>
        <v>0</v>
      </c>
      <c r="X55" s="586"/>
      <c r="Y55" s="586"/>
      <c r="Z55" s="586"/>
      <c r="AA55" s="586"/>
      <c r="AB55" s="586"/>
      <c r="AC55" s="586"/>
      <c r="AD55" s="586"/>
      <c r="AE55" s="586"/>
      <c r="AF55" s="586"/>
      <c r="AG55" s="586"/>
      <c r="AH55" s="888"/>
      <c r="AI55" s="585"/>
    </row>
    <row r="56" ht="30" customHeight="1">
      <c r="A56" s="887"/>
      <c r="B56" s="753"/>
      <c r="C56" t="s" s="754">
        <f>IF(LEFT(RIGHT($B$1,2),1)=" ",RIGHT($B$1,1),RIGHT($B$1,2))</f>
        <v>2173</v>
      </c>
      <c r="D56" s="755">
        <f>IF(LEFT(F56,5)="Bonne",D54+1,D55)</f>
        <v>6</v>
      </c>
      <c r="E56" t="s" s="778">
        <f>C56&amp;D56&amp;RIGHT(F56,1)</f>
        <v>2227</v>
      </c>
      <c r="F56" t="s" s="757">
        <v>1887</v>
      </c>
      <c r="G56" t="s" s="758">
        <f>VLOOKUP(E58,'BDD'!$A$2:$N$567,6,FALSE)</f>
        <v>1067</v>
      </c>
      <c r="H56" s="759"/>
      <c r="I56" s="760"/>
      <c r="J56" s="760"/>
      <c r="K56" s="760"/>
      <c r="L56" s="761"/>
      <c r="M56" s="762"/>
      <c r="N56" s="763"/>
      <c r="O56" s="764">
        <v>0</v>
      </c>
      <c r="P56" s="764"/>
      <c r="Q56" s="764"/>
      <c r="R56" s="764"/>
      <c r="S56" s="765">
        <f>_xlfn.SUMIFS(S1:S100,$D1:$D100,D56,$N1:$N100,"Exigences"&amp;"*")</f>
      </c>
      <c r="T56" s="765"/>
      <c r="U56" s="765"/>
      <c r="V56" s="766"/>
      <c r="W56" s="789">
        <f>_xlfn.IFERROR(IF(N56='Suppl'!$E$65,0,IF(N56='Suppl'!$E$66,1/2/(_xlfn.COUNTIFS($N1:$N100,"Exigences"&amp;"*")+_xlfn.COUNTIFS($N1:$N100,"Non"&amp;"*")),IF(N56='Suppl'!$E$67,1/(_xlfn.COUNTIFS($N1:$N100,"Exigences"&amp;"*")+_xlfn.COUNTIFS($N1:$N100,"Non"&amp;"*")),0))),0)</f>
        <v>0</v>
      </c>
      <c r="X56" s="586"/>
      <c r="Y56" s="586"/>
      <c r="Z56" s="586"/>
      <c r="AA56" s="586"/>
      <c r="AB56" s="586"/>
      <c r="AC56" s="586"/>
      <c r="AD56" s="586"/>
      <c r="AE56" s="586"/>
      <c r="AF56" s="586"/>
      <c r="AG56" s="586"/>
      <c r="AH56" s="888"/>
      <c r="AI56" s="585"/>
    </row>
    <row r="57" ht="30" customHeight="1">
      <c r="A57" s="887"/>
      <c r="B57" s="753"/>
      <c r="C57" t="s" s="754">
        <f>IF(LEFT(RIGHT($B$1,2),1)=" ",RIGHT($B$1,1),RIGHT($B$1,2))</f>
        <v>2173</v>
      </c>
      <c r="D57" s="755">
        <f>IF(LEFT(F57,5)="Bonne",D55+1,D56)</f>
        <v>6</v>
      </c>
      <c r="E57" t="s" s="778">
        <f>C57&amp;D57&amp;RIGHT(F57,1)</f>
        <v>2228</v>
      </c>
      <c r="F57" t="s" s="769">
        <v>1835</v>
      </c>
      <c r="G57" t="s" s="809">
        <f>VLOOKUP(E59,'BDD'!$A$2:$N$567,7,FALSE)</f>
        <v>2229</v>
      </c>
      <c r="H57" s="810"/>
      <c r="I57" s="810"/>
      <c r="J57" s="810"/>
      <c r="K57" s="810"/>
      <c r="L57" s="810"/>
      <c r="M57" s="810"/>
      <c r="N57" s="811"/>
      <c r="O57" s="775"/>
      <c r="P57" s="775"/>
      <c r="Q57" s="775"/>
      <c r="R57" s="775"/>
      <c r="S57" s="776"/>
      <c r="T57" s="776"/>
      <c r="U57" s="776"/>
      <c r="V57" s="777"/>
      <c r="W57" s="789">
        <f>_xlfn.IFERROR(IF(N57='Suppl'!$E$65,0,IF(N57='Suppl'!$E$66,1/2/(_xlfn.COUNTIFS($N1:$N100,"Exigences"&amp;"*")+_xlfn.COUNTIFS($N1:$N100,"Non"&amp;"*")),IF(N57='Suppl'!$E$67,1/(_xlfn.COUNTIFS($N1:$N100,"Exigences"&amp;"*")+_xlfn.COUNTIFS($N1:$N100,"Non"&amp;"*")),0))),0)</f>
        <v>0</v>
      </c>
      <c r="X57" s="586"/>
      <c r="Y57" s="586"/>
      <c r="Z57" s="586"/>
      <c r="AA57" s="586"/>
      <c r="AB57" s="586"/>
      <c r="AC57" s="586"/>
      <c r="AD57" s="586"/>
      <c r="AE57" s="586"/>
      <c r="AF57" s="586"/>
      <c r="AG57" s="586"/>
      <c r="AH57" s="888"/>
      <c r="AI57" s="585"/>
    </row>
    <row r="58" ht="41.4" customHeight="1">
      <c r="A58" s="887"/>
      <c r="B58" s="753"/>
      <c r="C58" t="s" s="754">
        <f>IF(LEFT(RIGHT($B$1,2),1)=" ",RIGHT($B$1,1),RIGHT($B$1,2))</f>
        <v>2173</v>
      </c>
      <c r="D58" s="755">
        <f>IF(LEFT(F58,5)="Bonne",D56+1,D57)</f>
        <v>6</v>
      </c>
      <c r="E58" t="s" s="778">
        <f>C58&amp;D58&amp;RIGHT(F58,1)</f>
        <v>2228</v>
      </c>
      <c r="F58" t="s" s="779">
        <v>1769</v>
      </c>
      <c r="G58" t="s" s="780">
        <f>VLOOKUP(E58,'BDD'!$A$2:$N$567,MATCH(G$24,'BDD'!$A$1:$P$1,0),FALSE)</f>
        <v>1069</v>
      </c>
      <c r="H58" s="781"/>
      <c r="I58" s="782"/>
      <c r="J58" s="782"/>
      <c r="K58" t="s" s="792">
        <v>291</v>
      </c>
      <c r="L58" s="793"/>
      <c r="M58" s="784">
        <f>IF(N58="Exigences partiellement respectées",1,IF(N58="Exigences respectées",2,0))</f>
        <v>0</v>
      </c>
      <c r="N58" t="s" s="780">
        <f>VLOOKUP(VLOOKUP(E58,'BDD'!$A$2:$P$428,15,FALSE),'Suppl'!$D$64:$E$68,2,FALSE)</f>
        <v>1751</v>
      </c>
      <c r="O58" s="785"/>
      <c r="P58" s="786"/>
      <c r="Q58" s="786"/>
      <c r="R58" s="786"/>
      <c r="S58" s="787">
        <f>IF(N58='Suppl'!$E$65,0,IF(N58='Suppl'!$E$66,1/2/(_xlfn.COUNTIFS($D1:$D100,D58,$N1:$N100,"Exigences"&amp;"*",G1:G100,"&lt;&gt;0")+_xlfn.COUNTIFS($D1:$D100,D58,$N1:$N100,"Non"&amp;"*",G1:G100,"&lt;&gt;0")),IF(N58='Suppl'!$E$67,1/(_xlfn.COUNTIFS($D1:$D100,D58,$N1:$N100,"Exigences"&amp;"*",G1:G100,"&lt;&gt;0")+_xlfn.COUNTIFS($D1:$D100,D58,$N1:$N100,"Non"&amp;"*",G1:G100,"&lt;&gt;0")),0)))</f>
        <v>0</v>
      </c>
      <c r="T58" s="787"/>
      <c r="U58" s="787"/>
      <c r="V58" s="788"/>
      <c r="W58" s="789">
        <f>_xlfn.IFERROR(IF(N58='Suppl'!$E$65,0,IF(N58='Suppl'!$E$66,1/2/(_xlfn.COUNTIFS($N1:$N100,"Exigences"&amp;"*")+_xlfn.COUNTIFS($N1:$N100,"Non"&amp;"*")),IF(N58='Suppl'!$E$67,1/(_xlfn.COUNTIFS($N1:$N100,"Exigences"&amp;"*")+_xlfn.COUNTIFS($N1:$N100,"Non"&amp;"*")),0))),0)</f>
        <v>0</v>
      </c>
      <c r="X58" s="586"/>
      <c r="Y58" s="586"/>
      <c r="Z58" s="586"/>
      <c r="AA58" s="586"/>
      <c r="AB58" s="586"/>
      <c r="AC58" s="586"/>
      <c r="AD58" s="586"/>
      <c r="AE58" s="586"/>
      <c r="AF58" s="586"/>
      <c r="AG58" s="586"/>
      <c r="AH58" s="888"/>
      <c r="AI58" s="585"/>
    </row>
    <row r="59" ht="30" customHeight="1">
      <c r="A59" s="887"/>
      <c r="B59" s="753"/>
      <c r="C59" t="s" s="754">
        <f>IF(LEFT(RIGHT($B$1,2),1)=" ",RIGHT($B$1,1),RIGHT($B$1,2))</f>
        <v>2173</v>
      </c>
      <c r="D59" s="755">
        <f>IF(LEFT(F59,5)="Bonne",D57+1,D58)</f>
        <v>6</v>
      </c>
      <c r="E59" t="s" s="778">
        <f>C59&amp;D59&amp;RIGHT(F59,1)</f>
        <v>2230</v>
      </c>
      <c r="F59" t="s" s="790">
        <v>1837</v>
      </c>
      <c r="G59" t="s" s="791">
        <f>VLOOKUP(E59,'BDD'!$A$2:$N$567,MATCH(G$24,'BDD'!$A$1:$P$1,0),FALSE)</f>
        <v>1074</v>
      </c>
      <c r="H59" s="781"/>
      <c r="I59" s="782"/>
      <c r="J59" s="782"/>
      <c r="K59" s="782"/>
      <c r="L59" t="s" s="783">
        <v>256</v>
      </c>
      <c r="M59" s="794">
        <f>IF(N59="Exigences partiellement respectées",1,IF(N59="Exigences respectées",2,0))</f>
        <v>0</v>
      </c>
      <c r="N59" t="s" s="791">
        <f>VLOOKUP(VLOOKUP(E59,'BDD'!$A$2:$P$428,15,FALSE),'Suppl'!$D$64:$E$68,2,FALSE)</f>
        <v>1751</v>
      </c>
      <c r="O59" s="795"/>
      <c r="P59" s="796"/>
      <c r="Q59" s="796"/>
      <c r="R59" s="796"/>
      <c r="S59" s="797">
        <f>IF(N59='Suppl'!$E$65,0,IF(N59='Suppl'!$E$66,1/2/(_xlfn.COUNTIFS($D1:$D100,D59,$N1:$N100,"Exigences"&amp;"*",G1:G100,"&lt;&gt;0")+_xlfn.COUNTIFS($D1:$D100,D59,$N1:$N100,"Non"&amp;"*",G1:G100,"&lt;&gt;0")),IF(N59='Suppl'!$E$67,1/(_xlfn.COUNTIFS($D1:$D100,D59,$N1:$N100,"Exigences"&amp;"*",G1:G100,"&lt;&gt;0")+_xlfn.COUNTIFS($D1:$D100,D59,$N1:$N100,"Non"&amp;"*",G1:G100,"&lt;&gt;0")),0)))</f>
        <v>0</v>
      </c>
      <c r="T59" s="797"/>
      <c r="U59" s="797"/>
      <c r="V59" s="798"/>
      <c r="W59" s="789">
        <f>_xlfn.IFERROR(IF(N59='Suppl'!$E$65,0,IF(N59='Suppl'!$E$66,1/2/(_xlfn.COUNTIFS($N1:$N100,"Exigences"&amp;"*")+_xlfn.COUNTIFS($N1:$N100,"Non"&amp;"*")),IF(N59='Suppl'!$E$67,1/(_xlfn.COUNTIFS($N1:$N100,"Exigences"&amp;"*")+_xlfn.COUNTIFS($N1:$N100,"Non"&amp;"*")),0))),0)</f>
        <v>0</v>
      </c>
      <c r="X59" s="586"/>
      <c r="Y59" s="586"/>
      <c r="Z59" s="586"/>
      <c r="AA59" s="586"/>
      <c r="AB59" s="586"/>
      <c r="AC59" s="586"/>
      <c r="AD59" s="586"/>
      <c r="AE59" s="586"/>
      <c r="AF59" s="586"/>
      <c r="AG59" s="586"/>
      <c r="AH59" s="888"/>
      <c r="AI59" s="585"/>
    </row>
    <row r="60" ht="30" customHeight="1">
      <c r="A60" s="887"/>
      <c r="B60" s="753"/>
      <c r="C60" t="s" s="754">
        <f>IF(LEFT(RIGHT($B$1,2),1)=" ",RIGHT($B$1,1),RIGHT($B$1,2))</f>
        <v>2173</v>
      </c>
      <c r="D60" s="755">
        <f>IF(LEFT(F60,5)="Bonne",D58+1,D59)</f>
        <v>6</v>
      </c>
      <c r="E60" t="s" s="778">
        <f>C60&amp;D60&amp;RIGHT(F60,1)</f>
        <v>2231</v>
      </c>
      <c r="F60" t="s" s="779">
        <v>1774</v>
      </c>
      <c r="G60" t="s" s="780">
        <f>VLOOKUP(E60,'BDD'!$A$2:$N$567,MATCH(G$24,'BDD'!$A$1:$P$1,0),FALSE)</f>
        <v>1077</v>
      </c>
      <c r="H60" s="781"/>
      <c r="I60" s="782"/>
      <c r="J60" s="782"/>
      <c r="K60" t="s" s="792">
        <v>291</v>
      </c>
      <c r="L60" s="793"/>
      <c r="M60" s="794">
        <f>IF(N60="Exigences partiellement respectées",1,IF(N60="Exigences respectées",2,0))</f>
        <v>0</v>
      </c>
      <c r="N60" t="s" s="780">
        <f>VLOOKUP(VLOOKUP(E60,'BDD'!$A$2:$P$428,15,FALSE),'Suppl'!$D$64:$E$68,2,FALSE)</f>
        <v>1751</v>
      </c>
      <c r="O60" s="795"/>
      <c r="P60" s="796"/>
      <c r="Q60" s="796"/>
      <c r="R60" s="796"/>
      <c r="S60" s="797">
        <f>IF(N60='Suppl'!$E$65,0,IF(N60='Suppl'!$E$66,1/2/(_xlfn.COUNTIFS($D1:$D100,D60,$N1:$N100,"Exigences"&amp;"*",G1:G100,"&lt;&gt;0")+_xlfn.COUNTIFS($D1:$D100,D60,$N1:$N100,"Non"&amp;"*",G1:G100,"&lt;&gt;0")),IF(N60='Suppl'!$E$67,1/(_xlfn.COUNTIFS($D1:$D100,D60,$N1:$N100,"Exigences"&amp;"*",G1:G100,"&lt;&gt;0")+_xlfn.COUNTIFS($D1:$D100,D60,$N1:$N100,"Non"&amp;"*",G1:G100,"&lt;&gt;0")),0)))</f>
        <v>0</v>
      </c>
      <c r="T60" s="797"/>
      <c r="U60" s="797"/>
      <c r="V60" s="798"/>
      <c r="W60" s="789">
        <f>_xlfn.IFERROR(IF(N60='Suppl'!$E$65,0,IF(N60='Suppl'!$E$66,1/2/(_xlfn.COUNTIFS($N1:$N100,"Exigences"&amp;"*")+_xlfn.COUNTIFS($N1:$N100,"Non"&amp;"*")),IF(N60='Suppl'!$E$67,1/(_xlfn.COUNTIFS($N1:$N100,"Exigences"&amp;"*")+_xlfn.COUNTIFS($N1:$N100,"Non"&amp;"*")),0))),0)</f>
        <v>0</v>
      </c>
      <c r="X60" s="586"/>
      <c r="Y60" s="586"/>
      <c r="Z60" s="586"/>
      <c r="AA60" s="586"/>
      <c r="AB60" s="586"/>
      <c r="AC60" s="586"/>
      <c r="AD60" s="586"/>
      <c r="AE60" s="586"/>
      <c r="AF60" s="586"/>
      <c r="AG60" s="586"/>
      <c r="AH60" s="888"/>
      <c r="AI60" s="585"/>
    </row>
    <row r="61" ht="41.4" customHeight="1">
      <c r="A61" s="887"/>
      <c r="B61" s="753"/>
      <c r="C61" t="s" s="754">
        <f>IF(LEFT(RIGHT($B$1,2),1)=" ",RIGHT($B$1,1),RIGHT($B$1,2))</f>
        <v>2173</v>
      </c>
      <c r="D61" s="755">
        <f>IF(LEFT(F61,5)="Bonne",D59+1,D60)</f>
        <v>6</v>
      </c>
      <c r="E61" t="s" s="778">
        <f>C61&amp;D61&amp;RIGHT(F61,1)</f>
        <v>2232</v>
      </c>
      <c r="F61" t="s" s="790">
        <v>1776</v>
      </c>
      <c r="G61" t="s" s="791">
        <f>VLOOKUP(E61,'BDD'!$A$2:$N$567,MATCH(G$24,'BDD'!$A$1:$P$1,0),FALSE)</f>
        <v>1080</v>
      </c>
      <c r="H61" s="781"/>
      <c r="I61" s="782"/>
      <c r="J61" s="782"/>
      <c r="K61" t="s" s="792">
        <v>291</v>
      </c>
      <c r="L61" s="793"/>
      <c r="M61" s="794">
        <f>IF(N61="Exigences partiellement respectées",1,IF(N61="Exigences respectées",2,0))</f>
        <v>0</v>
      </c>
      <c r="N61" t="s" s="791">
        <f>VLOOKUP(VLOOKUP(E61,'BDD'!$A$2:$P$428,15,FALSE),'Suppl'!$D$64:$E$68,2,FALSE)</f>
        <v>1751</v>
      </c>
      <c r="O61" s="795"/>
      <c r="P61" s="796"/>
      <c r="Q61" s="796"/>
      <c r="R61" s="796"/>
      <c r="S61" s="797">
        <f>IF(N61='Suppl'!$E$65,0,IF(N61='Suppl'!$E$66,1/2/(_xlfn.COUNTIFS($D1:$D100,D61,$N1:$N100,"Exigences"&amp;"*",G1:G100,"&lt;&gt;0")+_xlfn.COUNTIFS($D1:$D100,D61,$N1:$N100,"Non"&amp;"*",G1:G100,"&lt;&gt;0")),IF(N61='Suppl'!$E$67,1/(_xlfn.COUNTIFS($D1:$D100,D61,$N1:$N100,"Exigences"&amp;"*",G1:G100,"&lt;&gt;0")+_xlfn.COUNTIFS($D1:$D100,D61,$N1:$N100,"Non"&amp;"*",G1:G100,"&lt;&gt;0")),0)))</f>
        <v>0</v>
      </c>
      <c r="T61" s="797"/>
      <c r="U61" s="797"/>
      <c r="V61" s="798"/>
      <c r="W61" s="789">
        <f>_xlfn.IFERROR(IF(N61='Suppl'!$E$65,0,IF(N61='Suppl'!$E$66,1/2/(_xlfn.COUNTIFS($N1:$N100,"Exigences"&amp;"*")+_xlfn.COUNTIFS($N1:$N100,"Non"&amp;"*")),IF(N61='Suppl'!$E$67,1/(_xlfn.COUNTIFS($N1:$N100,"Exigences"&amp;"*")+_xlfn.COUNTIFS($N1:$N100,"Non"&amp;"*")),0))),0)</f>
        <v>0</v>
      </c>
      <c r="X61" s="586"/>
      <c r="Y61" s="586"/>
      <c r="Z61" s="586"/>
      <c r="AA61" s="586"/>
      <c r="AB61" s="586"/>
      <c r="AC61" s="586"/>
      <c r="AD61" s="586"/>
      <c r="AE61" s="586"/>
      <c r="AF61" s="586"/>
      <c r="AG61" s="586"/>
      <c r="AH61" s="888"/>
      <c r="AI61" s="585"/>
    </row>
    <row r="62" ht="30" customHeight="1">
      <c r="A62" s="887"/>
      <c r="B62" s="753"/>
      <c r="C62" t="s" s="754">
        <f>IF(LEFT(RIGHT($B$1,2),1)=" ",RIGHT($B$1,1),RIGHT($B$1,2))</f>
        <v>2173</v>
      </c>
      <c r="D62" s="755">
        <f>IF(LEFT(F62,5)="Bonne",D60+1,D61)</f>
        <v>6</v>
      </c>
      <c r="E62" t="s" s="778">
        <f>C62&amp;D62&amp;RIGHT(F62,1)</f>
        <v>2233</v>
      </c>
      <c r="F62" t="s" s="779">
        <v>1778</v>
      </c>
      <c r="G62" t="s" s="780">
        <f>VLOOKUP(E62,'BDD'!$A$2:$N$567,MATCH(G$24,'BDD'!$A$1:$P$1,0),FALSE)</f>
        <v>1083</v>
      </c>
      <c r="H62" s="781"/>
      <c r="I62" s="782"/>
      <c r="J62" s="782"/>
      <c r="K62" s="782"/>
      <c r="L62" t="s" s="783">
        <v>256</v>
      </c>
      <c r="M62" s="794">
        <f>IF(N62="Exigences partiellement respectées",1,IF(N62="Exigences respectées",2,0))</f>
        <v>0</v>
      </c>
      <c r="N62" t="s" s="780">
        <f>VLOOKUP(VLOOKUP(E62,'BDD'!$A$2:$P$428,15,FALSE),'Suppl'!$D$64:$E$68,2,FALSE)</f>
        <v>1751</v>
      </c>
      <c r="O62" s="863"/>
      <c r="P62" s="864"/>
      <c r="Q62" s="864"/>
      <c r="R62" s="864"/>
      <c r="S62" s="815">
        <f>IF(N62='Suppl'!$E$65,0,IF(N62='Suppl'!$E$66,1/2/(_xlfn.COUNTIFS($D1:$D100,D62,$N1:$N100,"Exigences"&amp;"*",G1:G100,"&lt;&gt;0")+_xlfn.COUNTIFS($D1:$D100,D62,$N1:$N100,"Non"&amp;"*",G1:G100,"&lt;&gt;0")),IF(N62='Suppl'!$E$67,1/(_xlfn.COUNTIFS($D1:$D100,D62,$N1:$N100,"Exigences"&amp;"*",G1:G100,"&lt;&gt;0")+_xlfn.COUNTIFS($D1:$D100,D62,$N1:$N100,"Non"&amp;"*",G1:G100,"&lt;&gt;0")),0)))</f>
        <v>0</v>
      </c>
      <c r="T62" s="815"/>
      <c r="U62" s="815"/>
      <c r="V62" s="816"/>
      <c r="W62" s="789">
        <f>_xlfn.IFERROR(IF(N62='Suppl'!$E$65,0,IF(N62='Suppl'!$E$66,1/2/(_xlfn.COUNTIFS($N1:$N100,"Exigences"&amp;"*")+_xlfn.COUNTIFS($N1:$N100,"Non"&amp;"*")),IF(N62='Suppl'!$E$67,1/(_xlfn.COUNTIFS($N1:$N100,"Exigences"&amp;"*")+_xlfn.COUNTIFS($N1:$N100,"Non"&amp;"*")),0))),0)</f>
        <v>0</v>
      </c>
      <c r="X62" s="586"/>
      <c r="Y62" s="586"/>
      <c r="Z62" s="586"/>
      <c r="AA62" s="586"/>
      <c r="AB62" s="586"/>
      <c r="AC62" s="586"/>
      <c r="AD62" s="586"/>
      <c r="AE62" s="586"/>
      <c r="AF62" s="586"/>
      <c r="AG62" s="586"/>
      <c r="AH62" s="888"/>
      <c r="AI62" s="585"/>
    </row>
    <row r="63" ht="30" customHeight="1">
      <c r="A63" s="887"/>
      <c r="B63" s="586"/>
      <c r="C63" s="586"/>
      <c r="D63" s="587"/>
      <c r="E63" s="587"/>
      <c r="F63" s="817"/>
      <c r="G63" s="818"/>
      <c r="H63" s="818"/>
      <c r="I63" s="818"/>
      <c r="J63" s="818"/>
      <c r="K63" s="818"/>
      <c r="L63" s="818"/>
      <c r="M63" s="102"/>
      <c r="N63" s="817"/>
      <c r="O63" s="819"/>
      <c r="P63" s="819"/>
      <c r="Q63" s="819"/>
      <c r="R63" s="819"/>
      <c r="S63" s="819"/>
      <c r="T63" s="819"/>
      <c r="U63" s="819"/>
      <c r="V63" s="819"/>
      <c r="W63" s="588"/>
      <c r="X63" s="586"/>
      <c r="Y63" s="586"/>
      <c r="Z63" s="586"/>
      <c r="AA63" s="586"/>
      <c r="AB63" s="586"/>
      <c r="AC63" s="586"/>
      <c r="AD63" s="586"/>
      <c r="AE63" s="586"/>
      <c r="AF63" s="586"/>
      <c r="AG63" s="586"/>
      <c r="AH63" s="888"/>
      <c r="AI63" s="585"/>
    </row>
    <row r="64" ht="30" customHeight="1">
      <c r="A64" t="s" s="981">
        <v>171</v>
      </c>
      <c r="B64" s="888"/>
      <c r="C64" s="888"/>
      <c r="D64" s="888"/>
      <c r="E64" s="888"/>
      <c r="F64" s="888"/>
      <c r="G64" s="923"/>
      <c r="H64" s="923"/>
      <c r="I64" s="923"/>
      <c r="J64" s="923"/>
      <c r="K64" s="923"/>
      <c r="L64" s="923"/>
      <c r="M64" s="923"/>
      <c r="N64" s="888"/>
      <c r="O64" s="888"/>
      <c r="P64" s="888"/>
      <c r="Q64" s="888"/>
      <c r="R64" s="888"/>
      <c r="S64" s="888"/>
      <c r="T64" s="888"/>
      <c r="U64" s="888"/>
      <c r="V64" s="888"/>
      <c r="W64" s="982"/>
      <c r="X64" s="888"/>
      <c r="Y64" s="888"/>
      <c r="Z64" s="888"/>
      <c r="AA64" s="888"/>
      <c r="AB64" s="888"/>
      <c r="AC64" s="888"/>
      <c r="AD64" s="888"/>
      <c r="AE64" s="888"/>
      <c r="AF64" s="888"/>
      <c r="AG64" s="888"/>
      <c r="AH64" t="s" s="983">
        <v>171</v>
      </c>
      <c r="AI64" s="585"/>
    </row>
    <row r="65" ht="14.4" customHeight="1">
      <c r="A65" s="822"/>
      <c r="B65" s="25"/>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823"/>
    </row>
    <row r="66" ht="14.4" customHeight="1">
      <c r="A66" s="822"/>
      <c r="B66" s="25"/>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823"/>
    </row>
    <row r="67" ht="14.4" customHeight="1">
      <c r="A67" s="822"/>
      <c r="B67" s="25"/>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823"/>
    </row>
    <row r="68" ht="14.4" customHeight="1">
      <c r="A68" s="822"/>
      <c r="B68" s="25"/>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823"/>
    </row>
    <row r="69" ht="14.4" customHeight="1">
      <c r="A69" s="822"/>
      <c r="B69" s="25"/>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823"/>
    </row>
    <row r="70" ht="14.4" customHeight="1">
      <c r="A70" s="822"/>
      <c r="B70" s="25"/>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823"/>
    </row>
    <row r="71" ht="14.4" customHeight="1">
      <c r="A71" s="822"/>
      <c r="B71" s="25"/>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823"/>
    </row>
    <row r="72" ht="14.4" customHeight="1">
      <c r="A72" s="822"/>
      <c r="B72" s="25"/>
      <c r="C72" s="25"/>
      <c r="D72" s="25"/>
      <c r="E72" s="25"/>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823"/>
    </row>
    <row r="73" ht="14.4" customHeight="1">
      <c r="A73" s="822"/>
      <c r="B73" s="25"/>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823"/>
    </row>
    <row r="74" ht="14.4" customHeight="1">
      <c r="A74" s="822"/>
      <c r="B74" s="25"/>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823"/>
    </row>
    <row r="75" ht="14.4" customHeight="1">
      <c r="A75" s="822"/>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823"/>
    </row>
    <row r="76" ht="14.4" customHeight="1">
      <c r="A76" s="822"/>
      <c r="B76" s="25"/>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823"/>
    </row>
    <row r="77" ht="14.4" customHeight="1">
      <c r="A77" s="822"/>
      <c r="B77" s="25"/>
      <c r="C77" s="25"/>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823"/>
    </row>
    <row r="78" ht="14.4" customHeight="1">
      <c r="A78" s="822"/>
      <c r="B78" s="25"/>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823"/>
    </row>
    <row r="79" ht="14.4" customHeight="1">
      <c r="A79" s="822"/>
      <c r="B79" s="25"/>
      <c r="C79" s="25"/>
      <c r="D79" s="25"/>
      <c r="E79" s="25"/>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823"/>
    </row>
    <row r="80" ht="14.4" customHeight="1">
      <c r="A80" s="822"/>
      <c r="B80" s="25"/>
      <c r="C80" s="25"/>
      <c r="D80" s="25"/>
      <c r="E80" s="25"/>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823"/>
    </row>
    <row r="81" ht="14.4" customHeight="1">
      <c r="A81" s="822"/>
      <c r="B81" s="25"/>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823"/>
    </row>
    <row r="82" ht="14.4" customHeight="1">
      <c r="A82" s="822"/>
      <c r="B82" s="25"/>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823"/>
    </row>
    <row r="83" ht="14.4" customHeight="1">
      <c r="A83" s="822"/>
      <c r="B83" s="25"/>
      <c r="C83" s="25"/>
      <c r="D83" s="25"/>
      <c r="E83" s="25"/>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c r="AH83" s="25"/>
      <c r="AI83" s="823"/>
    </row>
    <row r="84" ht="14.4" customHeight="1">
      <c r="A84" s="822"/>
      <c r="B84" s="25"/>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823"/>
    </row>
    <row r="85" ht="14.4" customHeight="1">
      <c r="A85" s="822"/>
      <c r="B85" s="25"/>
      <c r="C85" s="25"/>
      <c r="D85" s="25"/>
      <c r="E85" s="25"/>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823"/>
    </row>
    <row r="86" ht="14.4" customHeight="1">
      <c r="A86" s="822"/>
      <c r="B86" s="25"/>
      <c r="C86" s="25"/>
      <c r="D86" s="25"/>
      <c r="E86" s="25"/>
      <c r="F86" s="2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823"/>
    </row>
    <row r="87" ht="14.4" customHeight="1">
      <c r="A87" s="822"/>
      <c r="B87" s="25"/>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823"/>
    </row>
    <row r="88" ht="14.4" customHeight="1">
      <c r="A88" s="822"/>
      <c r="B88" s="25"/>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823"/>
    </row>
    <row r="89" ht="14.4" customHeight="1">
      <c r="A89" s="822"/>
      <c r="B89" s="25"/>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823"/>
    </row>
    <row r="90" ht="14.4" customHeight="1">
      <c r="A90" s="822"/>
      <c r="B90" s="25"/>
      <c r="C90" s="25"/>
      <c r="D90" s="25"/>
      <c r="E90" s="25"/>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823"/>
    </row>
    <row r="91" ht="14.4" customHeight="1">
      <c r="A91" s="822"/>
      <c r="B91" s="25"/>
      <c r="C91" s="25"/>
      <c r="D91" s="25"/>
      <c r="E91" s="25"/>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823"/>
    </row>
    <row r="92" ht="14.4" customHeight="1">
      <c r="A92" s="822"/>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823"/>
    </row>
    <row r="93" ht="14.4" customHeight="1">
      <c r="A93" s="822"/>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823"/>
    </row>
    <row r="94" ht="14.4" customHeight="1">
      <c r="A94" s="822"/>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823"/>
    </row>
    <row r="95" ht="14.4" customHeight="1">
      <c r="A95" s="822"/>
      <c r="B95" s="25"/>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823"/>
    </row>
    <row r="96" ht="14.4" customHeight="1">
      <c r="A96" s="822"/>
      <c r="B96" s="25"/>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823"/>
    </row>
    <row r="97" ht="14.4" customHeight="1">
      <c r="A97" s="822"/>
      <c r="B97" s="25"/>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823"/>
    </row>
    <row r="98" ht="14.4" customHeight="1">
      <c r="A98" s="822"/>
      <c r="B98" s="25"/>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823"/>
    </row>
    <row r="99" ht="14.4" customHeight="1">
      <c r="A99" s="822"/>
      <c r="B99" s="25"/>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823"/>
    </row>
    <row r="100" ht="14.4" customHeight="1">
      <c r="A100" s="824"/>
      <c r="B100" s="825"/>
      <c r="C100" s="825"/>
      <c r="D100" s="825"/>
      <c r="E100" s="825"/>
      <c r="F100" s="825"/>
      <c r="G100" s="825"/>
      <c r="H100" s="825"/>
      <c r="I100" s="825"/>
      <c r="J100" s="825"/>
      <c r="K100" s="825"/>
      <c r="L100" s="825"/>
      <c r="M100" s="825"/>
      <c r="N100" s="825"/>
      <c r="O100" s="825"/>
      <c r="P100" s="825"/>
      <c r="Q100" s="825"/>
      <c r="R100" s="825"/>
      <c r="S100" s="825"/>
      <c r="T100" s="825"/>
      <c r="U100" s="825"/>
      <c r="V100" s="825"/>
      <c r="W100" s="825"/>
      <c r="X100" s="825"/>
      <c r="Y100" s="825"/>
      <c r="Z100" s="825"/>
      <c r="AA100" s="825"/>
      <c r="AB100" s="825"/>
      <c r="AC100" s="825"/>
      <c r="AD100" s="825"/>
      <c r="AE100" s="825"/>
      <c r="AF100" s="825"/>
      <c r="AG100" s="825"/>
      <c r="AH100" s="825"/>
      <c r="AI100" s="826"/>
    </row>
  </sheetData>
  <mergeCells count="73">
    <mergeCell ref="G44:N44"/>
    <mergeCell ref="G51:N51"/>
    <mergeCell ref="G57:N57"/>
    <mergeCell ref="O61:R61"/>
    <mergeCell ref="S61:V61"/>
    <mergeCell ref="O50:R51"/>
    <mergeCell ref="S50:V51"/>
    <mergeCell ref="O52:R52"/>
    <mergeCell ref="S52:V52"/>
    <mergeCell ref="O56:R57"/>
    <mergeCell ref="S56:V57"/>
    <mergeCell ref="O53:R53"/>
    <mergeCell ref="S53:V53"/>
    <mergeCell ref="O54:R54"/>
    <mergeCell ref="S54:V54"/>
    <mergeCell ref="O55:R55"/>
    <mergeCell ref="O62:R62"/>
    <mergeCell ref="S62:V62"/>
    <mergeCell ref="O58:R58"/>
    <mergeCell ref="S58:V58"/>
    <mergeCell ref="O59:R59"/>
    <mergeCell ref="S59:V59"/>
    <mergeCell ref="O60:R60"/>
    <mergeCell ref="S60:V60"/>
    <mergeCell ref="S55:V55"/>
    <mergeCell ref="O43:R44"/>
    <mergeCell ref="S43:V44"/>
    <mergeCell ref="O48:R48"/>
    <mergeCell ref="S48:V48"/>
    <mergeCell ref="O49:R49"/>
    <mergeCell ref="S49:V49"/>
    <mergeCell ref="O45:R45"/>
    <mergeCell ref="S45:V45"/>
    <mergeCell ref="O46:R46"/>
    <mergeCell ref="S46:V46"/>
    <mergeCell ref="O47:R47"/>
    <mergeCell ref="S47:V47"/>
    <mergeCell ref="O41:R41"/>
    <mergeCell ref="S41:V41"/>
    <mergeCell ref="O42:R42"/>
    <mergeCell ref="S42:V42"/>
    <mergeCell ref="O37:R37"/>
    <mergeCell ref="S37:V37"/>
    <mergeCell ref="O38:R38"/>
    <mergeCell ref="S38:V38"/>
    <mergeCell ref="O31:R32"/>
    <mergeCell ref="S31:V32"/>
    <mergeCell ref="O33:R33"/>
    <mergeCell ref="S33:V33"/>
    <mergeCell ref="O39:R40"/>
    <mergeCell ref="S39:V40"/>
    <mergeCell ref="O34:R34"/>
    <mergeCell ref="S34:V34"/>
    <mergeCell ref="O35:R35"/>
    <mergeCell ref="S35:V35"/>
    <mergeCell ref="O36:R36"/>
    <mergeCell ref="S36:V36"/>
    <mergeCell ref="O25:R26"/>
    <mergeCell ref="S25:V26"/>
    <mergeCell ref="O30:R30"/>
    <mergeCell ref="S30:V30"/>
    <mergeCell ref="O27:R27"/>
    <mergeCell ref="S27:V27"/>
    <mergeCell ref="O28:R28"/>
    <mergeCell ref="S28:V28"/>
    <mergeCell ref="O29:R29"/>
    <mergeCell ref="S29:V29"/>
    <mergeCell ref="AD7:AD10"/>
    <mergeCell ref="O21:R21"/>
    <mergeCell ref="O22:R22"/>
    <mergeCell ref="O24:R24"/>
    <mergeCell ref="S24:V24"/>
    <mergeCell ref="O20:R20"/>
  </mergeCells>
  <conditionalFormatting sqref="O8:U13">
    <cfRule type="cellIs" dxfId="21" priority="1" operator="equal" stopIfTrue="1">
      <formula>3</formula>
    </cfRule>
    <cfRule type="cellIs" dxfId="22" priority="2" operator="equal" stopIfTrue="1">
      <formula>2</formula>
    </cfRule>
    <cfRule type="cellIs" dxfId="23" priority="3" operator="equal" stopIfTrue="1">
      <formula>1</formula>
    </cfRule>
  </conditionalFormatting>
  <dataValidations count="1">
    <dataValidation type="list" allowBlank="1" showInputMessage="1" showErrorMessage="1" sqref="W8:W13 W16">
      <formula1>"Exigences non respectées,Exigences partiellement respectées,Exigences respectées,Non évalué,N/A"</formula1>
    </dataValidation>
  </dataValidations>
  <pageMargins left="0.7" right="0.7" top="0.75" bottom="0.75" header="0.3" footer="0.3"/>
  <pageSetup firstPageNumber="1" fitToHeight="1" fitToWidth="1" scale="100" useFirstPageNumber="0" orientation="portrait" pageOrder="downThenOver"/>
  <headerFooter>
    <oddFooter>&amp;C&amp;"Helvetica Neue,Regular"&amp;12&amp;K000000&amp;P</oddFooter>
  </headerFooter>
  <drawing r:id="rId1"/>
</worksheet>
</file>

<file path=xl/worksheets/sheet22.xml><?xml version="1.0" encoding="utf-8"?>
<worksheet xmlns:r="http://schemas.openxmlformats.org/officeDocument/2006/relationships" xmlns="http://schemas.openxmlformats.org/spreadsheetml/2006/main">
  <dimension ref="A1:P118"/>
  <sheetViews>
    <sheetView workbookViewId="0" showGridLines="0" defaultGridColor="1"/>
  </sheetViews>
  <sheetFormatPr defaultColWidth="10.8333" defaultRowHeight="14.4" customHeight="1" outlineLevelRow="0" outlineLevelCol="0"/>
  <cols>
    <col min="1" max="1" width="2.85156" style="1010" customWidth="1"/>
    <col min="2" max="2" width="4" style="1010" customWidth="1"/>
    <col min="3" max="5" hidden="1" width="10.8333" style="1010" customWidth="1"/>
    <col min="6" max="6" width="10.8516" style="1010" customWidth="1"/>
    <col min="7" max="7" width="36.1719" style="1010" customWidth="1"/>
    <col min="8" max="8" width="28.5" style="1010" customWidth="1"/>
    <col min="9" max="9" width="17.6719" style="1010" customWidth="1"/>
    <col min="10" max="10" width="66.8516" style="1010" customWidth="1"/>
    <col min="11" max="11" width="80.8516" style="1010" customWidth="1"/>
    <col min="12" max="12" width="10.8516" style="1010" customWidth="1"/>
    <col min="13" max="13" width="28" style="1010" customWidth="1"/>
    <col min="14" max="14" width="16.5" style="1010" customWidth="1"/>
    <col min="15" max="16" width="4" style="1010" customWidth="1"/>
    <col min="17" max="16384" width="10.8516" style="1010" customWidth="1"/>
  </cols>
  <sheetData>
    <row r="1" ht="45" customHeight="1">
      <c r="A1" s="880"/>
      <c r="B1" t="s" s="881">
        <v>2234</v>
      </c>
      <c r="C1" s="882"/>
      <c r="D1" s="882"/>
      <c r="E1" s="882"/>
      <c r="F1" s="882"/>
      <c r="G1" s="883"/>
      <c r="H1" s="884"/>
      <c r="I1" s="884"/>
      <c r="J1" t="s" s="885">
        <f>VLOOKUP($E$12,'BDD'!$A$2:$N$567,3,FALSE)</f>
        <v>231</v>
      </c>
      <c r="K1" s="884"/>
      <c r="L1" s="883"/>
      <c r="M1" s="883"/>
      <c r="N1" s="883"/>
      <c r="O1" s="883"/>
      <c r="P1" s="886"/>
    </row>
    <row r="2" ht="45" customHeight="1">
      <c r="A2" s="887"/>
      <c r="B2" s="888"/>
      <c r="C2" s="888"/>
      <c r="D2" s="888"/>
      <c r="E2" s="888"/>
      <c r="F2" s="888"/>
      <c r="G2" s="888"/>
      <c r="H2" s="888"/>
      <c r="I2" s="888"/>
      <c r="J2" t="s" s="889">
        <f>VLOOKUP($E$12,'BDD'!$A$2:$N$567,4,FALSE)</f>
        <v>1086</v>
      </c>
      <c r="K2" s="888"/>
      <c r="L2" s="888"/>
      <c r="M2" s="888"/>
      <c r="N2" s="888"/>
      <c r="O2" s="888"/>
      <c r="P2" s="890"/>
    </row>
    <row r="3" ht="18" customHeight="1">
      <c r="A3" s="887"/>
      <c r="B3" s="61"/>
      <c r="C3" s="61"/>
      <c r="D3" s="61"/>
      <c r="E3" s="61"/>
      <c r="F3" s="61"/>
      <c r="G3" t="s" s="508">
        <f>IF('Suppl'!B64=2,"Le vecteur n'est pas utilisé","")</f>
      </c>
      <c r="H3" s="509"/>
      <c r="I3" s="509"/>
      <c r="J3" s="509"/>
      <c r="K3" s="509"/>
      <c r="L3" s="510"/>
      <c r="M3" s="61"/>
      <c r="N3" s="61"/>
      <c r="O3" s="61"/>
      <c r="P3" s="890"/>
    </row>
    <row r="4" ht="14.4" customHeight="1">
      <c r="A4" s="887"/>
      <c r="B4" s="61"/>
      <c r="C4" s="61"/>
      <c r="D4" s="61"/>
      <c r="E4" s="61"/>
      <c r="F4" s="61"/>
      <c r="G4" s="61"/>
      <c r="H4" s="61"/>
      <c r="I4" s="61"/>
      <c r="J4" s="61"/>
      <c r="K4" s="61"/>
      <c r="L4" s="61"/>
      <c r="M4" s="61"/>
      <c r="N4" s="61"/>
      <c r="O4" s="61"/>
      <c r="P4" s="890"/>
    </row>
    <row r="5" ht="25.8" customHeight="1">
      <c r="A5" s="891"/>
      <c r="B5" s="512"/>
      <c r="C5" t="s" s="513">
        <f>IF(LEFT(RIGHT($B$1,2),1)=" ",RIGHT($B$1,1),RIGHT($B$1,2))</f>
        <v>2235</v>
      </c>
      <c r="D5" s="514">
        <f>IF(LEFT(F5,14)="Bonne pratique",D4+1,D4)</f>
        <v>1</v>
      </c>
      <c r="E5" s="515"/>
      <c r="F5" t="s" s="516">
        <v>1762</v>
      </c>
      <c r="G5" s="517"/>
      <c r="H5" s="518"/>
      <c r="I5" s="519"/>
      <c r="J5" t="s" s="520">
        <f>VLOOKUP(E12,'BDD'!$A$2:$N$567,6,FALSE)</f>
        <v>1087</v>
      </c>
      <c r="K5" s="521"/>
      <c r="L5" s="517"/>
      <c r="M5" s="517"/>
      <c r="N5" s="517"/>
      <c r="O5" s="512"/>
      <c r="P5" s="892"/>
    </row>
    <row r="6" ht="14.4" customHeight="1">
      <c r="A6" s="887"/>
      <c r="B6" s="61"/>
      <c r="C6" t="s" s="513">
        <f>IF(LEFT(RIGHT($B$1,2),1)=" ",RIGHT($B$1,1),RIGHT($B$1,2))</f>
        <v>2235</v>
      </c>
      <c r="D6" s="514">
        <f>IF(LEFT(F6,14)="Bonne pratique",D5+1,D5)</f>
        <v>1</v>
      </c>
      <c r="E6" s="61"/>
      <c r="F6" s="61"/>
      <c r="G6" s="61"/>
      <c r="H6" s="61"/>
      <c r="I6" s="61"/>
      <c r="J6" s="61"/>
      <c r="K6" s="61"/>
      <c r="L6" s="61"/>
      <c r="M6" s="61"/>
      <c r="N6" s="61"/>
      <c r="O6" s="61"/>
      <c r="P6" s="890"/>
    </row>
    <row r="7" ht="23.4" customHeight="1">
      <c r="A7" s="893"/>
      <c r="B7" s="524"/>
      <c r="C7" t="s" s="513">
        <f>IF(LEFT(RIGHT($B$1,2),1)=" ",RIGHT($B$1,1),RIGHT($B$1,2))</f>
        <v>2235</v>
      </c>
      <c r="D7" s="514">
        <f>IF(LEFT(F7,14)="Bonne pratique",D6+1,D6)</f>
        <v>1</v>
      </c>
      <c r="E7" s="524"/>
      <c r="F7" s="524"/>
      <c r="G7" s="524"/>
      <c r="H7" s="524"/>
      <c r="I7" s="525"/>
      <c r="J7" t="s" s="526">
        <v>1088</v>
      </c>
      <c r="K7" s="525"/>
      <c r="L7" s="524"/>
      <c r="M7" s="524"/>
      <c r="N7" s="524"/>
      <c r="O7" s="524"/>
      <c r="P7" s="894"/>
    </row>
    <row r="8" ht="18" customHeight="1">
      <c r="A8" s="887"/>
      <c r="B8" s="61"/>
      <c r="C8" t="s" s="513">
        <f>IF(LEFT(RIGHT($B$1,2),1)=" ",RIGHT($B$1,1),RIGHT($B$1,2))</f>
        <v>2235</v>
      </c>
      <c r="D8" s="514">
        <f>IF(LEFT(F8,14)="Bonne pratique",D7+1,D7)</f>
        <v>1</v>
      </c>
      <c r="E8" s="61"/>
      <c r="F8" s="61"/>
      <c r="G8" s="61"/>
      <c r="H8" s="61"/>
      <c r="I8" s="61"/>
      <c r="J8" s="528"/>
      <c r="K8" s="61"/>
      <c r="L8" s="61"/>
      <c r="M8" s="529"/>
      <c r="N8" s="529"/>
      <c r="O8" s="61"/>
      <c r="P8" s="890"/>
    </row>
    <row r="9" ht="14.4" customHeight="1">
      <c r="A9" s="887"/>
      <c r="B9" s="61"/>
      <c r="C9" t="s" s="513">
        <f>IF(LEFT(RIGHT($B$1,2),1)=" ",RIGHT($B$1,1),RIGHT($B$1,2))</f>
        <v>2235</v>
      </c>
      <c r="D9" s="514">
        <f>IF(LEFT(F9,14)="Bonne pratique",D8+1,D8)</f>
        <v>1</v>
      </c>
      <c r="E9" s="61"/>
      <c r="F9" s="61"/>
      <c r="G9" s="530"/>
      <c r="H9" s="530"/>
      <c r="I9" s="530"/>
      <c r="J9" s="530"/>
      <c r="K9" s="530"/>
      <c r="L9" s="531"/>
      <c r="M9" t="s" s="532">
        <v>1763</v>
      </c>
      <c r="N9" s="533"/>
      <c r="O9" s="534"/>
      <c r="P9" s="890"/>
    </row>
    <row r="10" ht="33" customHeight="1">
      <c r="A10" s="887"/>
      <c r="B10" s="61"/>
      <c r="C10" t="s" s="513">
        <f>IF(LEFT(RIGHT($B$1,2),1)=" ",RIGHT($B$1,1),RIGHT($B$1,2))</f>
        <v>2235</v>
      </c>
      <c r="D10" s="514">
        <f>IF(LEFT(F10,14)="Bonne pratique",D9+1,D9)</f>
        <v>1</v>
      </c>
      <c r="E10" s="61"/>
      <c r="F10" s="535"/>
      <c r="G10" t="s" s="536">
        <v>244</v>
      </c>
      <c r="H10" t="s" s="536">
        <v>1764</v>
      </c>
      <c r="I10" t="s" s="537">
        <v>245</v>
      </c>
      <c r="J10" t="s" s="536">
        <v>1765</v>
      </c>
      <c r="K10" t="s" s="536">
        <v>246</v>
      </c>
      <c r="L10" s="538"/>
      <c r="M10" t="s" s="539">
        <v>1766</v>
      </c>
      <c r="N10" t="s" s="540">
        <v>1767</v>
      </c>
      <c r="O10" s="534"/>
      <c r="P10" s="890"/>
    </row>
    <row r="11" ht="14.4" customHeight="1">
      <c r="A11" s="887"/>
      <c r="B11" s="61"/>
      <c r="C11" t="s" s="513">
        <f>IF(LEFT(RIGHT($B$1,2),1)=" ",RIGHT($B$1,1),RIGHT($B$1,2))</f>
        <v>2235</v>
      </c>
      <c r="D11" s="514">
        <f>IF(LEFT(F11,14)="Bonne pratique",D10+1,D10)</f>
        <v>1</v>
      </c>
      <c r="E11" s="61"/>
      <c r="F11" s="529"/>
      <c r="G11" s="541"/>
      <c r="H11" s="541"/>
      <c r="I11" s="541"/>
      <c r="J11" s="541"/>
      <c r="K11" s="541"/>
      <c r="L11" s="61"/>
      <c r="M11" s="541"/>
      <c r="N11" s="541"/>
      <c r="O11" s="61"/>
      <c r="P11" s="890"/>
    </row>
    <row r="12" ht="130.05" customHeight="1">
      <c r="A12" s="887"/>
      <c r="B12" s="542"/>
      <c r="C12" t="s" s="543">
        <f>IF(LEFT(RIGHT($B$1,2),1)=" ",RIGHT($B$1,1),RIGHT($B$1,2))</f>
        <v>2235</v>
      </c>
      <c r="D12" s="544">
        <f>IF(LEFT(F12,14)="Bonne pratique",D11+1,D11)</f>
        <v>1</v>
      </c>
      <c r="E12" t="s" s="545">
        <f>C12&amp;D12&amp;RIGHT(F12,1)</f>
        <v>2236</v>
      </c>
      <c r="F12" t="s" s="546">
        <v>1769</v>
      </c>
      <c r="G12" t="s" s="547">
        <f>_xlfn.IFERROR(IF(VLOOKUP($E12,'BDD'!$A$1:$S$567,MATCH(G$10,'BDD'!$A$1:$P$1,0),FALSE)=0,"",VLOOKUP($E12,'BDD'!$A$1:$S$567,MATCH(G$10,'BDD'!$A$1:$P$1,0),FALSE)),"")</f>
        <v>1089</v>
      </c>
      <c r="H12" t="s" s="548">
        <f>IF(VLOOKUP(E12,'BDD'!$A$1:$S$567,15,FALSE)=0,"Critère non évalué","")</f>
        <v>1770</v>
      </c>
      <c r="I12" t="s" s="546">
        <f>_xlfn.IFERROR(IF(VLOOKUP($E12,'BDD'!$A$1:$S$567,MATCH(I$10,'BDD'!$A$1:$P$1,0),FALSE)=0,"",VLOOKUP($E12,'BDD'!$A$1:$S$567,MATCH(I$10,'BDD'!$A$1:$P$1,0),FALSE)),"")</f>
        <v>283</v>
      </c>
      <c r="J12" s="549"/>
      <c r="K12" t="s" s="547">
        <f>_xlfn.IFERROR(IF(VLOOKUP($E12,'BDD'!$A$1:$S$567,MATCH(K$10,'BDD'!$A$1:$P$1,0),FALSE)=0,"",VLOOKUP($E12,'BDD'!$A$1:$S$567,MATCH(K$10,'BDD'!$A$1:$P$1,0),FALSE)),"")</f>
      </c>
      <c r="L12" s="550"/>
      <c r="M12" s="551"/>
      <c r="N12" s="551"/>
      <c r="O12" s="534"/>
      <c r="P12" s="890"/>
    </row>
    <row r="13" ht="130.05" customHeight="1">
      <c r="A13" s="887"/>
      <c r="B13" s="542"/>
      <c r="C13" t="s" s="543">
        <f>IF(LEFT(RIGHT($B$1,2),1)=" ",RIGHT($B$1,1),RIGHT($B$1,2))</f>
        <v>2235</v>
      </c>
      <c r="D13" s="544">
        <f>IF(LEFT(F13,14)="Bonne pratique",D12+1,D12)</f>
        <v>1</v>
      </c>
      <c r="E13" t="s" s="545">
        <f>C13&amp;D13&amp;RIGHT(F13,1)</f>
        <v>2237</v>
      </c>
      <c r="F13" t="s" s="552">
        <v>1772</v>
      </c>
      <c r="G13" t="s" s="540">
        <f>_xlfn.IFERROR(IF(VLOOKUP($E13,'BDD'!$A$1:$S$567,MATCH(G$10,'BDD'!$A$1:$P$1,0),FALSE)=0,"",VLOOKUP($E13,'BDD'!$A$1:$S$567,MATCH(G$10,'BDD'!$A$1:$P$1,0),FALSE)),"")</f>
        <v>1093</v>
      </c>
      <c r="H13" t="s" s="553">
        <f>IF(VLOOKUP(E13,'BDD'!$A$1:$S$567,15,FALSE)=0,"Critère non évalué","")</f>
        <v>1770</v>
      </c>
      <c r="I13" t="s" s="552">
        <f>_xlfn.IFERROR(IF(VLOOKUP($E13,'BDD'!$A$1:$S$567,MATCH(I$10,'BDD'!$A$1:$P$1,0),FALSE)=0,"",VLOOKUP($E13,'BDD'!$A$1:$S$567,MATCH(I$10,'BDD'!$A$1:$P$1,0),FALSE)),"")</f>
        <v>263</v>
      </c>
      <c r="J13" s="554"/>
      <c r="K13" t="s" s="540">
        <f>_xlfn.IFERROR(IF(VLOOKUP($E13,'BDD'!$A$1:$S$567,MATCH(K$10,'BDD'!$A$1:$P$1,0),FALSE)=0,"",VLOOKUP($E13,'BDD'!$A$1:$S$567,MATCH(K$10,'BDD'!$A$1:$P$1,0),FALSE)),"")</f>
      </c>
      <c r="L13" s="550"/>
      <c r="M13" s="555"/>
      <c r="N13" s="555"/>
      <c r="O13" s="534"/>
      <c r="P13" s="890"/>
    </row>
    <row r="14" ht="130.05" customHeight="1" hidden="1">
      <c r="A14" s="887"/>
      <c r="B14" s="542"/>
      <c r="C14" t="s" s="543">
        <f>IF(LEFT(RIGHT($B$1,2),1)=" ",RIGHT($B$1,1),RIGHT($B$1,2))</f>
        <v>2235</v>
      </c>
      <c r="D14" s="544">
        <f>IF(LEFT(F14,14)="Bonne pratique",D13+1,D13)</f>
        <v>1</v>
      </c>
      <c r="E14" t="s" s="545">
        <f>C14&amp;D14&amp;RIGHT(F14,1)</f>
        <v>2238</v>
      </c>
      <c r="F14" t="s" s="546">
        <v>1774</v>
      </c>
      <c r="G14" t="s" s="547">
        <f>_xlfn.IFERROR(IF(VLOOKUP($E14,'BDD'!$A$1:$S$567,MATCH(G$10,'BDD'!$A$1:$P$1,0),FALSE)=0,"",VLOOKUP($E14,'BDD'!$A$1:$S$567,MATCH(G$10,'BDD'!$A$1:$P$1,0),FALSE)),"")</f>
      </c>
      <c r="H14" t="s" s="548">
        <f>IF(VLOOKUP(E14,'BDD'!$A$1:$S$567,15,FALSE)=0,"Critère non évalué","")</f>
        <v>1770</v>
      </c>
      <c r="I14" t="s" s="546">
        <f>_xlfn.IFERROR(IF(VLOOKUP($E14,'BDD'!$A$1:$S$567,MATCH(I$10,'BDD'!$A$1:$P$1,0),FALSE)=0,"",VLOOKUP($E14,'BDD'!$A$1:$S$567,MATCH(I$10,'BDD'!$A$1:$P$1,0),FALSE)),"")</f>
        <v>171</v>
      </c>
      <c r="J14" s="549"/>
      <c r="K14" t="s" s="547">
        <f>_xlfn.IFERROR(IF(VLOOKUP($E14,'BDD'!$A$1:$S$567,MATCH(K$10,'BDD'!$A$1:$P$1,0),FALSE)=0,"",VLOOKUP($E14,'BDD'!$A$1:$S$567,MATCH(K$10,'BDD'!$A$1:$P$1,0),FALSE)),"")</f>
      </c>
      <c r="L14" s="550"/>
      <c r="M14" s="551"/>
      <c r="N14" s="551"/>
      <c r="O14" s="534"/>
      <c r="P14" s="890"/>
    </row>
    <row r="15" ht="130.05" customHeight="1" hidden="1">
      <c r="A15" s="887"/>
      <c r="B15" s="542"/>
      <c r="C15" t="s" s="543">
        <f>IF(LEFT(RIGHT($B$1,2),1)=" ",RIGHT($B$1,1),RIGHT($B$1,2))</f>
        <v>2235</v>
      </c>
      <c r="D15" s="544">
        <f>IF(LEFT(F15,14)="Bonne pratique",D14+1,D14)</f>
        <v>1</v>
      </c>
      <c r="E15" t="s" s="545">
        <f>C15&amp;D15&amp;RIGHT(F15,1)</f>
        <v>2239</v>
      </c>
      <c r="F15" t="s" s="552">
        <v>1776</v>
      </c>
      <c r="G15" t="s" s="540">
        <f>_xlfn.IFERROR(IF(VLOOKUP($E15,'BDD'!$A$1:$S$567,MATCH(G$10,'BDD'!$A$1:$P$1,0),FALSE)=0,"",VLOOKUP($E15,'BDD'!$A$1:$S$567,MATCH(G$10,'BDD'!$A$1:$P$1,0),FALSE)),"")</f>
      </c>
      <c r="H15" t="s" s="553">
        <f>IF(VLOOKUP(E15,'BDD'!$A$1:$S$567,15,FALSE)=0,"Critère non évalué","")</f>
        <v>1770</v>
      </c>
      <c r="I15" t="s" s="552">
        <f>_xlfn.IFERROR(IF(VLOOKUP($E15,'BDD'!$A$1:$S$567,MATCH(I$10,'BDD'!$A$1:$P$1,0),FALSE)=0,"",VLOOKUP($E15,'BDD'!$A$1:$S$567,MATCH(I$10,'BDD'!$A$1:$P$1,0),FALSE)),"")</f>
        <v>171</v>
      </c>
      <c r="J15" s="556"/>
      <c r="K15" t="s" s="540">
        <f>_xlfn.IFERROR(IF(VLOOKUP($E15,'BDD'!$A$1:$S$567,MATCH(K$10,'BDD'!$A$1:$P$1,0),FALSE)=0,"",VLOOKUP($E15,'BDD'!$A$1:$S$567,MATCH(K$10,'BDD'!$A$1:$P$1,0),FALSE)),"")</f>
      </c>
      <c r="L15" s="550"/>
      <c r="M15" s="555"/>
      <c r="N15" s="555"/>
      <c r="O15" s="534"/>
      <c r="P15" s="890"/>
    </row>
    <row r="16" ht="130.05" customHeight="1" hidden="1">
      <c r="A16" s="887"/>
      <c r="B16" s="542"/>
      <c r="C16" t="s" s="543">
        <f>IF(LEFT(RIGHT($B$1,2),1)=" ",RIGHT($B$1,1),RIGHT($B$1,2))</f>
        <v>2235</v>
      </c>
      <c r="D16" s="544">
        <f>IF(LEFT(F16,14)="Bonne pratique",D15+1,D15)</f>
        <v>1</v>
      </c>
      <c r="E16" t="s" s="545">
        <f>C16&amp;D16&amp;RIGHT(F16,1)</f>
        <v>2240</v>
      </c>
      <c r="F16" t="s" s="546">
        <v>1778</v>
      </c>
      <c r="G16" t="s" s="547">
        <f>_xlfn.IFERROR(IF(VLOOKUP($E16,'BDD'!$A$1:$S$567,MATCH(G$10,'BDD'!$A$1:$P$1,0),FALSE)=0,"",VLOOKUP($E16,'BDD'!$A$1:$S$567,MATCH(G$10,'BDD'!$A$1:$P$1,0),FALSE)),"")</f>
      </c>
      <c r="H16" t="s" s="548">
        <f>IF(VLOOKUP(E16,'BDD'!$A$1:$S$567,15,FALSE)=0,"Critère non évalué","")</f>
        <v>1770</v>
      </c>
      <c r="I16" t="s" s="546">
        <f>_xlfn.IFERROR(IF(VLOOKUP($E16,'BDD'!$A$1:$S$567,MATCH(I$10,'BDD'!$A$1:$P$1,0),FALSE)=0,"",VLOOKUP($E16,'BDD'!$A$1:$S$567,MATCH(I$10,'BDD'!$A$1:$P$1,0),FALSE)),"")</f>
        <v>171</v>
      </c>
      <c r="J16" s="549"/>
      <c r="K16" t="s" s="547">
        <f>_xlfn.IFERROR(IF(VLOOKUP($E16,'BDD'!$A$1:$S$567,MATCH(K$10,'BDD'!$A$1:$P$1,0),FALSE)=0,"",VLOOKUP($E16,'BDD'!$A$1:$S$567,MATCH(K$10,'BDD'!$A$1:$P$1,0),FALSE)),"")</f>
      </c>
      <c r="L16" s="550"/>
      <c r="M16" s="557"/>
      <c r="N16" s="557"/>
      <c r="O16" s="534"/>
      <c r="P16" s="890"/>
    </row>
    <row r="17" ht="130.05" customHeight="1" hidden="1">
      <c r="A17" s="887"/>
      <c r="B17" s="542"/>
      <c r="C17" t="s" s="543">
        <f>IF(LEFT(RIGHT($B$1,2),1)=" ",RIGHT($B$1,1),RIGHT($B$1,2))</f>
        <v>2235</v>
      </c>
      <c r="D17" s="544">
        <f>IF(LEFT(F17,14)="Bonne pratique",D16+1,D16)</f>
        <v>1</v>
      </c>
      <c r="E17" t="s" s="545">
        <f>C17&amp;D17&amp;RIGHT(F17,1)</f>
        <v>2241</v>
      </c>
      <c r="F17" t="s" s="552">
        <v>1780</v>
      </c>
      <c r="G17" t="s" s="540">
        <f>_xlfn.IFERROR(IF(VLOOKUP($E17,'BDD'!$A$1:$S$567,MATCH(G$10,'BDD'!$A$1:$P$1,0),FALSE)=0,"",VLOOKUP($E17,'BDD'!$A$1:$S$567,MATCH(G$10,'BDD'!$A$1:$P$1,0),FALSE)),"")</f>
      </c>
      <c r="H17" t="s" s="553">
        <f>IF(VLOOKUP(E17,'BDD'!$A$1:$S$567,15,FALSE)=0,"Critère non évalué","")</f>
        <v>1770</v>
      </c>
      <c r="I17" t="s" s="552">
        <f>_xlfn.IFERROR(IF(VLOOKUP($E17,'BDD'!$A$1:$S$567,MATCH(I$10,'BDD'!$A$1:$P$1,0),FALSE)=0,"",VLOOKUP($E17,'BDD'!$A$1:$S$567,MATCH(I$10,'BDD'!$A$1:$P$1,0),FALSE)),"")</f>
        <v>171</v>
      </c>
      <c r="J17" s="554"/>
      <c r="K17" t="s" s="540">
        <f>_xlfn.IFERROR(IF(VLOOKUP($E17,'BDD'!$A$1:$S$567,MATCH(K$10,'BDD'!$A$1:$P$1,0),FALSE)=0,"",VLOOKUP($E17,'BDD'!$A$1:$S$567,MATCH(K$10,'BDD'!$A$1:$P$1,0),FALSE)),"")</f>
      </c>
      <c r="L17" s="550"/>
      <c r="M17" s="555"/>
      <c r="N17" s="555"/>
      <c r="O17" s="534"/>
      <c r="P17" s="890"/>
    </row>
    <row r="18" ht="130.05" customHeight="1" hidden="1">
      <c r="A18" s="887"/>
      <c r="B18" s="542"/>
      <c r="C18" t="s" s="543">
        <f>IF(LEFT(RIGHT($B$1,2),1)=" ",RIGHT($B$1,1),RIGHT($B$1,2))</f>
        <v>2235</v>
      </c>
      <c r="D18" s="544">
        <f>IF(LEFT(F18,14)="Bonne pratique",D17+1,D17)</f>
        <v>1</v>
      </c>
      <c r="E18" t="s" s="545">
        <f>C18&amp;D18&amp;RIGHT(F18,1)</f>
        <v>2242</v>
      </c>
      <c r="F18" t="s" s="546">
        <v>1782</v>
      </c>
      <c r="G18" t="s" s="547">
        <f>_xlfn.IFERROR(IF(VLOOKUP($E18,'BDD'!$A$1:$S$567,MATCH(G$10,'BDD'!$A$1:$P$1,0),FALSE)=0,"",VLOOKUP($E18,'BDD'!$A$1:$S$567,MATCH(G$10,'BDD'!$A$1:$P$1,0),FALSE)),"")</f>
      </c>
      <c r="H18" t="s" s="548">
        <f>IF(VLOOKUP(E18,'BDD'!$A$1:$S$567,15,FALSE)=0,"Critère non évalué","")</f>
        <v>1770</v>
      </c>
      <c r="I18" t="s" s="546">
        <f>_xlfn.IFERROR(IF(VLOOKUP($E18,'BDD'!$A$1:$S$567,MATCH(I$10,'BDD'!$A$1:$P$1,0),FALSE)=0,"",VLOOKUP($E18,'BDD'!$A$1:$S$567,MATCH(I$10,'BDD'!$A$1:$P$1,0),FALSE)),"")</f>
        <v>171</v>
      </c>
      <c r="J18" s="549"/>
      <c r="K18" t="s" s="547">
        <f>_xlfn.IFERROR(IF(VLOOKUP($E18,'BDD'!$A$1:$S$567,MATCH(K$10,'BDD'!$A$1:$P$1,0),FALSE)=0,"",VLOOKUP($E18,'BDD'!$A$1:$S$567,MATCH(K$10,'BDD'!$A$1:$P$1,0),FALSE)),"")</f>
      </c>
      <c r="L18" s="550"/>
      <c r="M18" s="557"/>
      <c r="N18" s="557"/>
      <c r="O18" s="534"/>
      <c r="P18" s="890"/>
    </row>
    <row r="19" ht="18" customHeight="1">
      <c r="A19" s="887"/>
      <c r="B19" s="61"/>
      <c r="C19" t="s" s="513">
        <f>IF(LEFT(RIGHT($B$1,2),1)=" ",RIGHT($B$1,1),RIGHT($B$1,2))</f>
        <v>2235</v>
      </c>
      <c r="D19" s="514">
        <f>IF(LEFT(F19,14)="Bonne pratique",D18+1,D18)</f>
        <v>1</v>
      </c>
      <c r="E19" t="s" s="558">
        <f>C19&amp;D19&amp;RIGHT(F19,1)</f>
        <v>2243</v>
      </c>
      <c r="F19" s="559"/>
      <c r="G19" t="s" s="560">
        <f>IF('Suppl'!B80=2,"Le vecteur n'est pas utilisé","")</f>
      </c>
      <c r="H19" s="561"/>
      <c r="I19" s="561"/>
      <c r="J19" s="561"/>
      <c r="K19" s="561"/>
      <c r="L19" s="510"/>
      <c r="M19" s="559"/>
      <c r="N19" s="559"/>
      <c r="O19" s="61"/>
      <c r="P19" s="890"/>
    </row>
    <row r="20" ht="15" customHeight="1">
      <c r="A20" s="887"/>
      <c r="B20" s="61"/>
      <c r="C20" t="s" s="513">
        <f>IF(LEFT(RIGHT($B$1,2),1)=" ",RIGHT($B$1,1),RIGHT($B$1,2))</f>
        <v>2235</v>
      </c>
      <c r="D20" s="514">
        <f>IF(LEFT(F20,14)="Bonne pratique",D19+1,D19)</f>
        <v>1</v>
      </c>
      <c r="E20" t="s" s="558">
        <f>C20&amp;D20&amp;RIGHT(F20,1)</f>
        <v>2243</v>
      </c>
      <c r="F20" s="61"/>
      <c r="G20" s="61"/>
      <c r="H20" s="61"/>
      <c r="I20" s="61"/>
      <c r="J20" s="61"/>
      <c r="K20" s="61"/>
      <c r="L20" s="61"/>
      <c r="M20" s="61"/>
      <c r="N20" s="61"/>
      <c r="O20" s="61"/>
      <c r="P20" s="890"/>
    </row>
    <row r="21" ht="25.8" customHeight="1">
      <c r="A21" s="891"/>
      <c r="B21" s="512"/>
      <c r="C21" t="s" s="513">
        <f>IF(LEFT(RIGHT($B$1,2),1)=" ",RIGHT($B$1,1),RIGHT($B$1,2))</f>
        <v>2235</v>
      </c>
      <c r="D21" s="514">
        <f>IF(LEFT(F21,14)="Bonne pratique",D20+1,D20)</f>
        <v>2</v>
      </c>
      <c r="E21" t="s" s="558">
        <f>C21&amp;D21&amp;RIGHT(F21,1)</f>
        <v>2244</v>
      </c>
      <c r="F21" t="s" s="516">
        <v>1785</v>
      </c>
      <c r="G21" s="517"/>
      <c r="H21" s="518"/>
      <c r="I21" s="519"/>
      <c r="J21" t="s" s="520">
        <f>VLOOKUP(E28,'BDD'!$A$2:$N$567,6,FALSE)</f>
        <v>1104</v>
      </c>
      <c r="K21" s="521"/>
      <c r="L21" s="517"/>
      <c r="M21" s="517"/>
      <c r="N21" s="517"/>
      <c r="O21" s="512"/>
      <c r="P21" s="892"/>
    </row>
    <row r="22" ht="15" customHeight="1">
      <c r="A22" s="887"/>
      <c r="B22" s="61"/>
      <c r="C22" t="s" s="513">
        <f>IF(LEFT(RIGHT($B$1,2),1)=" ",RIGHT($B$1,1),RIGHT($B$1,2))</f>
        <v>2235</v>
      </c>
      <c r="D22" s="514">
        <f>IF(LEFT(F22,14)="Bonne pratique",D21+1,D21)</f>
        <v>2</v>
      </c>
      <c r="E22" t="s" s="558">
        <f>C22&amp;D22&amp;RIGHT(F22,1)</f>
        <v>2245</v>
      </c>
      <c r="F22" s="61"/>
      <c r="G22" s="61"/>
      <c r="H22" s="61"/>
      <c r="I22" s="61"/>
      <c r="J22" s="61"/>
      <c r="K22" s="61"/>
      <c r="L22" s="61"/>
      <c r="M22" s="61"/>
      <c r="N22" s="61"/>
      <c r="O22" s="61"/>
      <c r="P22" s="890"/>
    </row>
    <row r="23" ht="18" customHeight="1">
      <c r="A23" s="893"/>
      <c r="B23" s="524"/>
      <c r="C23" t="s" s="513">
        <f>IF(LEFT(RIGHT($B$1,2),1)=" ",RIGHT($B$1,1),RIGHT($B$1,2))</f>
        <v>2235</v>
      </c>
      <c r="D23" s="514">
        <f>IF(LEFT(F23,14)="Bonne pratique",D22+1,D22)</f>
        <v>2</v>
      </c>
      <c r="E23" t="s" s="558">
        <f>C23&amp;D23&amp;RIGHT(F23,1)</f>
        <v>2245</v>
      </c>
      <c r="F23" s="524"/>
      <c r="G23" s="524"/>
      <c r="H23" s="524"/>
      <c r="I23" s="525"/>
      <c r="J23" t="s" s="526">
        <v>1105</v>
      </c>
      <c r="K23" s="525"/>
      <c r="L23" s="524"/>
      <c r="M23" s="524"/>
      <c r="N23" s="524"/>
      <c r="O23" s="524"/>
      <c r="P23" s="894"/>
    </row>
    <row r="24" ht="18" customHeight="1">
      <c r="A24" s="887"/>
      <c r="B24" s="61"/>
      <c r="C24" t="s" s="513">
        <f>IF(LEFT(RIGHT($B$1,2),1)=" ",RIGHT($B$1,1),RIGHT($B$1,2))</f>
        <v>2235</v>
      </c>
      <c r="D24" s="514">
        <f>IF(LEFT(F24,14)="Bonne pratique",D23+1,D23)</f>
        <v>2</v>
      </c>
      <c r="E24" t="s" s="558">
        <f>C24&amp;D24&amp;RIGHT(F24,1)</f>
        <v>2245</v>
      </c>
      <c r="F24" s="61"/>
      <c r="G24" s="61"/>
      <c r="H24" s="61"/>
      <c r="I24" s="61"/>
      <c r="J24" s="528"/>
      <c r="K24" s="61"/>
      <c r="L24" s="61"/>
      <c r="M24" s="529"/>
      <c r="N24" s="529"/>
      <c r="O24" s="61"/>
      <c r="P24" s="890"/>
    </row>
    <row r="25" ht="15" customHeight="1">
      <c r="A25" s="887"/>
      <c r="B25" s="61"/>
      <c r="C25" t="s" s="513">
        <f>IF(LEFT(RIGHT($B$1,2),1)=" ",RIGHT($B$1,1),RIGHT($B$1,2))</f>
        <v>2235</v>
      </c>
      <c r="D25" s="514">
        <f>IF(LEFT(F25,14)="Bonne pratique",D24+1,D24)</f>
        <v>2</v>
      </c>
      <c r="E25" t="s" s="558">
        <f>C25&amp;D25&amp;RIGHT(F25,1)</f>
        <v>2245</v>
      </c>
      <c r="F25" s="61"/>
      <c r="G25" s="529"/>
      <c r="H25" s="529"/>
      <c r="I25" s="529"/>
      <c r="J25" s="530"/>
      <c r="K25" s="529"/>
      <c r="L25" s="542"/>
      <c r="M25" t="s" s="562">
        <v>1763</v>
      </c>
      <c r="N25" s="563"/>
      <c r="O25" s="534"/>
      <c r="P25" s="890"/>
    </row>
    <row r="26" ht="33" customHeight="1">
      <c r="A26" s="887"/>
      <c r="B26" s="61"/>
      <c r="C26" t="s" s="513">
        <f>IF(LEFT(RIGHT($B$1,2),1)=" ",RIGHT($B$1,1),RIGHT($B$1,2))</f>
        <v>2235</v>
      </c>
      <c r="D26" s="514">
        <f>IF(LEFT(F26,14)="Bonne pratique",D25+1,D25)</f>
        <v>2</v>
      </c>
      <c r="E26" t="s" s="558">
        <f>C26&amp;D26&amp;RIGHT(F26,1)</f>
        <v>2245</v>
      </c>
      <c r="F26" s="564"/>
      <c r="G26" t="s" s="536">
        <v>244</v>
      </c>
      <c r="H26" t="s" s="536">
        <v>1764</v>
      </c>
      <c r="I26" t="s" s="536">
        <v>1787</v>
      </c>
      <c r="J26" t="s" s="536">
        <v>1765</v>
      </c>
      <c r="K26" t="s" s="536">
        <v>1788</v>
      </c>
      <c r="L26" s="538"/>
      <c r="M26" t="s" s="539">
        <v>1766</v>
      </c>
      <c r="N26" t="s" s="540">
        <v>1767</v>
      </c>
      <c r="O26" s="534"/>
      <c r="P26" s="890"/>
    </row>
    <row r="27" ht="15" customHeight="1">
      <c r="A27" s="887"/>
      <c r="B27" s="61"/>
      <c r="C27" t="s" s="513">
        <f>IF(LEFT(RIGHT($B$1,2),1)=" ",RIGHT($B$1,1),RIGHT($B$1,2))</f>
        <v>2235</v>
      </c>
      <c r="D27" s="514">
        <f>IF(LEFT(F27,14)="Bonne pratique",D26+1,D26)</f>
        <v>2</v>
      </c>
      <c r="E27" t="s" s="558">
        <f>C27&amp;D27&amp;RIGHT(F27,1)</f>
        <v>2245</v>
      </c>
      <c r="F27" s="529"/>
      <c r="G27" s="541"/>
      <c r="H27" s="541"/>
      <c r="I27" s="541"/>
      <c r="J27" s="541"/>
      <c r="K27" s="541"/>
      <c r="L27" s="61"/>
      <c r="M27" s="541"/>
      <c r="N27" s="541"/>
      <c r="O27" s="61"/>
      <c r="P27" s="890"/>
    </row>
    <row r="28" ht="130.05" customHeight="1">
      <c r="A28" s="887"/>
      <c r="B28" s="542"/>
      <c r="C28" t="s" s="543">
        <f>IF(LEFT(RIGHT($B$1,2),1)=" ",RIGHT($B$1,1),RIGHT($B$1,2))</f>
        <v>2235</v>
      </c>
      <c r="D28" s="544">
        <f>IF(LEFT(F28,14)="Bonne pratique",D27+1,D27)</f>
        <v>2</v>
      </c>
      <c r="E28" t="s" s="545">
        <f>C28&amp;D28&amp;RIGHT(F28,1)</f>
        <v>2246</v>
      </c>
      <c r="F28" t="s" s="546">
        <v>1769</v>
      </c>
      <c r="G28" t="s" s="547">
        <f>_xlfn.IFERROR(IF(VLOOKUP($E28,'BDD'!$A$1:$S$567,MATCH(G$10,'BDD'!$A$1:$P$1,0),FALSE)=0,"",VLOOKUP($E28,'BDD'!$A$1:$S$567,MATCH(G$10,'BDD'!$A$1:$P$1,0),FALSE)),"")</f>
        <v>1107</v>
      </c>
      <c r="H28" t="s" s="548">
        <f>IF(VLOOKUP(E28,'BDD'!$A$1:$S$567,15,FALSE)=0,"Critère non évalué","")</f>
        <v>1770</v>
      </c>
      <c r="I28" t="s" s="546">
        <f>_xlfn.IFERROR(IF(VLOOKUP($E28,'BDD'!$A$1:$S$567,MATCH(I$10,'BDD'!$A$1:$P$1,0),FALSE)=0,"",VLOOKUP($E28,'BDD'!$A$1:$S$567,MATCH(I$10,'BDD'!$A$1:$P$1,0),FALSE)),"")</f>
        <v>283</v>
      </c>
      <c r="J28" s="549"/>
      <c r="K28" t="s" s="547">
        <f>_xlfn.IFERROR(IF(VLOOKUP($E28,'BDD'!$A$1:$S$567,MATCH(K$10,'BDD'!$A$1:$P$1,0),FALSE)=0,"",VLOOKUP($E28,'BDD'!$A$1:$S$567,MATCH(K$10,'BDD'!$A$1:$P$1,0),FALSE)),"")</f>
        <v>1108</v>
      </c>
      <c r="L28" s="550"/>
      <c r="M28" s="551"/>
      <c r="N28" s="551"/>
      <c r="O28" s="534"/>
      <c r="P28" s="890"/>
    </row>
    <row r="29" ht="130.05" customHeight="1">
      <c r="A29" s="887"/>
      <c r="B29" s="542"/>
      <c r="C29" t="s" s="543">
        <f>IF(LEFT(RIGHT($B$1,2),1)=" ",RIGHT($B$1,1),RIGHT($B$1,2))</f>
        <v>2235</v>
      </c>
      <c r="D29" s="544">
        <f>IF(LEFT(F29,14)="Bonne pratique",D28+1,D28)</f>
        <v>2</v>
      </c>
      <c r="E29" t="s" s="545">
        <f>C29&amp;D29&amp;RIGHT(F29,1)</f>
        <v>2244</v>
      </c>
      <c r="F29" t="s" s="552">
        <v>1772</v>
      </c>
      <c r="G29" t="s" s="540">
        <f>_xlfn.IFERROR(IF(VLOOKUP($E29,'BDD'!$A$1:$S$567,MATCH(G$10,'BDD'!$A$1:$P$1,0),FALSE)=0,"",VLOOKUP($E29,'BDD'!$A$1:$S$567,MATCH(G$10,'BDD'!$A$1:$P$1,0),FALSE)),"")</f>
        <v>1110</v>
      </c>
      <c r="H29" t="s" s="553">
        <f>IF(VLOOKUP(E29,'BDD'!$A$1:$S$567,15,FALSE)=0,"Critère non évalué","")</f>
        <v>1770</v>
      </c>
      <c r="I29" t="s" s="552">
        <f>_xlfn.IFERROR(IF(VLOOKUP($E29,'BDD'!$A$1:$S$567,MATCH(I$10,'BDD'!$A$1:$P$1,0),FALSE)=0,"",VLOOKUP($E29,'BDD'!$A$1:$S$567,MATCH(I$10,'BDD'!$A$1:$P$1,0),FALSE)),"")</f>
        <v>283</v>
      </c>
      <c r="J29" s="554"/>
      <c r="K29" t="s" s="540">
        <f>_xlfn.IFERROR(IF(VLOOKUP($E29,'BDD'!$A$1:$S$567,MATCH(K$10,'BDD'!$A$1:$P$1,0),FALSE)=0,"",VLOOKUP($E29,'BDD'!$A$1:$S$567,MATCH(K$10,'BDD'!$A$1:$P$1,0),FALSE)),"")</f>
        <v>1111</v>
      </c>
      <c r="L29" s="550"/>
      <c r="M29" s="555"/>
      <c r="N29" s="555"/>
      <c r="O29" s="534"/>
      <c r="P29" s="890"/>
    </row>
    <row r="30" ht="130.05" customHeight="1">
      <c r="A30" s="887"/>
      <c r="B30" s="542"/>
      <c r="C30" t="s" s="543">
        <f>IF(LEFT(RIGHT($B$1,2),1)=" ",RIGHT($B$1,1),RIGHT($B$1,2))</f>
        <v>2235</v>
      </c>
      <c r="D30" s="544">
        <f>IF(LEFT(F30,14)="Bonne pratique",D29+1,D29)</f>
        <v>2</v>
      </c>
      <c r="E30" t="s" s="545">
        <f>C30&amp;D30&amp;RIGHT(F30,1)</f>
        <v>2247</v>
      </c>
      <c r="F30" t="s" s="546">
        <v>1774</v>
      </c>
      <c r="G30" t="s" s="547">
        <f>_xlfn.IFERROR(IF(VLOOKUP($E30,'BDD'!$A$1:$S$567,MATCH(G$10,'BDD'!$A$1:$P$1,0),FALSE)=0,"",VLOOKUP($E30,'BDD'!$A$1:$S$567,MATCH(G$10,'BDD'!$A$1:$P$1,0),FALSE)),"")</f>
        <v>1113</v>
      </c>
      <c r="H30" t="s" s="548">
        <f>IF(VLOOKUP(E30,'BDD'!$A$1:$S$567,15,FALSE)=0,"Critère non évalué","")</f>
        <v>1770</v>
      </c>
      <c r="I30" t="s" s="546">
        <f>_xlfn.IFERROR(IF(VLOOKUP($E30,'BDD'!$A$1:$S$567,MATCH(I$10,'BDD'!$A$1:$P$1,0),FALSE)=0,"",VLOOKUP($E30,'BDD'!$A$1:$S$567,MATCH(I$10,'BDD'!$A$1:$P$1,0),FALSE)),"")</f>
        <v>263</v>
      </c>
      <c r="J30" s="549"/>
      <c r="K30" t="s" s="547">
        <f>_xlfn.IFERROR(IF(VLOOKUP($E30,'BDD'!$A$1:$S$567,MATCH(K$10,'BDD'!$A$1:$P$1,0),FALSE)=0,"",VLOOKUP($E30,'BDD'!$A$1:$S$567,MATCH(K$10,'BDD'!$A$1:$P$1,0),FALSE)),"")</f>
        <v>1114</v>
      </c>
      <c r="L30" s="550"/>
      <c r="M30" s="551"/>
      <c r="N30" s="551"/>
      <c r="O30" s="534"/>
      <c r="P30" s="890"/>
    </row>
    <row r="31" ht="130.05" customHeight="1">
      <c r="A31" s="887"/>
      <c r="B31" s="542"/>
      <c r="C31" t="s" s="543">
        <f>IF(LEFT(RIGHT($B$1,2),1)=" ",RIGHT($B$1,1),RIGHT($B$1,2))</f>
        <v>2235</v>
      </c>
      <c r="D31" s="544">
        <f>IF(LEFT(F31,14)="Bonne pratique",D30+1,D30)</f>
        <v>2</v>
      </c>
      <c r="E31" t="s" s="545">
        <f>C31&amp;D31&amp;RIGHT(F31,1)</f>
        <v>2248</v>
      </c>
      <c r="F31" t="s" s="552">
        <v>1776</v>
      </c>
      <c r="G31" t="s" s="540">
        <f>_xlfn.IFERROR(IF(VLOOKUP($E31,'BDD'!$A$1:$S$567,MATCH(G$10,'BDD'!$A$1:$P$1,0),FALSE)=0,"",VLOOKUP($E31,'BDD'!$A$1:$S$567,MATCH(G$10,'BDD'!$A$1:$P$1,0),FALSE)),"")</f>
        <v>1116</v>
      </c>
      <c r="H31" t="s" s="553">
        <f>IF(VLOOKUP(E31,'BDD'!$A$1:$S$567,15,FALSE)=0,"Critère non évalué","")</f>
        <v>1770</v>
      </c>
      <c r="I31" t="s" s="552">
        <f>_xlfn.IFERROR(IF(VLOOKUP($E31,'BDD'!$A$1:$S$567,MATCH(I$10,'BDD'!$A$1:$P$1,0),FALSE)=0,"",VLOOKUP($E31,'BDD'!$A$1:$S$567,MATCH(I$10,'BDD'!$A$1:$P$1,0),FALSE)),"")</f>
        <v>263</v>
      </c>
      <c r="J31" s="556"/>
      <c r="K31" t="s" s="540">
        <f>_xlfn.IFERROR(IF(VLOOKUP($E31,'BDD'!$A$1:$S$567,MATCH(K$10,'BDD'!$A$1:$P$1,0),FALSE)=0,"",VLOOKUP($E31,'BDD'!$A$1:$S$567,MATCH(K$10,'BDD'!$A$1:$P$1,0),FALSE)),"")</f>
        <v>1117</v>
      </c>
      <c r="L31" s="550"/>
      <c r="M31" s="555"/>
      <c r="N31" s="555"/>
      <c r="O31" s="534"/>
      <c r="P31" s="890"/>
    </row>
    <row r="32" ht="130.05" customHeight="1">
      <c r="A32" s="887"/>
      <c r="B32" s="542"/>
      <c r="C32" t="s" s="543">
        <f>IF(LEFT(RIGHT($B$1,2),1)=" ",RIGHT($B$1,1),RIGHT($B$1,2))</f>
        <v>2235</v>
      </c>
      <c r="D32" s="544">
        <f>IF(LEFT(F32,14)="Bonne pratique",D31+1,D31)</f>
        <v>2</v>
      </c>
      <c r="E32" t="s" s="545">
        <f>C32&amp;D32&amp;RIGHT(F32,1)</f>
        <v>2249</v>
      </c>
      <c r="F32" t="s" s="546">
        <v>1778</v>
      </c>
      <c r="G32" t="s" s="547">
        <f>_xlfn.IFERROR(IF(VLOOKUP($E32,'BDD'!$A$1:$S$567,MATCH(G$10,'BDD'!$A$1:$P$1,0),FALSE)=0,"",VLOOKUP($E32,'BDD'!$A$1:$S$567,MATCH(G$10,'BDD'!$A$1:$P$1,0),FALSE)),"")</f>
        <v>1119</v>
      </c>
      <c r="H32" t="s" s="548">
        <f>IF(VLOOKUP(E32,'BDD'!$A$1:$S$567,15,FALSE)=0,"Critère non évalué","")</f>
        <v>1770</v>
      </c>
      <c r="I32" t="s" s="546">
        <f>_xlfn.IFERROR(IF(VLOOKUP($E32,'BDD'!$A$1:$S$567,MATCH(I$10,'BDD'!$A$1:$P$1,0),FALSE)=0,"",VLOOKUP($E32,'BDD'!$A$1:$S$567,MATCH(I$10,'BDD'!$A$1:$P$1,0),FALSE)),"")</f>
        <v>263</v>
      </c>
      <c r="J32" s="549"/>
      <c r="K32" t="s" s="547">
        <f>_xlfn.IFERROR(IF(VLOOKUP($E32,'BDD'!$A$1:$S$567,MATCH(K$10,'BDD'!$A$1:$P$1,0),FALSE)=0,"",VLOOKUP($E32,'BDD'!$A$1:$S$567,MATCH(K$10,'BDD'!$A$1:$P$1,0),FALSE)),"")</f>
        <v>1120</v>
      </c>
      <c r="L32" s="550"/>
      <c r="M32" s="557"/>
      <c r="N32" s="557"/>
      <c r="O32" s="534"/>
      <c r="P32" s="890"/>
    </row>
    <row r="33" ht="130.05" customHeight="1">
      <c r="A33" s="887"/>
      <c r="B33" s="542"/>
      <c r="C33" t="s" s="543">
        <f>IF(LEFT(RIGHT($B$1,2),1)=" ",RIGHT($B$1,1),RIGHT($B$1,2))</f>
        <v>2235</v>
      </c>
      <c r="D33" s="544">
        <f>IF(LEFT(F33,14)="Bonne pratique",D32+1,D32)</f>
        <v>2</v>
      </c>
      <c r="E33" t="s" s="545">
        <f>C33&amp;D33&amp;RIGHT(F33,1)</f>
        <v>2250</v>
      </c>
      <c r="F33" t="s" s="552">
        <v>1780</v>
      </c>
      <c r="G33" t="s" s="540">
        <f>_xlfn.IFERROR(IF(VLOOKUP($E33,'BDD'!$A$1:$S$567,MATCH(G$10,'BDD'!$A$1:$P$1,0),FALSE)=0,"",VLOOKUP($E33,'BDD'!$A$1:$S$567,MATCH(G$10,'BDD'!$A$1:$P$1,0),FALSE)),"")</f>
        <v>1122</v>
      </c>
      <c r="H33" t="s" s="553">
        <f>IF(VLOOKUP(E33,'BDD'!$A$1:$S$567,15,FALSE)=0,"Critère non évalué","")</f>
        <v>1770</v>
      </c>
      <c r="I33" t="s" s="552">
        <f>_xlfn.IFERROR(IF(VLOOKUP($E33,'BDD'!$A$1:$S$567,MATCH(I$10,'BDD'!$A$1:$P$1,0),FALSE)=0,"",VLOOKUP($E33,'BDD'!$A$1:$S$567,MATCH(I$10,'BDD'!$A$1:$P$1,0),FALSE)),"")</f>
        <v>291</v>
      </c>
      <c r="J33" s="554"/>
      <c r="K33" t="s" s="540">
        <f>_xlfn.IFERROR(IF(VLOOKUP($E33,'BDD'!$A$1:$S$567,MATCH(K$10,'BDD'!$A$1:$P$1,0),FALSE)=0,"",VLOOKUP($E33,'BDD'!$A$1:$S$567,MATCH(K$10,'BDD'!$A$1:$P$1,0),FALSE)),"")</f>
        <v>1123</v>
      </c>
      <c r="L33" s="550"/>
      <c r="M33" s="555"/>
      <c r="N33" s="555"/>
      <c r="O33" s="534"/>
      <c r="P33" s="890"/>
    </row>
    <row r="34" ht="130.05" customHeight="1" hidden="1">
      <c r="A34" s="887"/>
      <c r="B34" s="542"/>
      <c r="C34" t="s" s="543">
        <f>IF(LEFT(RIGHT($B$1,2),1)=" ",RIGHT($B$1,1),RIGHT($B$1,2))</f>
        <v>2235</v>
      </c>
      <c r="D34" s="544">
        <f>IF(LEFT(F34,14)="Bonne pratique",D33+1,D33)</f>
        <v>2</v>
      </c>
      <c r="E34" t="s" s="545">
        <f>C34&amp;D34&amp;RIGHT(F34,1)</f>
        <v>2251</v>
      </c>
      <c r="F34" t="s" s="546">
        <v>1782</v>
      </c>
      <c r="G34" t="s" s="547">
        <f>_xlfn.IFERROR(IF(VLOOKUP($E34,'BDD'!$A$1:$S$567,MATCH(G$10,'BDD'!$A$1:$P$1,0),FALSE)=0,"",VLOOKUP($E34,'BDD'!$A$1:$S$567,MATCH(G$10,'BDD'!$A$1:$P$1,0),FALSE)),"")</f>
      </c>
      <c r="H34" t="s" s="548">
        <f>IF(VLOOKUP(E34,'BDD'!$A$1:$S$567,15,FALSE)=0,"Critère non évalué","")</f>
        <v>1770</v>
      </c>
      <c r="I34" t="s" s="546">
        <f>_xlfn.IFERROR(IF(VLOOKUP($E34,'BDD'!$A$1:$S$567,MATCH(I$10,'BDD'!$A$1:$P$1,0),FALSE)=0,"",VLOOKUP($E34,'BDD'!$A$1:$S$567,MATCH(I$10,'BDD'!$A$1:$P$1,0),FALSE)),"")</f>
        <v>171</v>
      </c>
      <c r="J34" s="549"/>
      <c r="K34" t="s" s="547">
        <f>_xlfn.IFERROR(IF(VLOOKUP($E34,'BDD'!$A$1:$S$567,MATCH(K$10,'BDD'!$A$1:$P$1,0),FALSE)=0,"",VLOOKUP($E34,'BDD'!$A$1:$S$567,MATCH(K$10,'BDD'!$A$1:$P$1,0),FALSE)),"")</f>
      </c>
      <c r="L34" s="550"/>
      <c r="M34" s="557"/>
      <c r="N34" s="557"/>
      <c r="O34" s="534"/>
      <c r="P34" s="890"/>
    </row>
    <row r="35" ht="18" customHeight="1">
      <c r="A35" s="887"/>
      <c r="B35" s="61"/>
      <c r="C35" t="s" s="513">
        <f>IF(LEFT(RIGHT($B$1,2),1)=" ",RIGHT($B$1,1),RIGHT($B$1,2))</f>
        <v>2235</v>
      </c>
      <c r="D35" s="514">
        <f>IF(LEFT(F35,14)="Bonne pratique",D34+1,D34)</f>
        <v>2</v>
      </c>
      <c r="E35" t="s" s="558">
        <f>C35&amp;D35&amp;RIGHT(F35,1)</f>
        <v>2245</v>
      </c>
      <c r="F35" s="559"/>
      <c r="G35" t="s" s="560">
        <f>IF('Suppl'!B96=2,"Le vecteur n'est pas utilisé","")</f>
      </c>
      <c r="H35" s="561"/>
      <c r="I35" s="559"/>
      <c r="J35" s="561"/>
      <c r="K35" s="561"/>
      <c r="L35" s="510"/>
      <c r="M35" s="559"/>
      <c r="N35" s="559"/>
      <c r="O35" s="61"/>
      <c r="P35" s="890"/>
    </row>
    <row r="36" ht="15" customHeight="1">
      <c r="A36" s="887"/>
      <c r="B36" s="61"/>
      <c r="C36" t="s" s="513">
        <f>IF(LEFT(RIGHT($B$1,2),1)=" ",RIGHT($B$1,1),RIGHT($B$1,2))</f>
        <v>2235</v>
      </c>
      <c r="D36" s="514">
        <f>IF(LEFT(F36,14)="Bonne pratique",D35+1,D35)</f>
        <v>2</v>
      </c>
      <c r="E36" t="s" s="558">
        <f>C36&amp;D36&amp;RIGHT(F36,1)</f>
        <v>2245</v>
      </c>
      <c r="F36" s="61"/>
      <c r="G36" s="61"/>
      <c r="H36" s="61"/>
      <c r="I36" s="61"/>
      <c r="J36" s="61"/>
      <c r="K36" s="61"/>
      <c r="L36" s="61"/>
      <c r="M36" s="61"/>
      <c r="N36" s="61"/>
      <c r="O36" s="61"/>
      <c r="P36" s="890"/>
    </row>
    <row r="37" ht="25.8" customHeight="1">
      <c r="A37" s="891"/>
      <c r="B37" s="512"/>
      <c r="C37" t="s" s="513">
        <f>IF(LEFT(RIGHT($B$1,2),1)=" ",RIGHT($B$1,1),RIGHT($B$1,2))</f>
        <v>2235</v>
      </c>
      <c r="D37" s="514">
        <f>IF(LEFT(F37,14)="Bonne pratique",D36+1,D36)</f>
        <v>3</v>
      </c>
      <c r="E37" t="s" s="558">
        <f>C37&amp;D37&amp;RIGHT(F37,1)</f>
        <v>2252</v>
      </c>
      <c r="F37" t="s" s="516">
        <v>1797</v>
      </c>
      <c r="G37" s="517"/>
      <c r="H37" s="518"/>
      <c r="I37" s="519"/>
      <c r="J37" t="s" s="520">
        <f>VLOOKUP(E44,'BDD'!$A$2:$N$567,6,FALSE)</f>
        <v>1125</v>
      </c>
      <c r="K37" s="521"/>
      <c r="L37" s="517"/>
      <c r="M37" s="517"/>
      <c r="N37" s="517"/>
      <c r="O37" s="512"/>
      <c r="P37" s="892"/>
    </row>
    <row r="38" ht="15" customHeight="1">
      <c r="A38" s="887"/>
      <c r="B38" s="61"/>
      <c r="C38" t="s" s="513">
        <f>IF(LEFT(RIGHT($B$1,2),1)=" ",RIGHT($B$1,1),RIGHT($B$1,2))</f>
        <v>2235</v>
      </c>
      <c r="D38" s="514">
        <f>IF(LEFT(F38,14)="Bonne pratique",D37+1,D37)</f>
        <v>3</v>
      </c>
      <c r="E38" t="s" s="558">
        <f>C38&amp;D38&amp;RIGHT(F38,1)</f>
        <v>2253</v>
      </c>
      <c r="F38" s="61"/>
      <c r="G38" s="61"/>
      <c r="H38" s="61"/>
      <c r="I38" s="61"/>
      <c r="J38" s="61"/>
      <c r="K38" s="61"/>
      <c r="L38" s="61"/>
      <c r="M38" s="61"/>
      <c r="N38" s="61"/>
      <c r="O38" s="61"/>
      <c r="P38" s="890"/>
    </row>
    <row r="39" ht="18" customHeight="1">
      <c r="A39" s="893"/>
      <c r="B39" s="524"/>
      <c r="C39" t="s" s="513">
        <f>IF(LEFT(RIGHT($B$1,2),1)=" ",RIGHT($B$1,1),RIGHT($B$1,2))</f>
        <v>2235</v>
      </c>
      <c r="D39" s="514">
        <f>IF(LEFT(F39,14)="Bonne pratique",D38+1,D38)</f>
        <v>3</v>
      </c>
      <c r="E39" t="s" s="558">
        <f>C39&amp;D39&amp;RIGHT(F39,1)</f>
        <v>2253</v>
      </c>
      <c r="F39" s="524"/>
      <c r="G39" s="524"/>
      <c r="H39" s="524"/>
      <c r="I39" s="525"/>
      <c r="J39" t="s" s="526">
        <v>1126</v>
      </c>
      <c r="K39" s="525"/>
      <c r="L39" s="524"/>
      <c r="M39" s="524"/>
      <c r="N39" s="524"/>
      <c r="O39" s="524"/>
      <c r="P39" s="894"/>
    </row>
    <row r="40" ht="18" customHeight="1">
      <c r="A40" s="887"/>
      <c r="B40" s="61"/>
      <c r="C40" t="s" s="513">
        <f>IF(LEFT(RIGHT($B$1,2),1)=" ",RIGHT($B$1,1),RIGHT($B$1,2))</f>
        <v>2235</v>
      </c>
      <c r="D40" s="514">
        <f>IF(LEFT(F40,14)="Bonne pratique",D39+1,D39)</f>
        <v>3</v>
      </c>
      <c r="E40" t="s" s="558">
        <f>C40&amp;D40&amp;RIGHT(F40,1)</f>
        <v>2253</v>
      </c>
      <c r="F40" s="61"/>
      <c r="G40" s="61"/>
      <c r="H40" s="61"/>
      <c r="I40" s="61"/>
      <c r="J40" s="528"/>
      <c r="K40" s="61"/>
      <c r="L40" s="61"/>
      <c r="M40" s="529"/>
      <c r="N40" s="529"/>
      <c r="O40" s="61"/>
      <c r="P40" s="890"/>
    </row>
    <row r="41" ht="15" customHeight="1">
      <c r="A41" s="887"/>
      <c r="B41" s="61"/>
      <c r="C41" t="s" s="513">
        <f>IF(LEFT(RIGHT($B$1,2),1)=" ",RIGHT($B$1,1),RIGHT($B$1,2))</f>
        <v>2235</v>
      </c>
      <c r="D41" s="514">
        <f>IF(LEFT(F41,14)="Bonne pratique",D40+1,D40)</f>
        <v>3</v>
      </c>
      <c r="E41" t="s" s="558">
        <f>C41&amp;D41&amp;RIGHT(F41,1)</f>
        <v>2253</v>
      </c>
      <c r="F41" s="61"/>
      <c r="G41" s="529"/>
      <c r="H41" s="529"/>
      <c r="I41" s="529"/>
      <c r="J41" s="530"/>
      <c r="K41" s="529"/>
      <c r="L41" s="542"/>
      <c r="M41" t="s" s="562">
        <v>1763</v>
      </c>
      <c r="N41" s="563"/>
      <c r="O41" s="534"/>
      <c r="P41" s="890"/>
    </row>
    <row r="42" ht="33" customHeight="1">
      <c r="A42" s="887"/>
      <c r="B42" s="61"/>
      <c r="C42" t="s" s="513">
        <f>IF(LEFT(RIGHT($B$1,2),1)=" ",RIGHT($B$1,1),RIGHT($B$1,2))</f>
        <v>2235</v>
      </c>
      <c r="D42" s="514">
        <f>IF(LEFT(F42,14)="Bonne pratique",D41+1,D41)</f>
        <v>3</v>
      </c>
      <c r="E42" t="s" s="558">
        <f>C42&amp;D42&amp;RIGHT(F42,1)</f>
        <v>2253</v>
      </c>
      <c r="F42" s="535"/>
      <c r="G42" t="s" s="536">
        <v>244</v>
      </c>
      <c r="H42" t="s" s="536">
        <v>1764</v>
      </c>
      <c r="I42" t="s" s="536">
        <v>1787</v>
      </c>
      <c r="J42" t="s" s="536">
        <v>1765</v>
      </c>
      <c r="K42" t="s" s="536">
        <v>1788</v>
      </c>
      <c r="L42" s="538"/>
      <c r="M42" t="s" s="539">
        <v>1766</v>
      </c>
      <c r="N42" t="s" s="540">
        <v>1767</v>
      </c>
      <c r="O42" s="534"/>
      <c r="P42" s="890"/>
    </row>
    <row r="43" ht="15" customHeight="1">
      <c r="A43" s="887"/>
      <c r="B43" s="61"/>
      <c r="C43" t="s" s="513">
        <f>IF(LEFT(RIGHT($B$1,2),1)=" ",RIGHT($B$1,1),RIGHT($B$1,2))</f>
        <v>2235</v>
      </c>
      <c r="D43" s="514">
        <f>IF(LEFT(F43,14)="Bonne pratique",D42+1,D42)</f>
        <v>3</v>
      </c>
      <c r="E43" t="s" s="558">
        <f>C43&amp;D43&amp;RIGHT(F43,1)</f>
        <v>2253</v>
      </c>
      <c r="F43" s="529"/>
      <c r="G43" s="541"/>
      <c r="H43" s="541"/>
      <c r="I43" s="541"/>
      <c r="J43" s="541"/>
      <c r="K43" s="541"/>
      <c r="L43" s="61"/>
      <c r="M43" s="541"/>
      <c r="N43" s="541"/>
      <c r="O43" s="61"/>
      <c r="P43" s="890"/>
    </row>
    <row r="44" ht="130.05" customHeight="1">
      <c r="A44" s="887"/>
      <c r="B44" s="542"/>
      <c r="C44" t="s" s="543">
        <f>IF(LEFT(RIGHT($B$1,2),1)=" ",RIGHT($B$1,1),RIGHT($B$1,2))</f>
        <v>2235</v>
      </c>
      <c r="D44" s="544">
        <f>IF(LEFT(F44,14)="Bonne pratique",D43+1,D43)</f>
        <v>3</v>
      </c>
      <c r="E44" t="s" s="545">
        <f>C44&amp;D44&amp;RIGHT(F44,1)</f>
        <v>2254</v>
      </c>
      <c r="F44" t="s" s="546">
        <v>1769</v>
      </c>
      <c r="G44" t="s" s="547">
        <f>_xlfn.IFERROR(IF(VLOOKUP($E44,'BDD'!$A$1:$S$567,MATCH(G$10,'BDD'!$A$1:$P$1,0),FALSE)=0,"",VLOOKUP($E44,'BDD'!$A$1:$S$567,MATCH(G$10,'BDD'!$A$1:$P$1,0),FALSE)),"")</f>
        <v>1127</v>
      </c>
      <c r="H44" t="s" s="548">
        <f>IF(VLOOKUP(E44,'BDD'!$A$1:$S$567,15,FALSE)=0,"Critère non évalué","")</f>
        <v>1770</v>
      </c>
      <c r="I44" t="s" s="546">
        <f>_xlfn.IFERROR(IF(VLOOKUP($E44,'BDD'!$A$1:$S$567,MATCH(I$10,'BDD'!$A$1:$P$1,0),FALSE)=0,"",VLOOKUP($E44,'BDD'!$A$1:$S$567,MATCH(I$10,'BDD'!$A$1:$P$1,0),FALSE)),"")</f>
        <v>263</v>
      </c>
      <c r="J44" s="549"/>
      <c r="K44" t="s" s="547">
        <f>_xlfn.IFERROR(IF(VLOOKUP($E44,'BDD'!$A$1:$S$567,MATCH(K$10,'BDD'!$A$1:$P$1,0),FALSE)=0,"",VLOOKUP($E44,'BDD'!$A$1:$S$567,MATCH(K$10,'BDD'!$A$1:$P$1,0),FALSE)),"")</f>
        <v>1128</v>
      </c>
      <c r="L44" s="550"/>
      <c r="M44" s="551"/>
      <c r="N44" s="551"/>
      <c r="O44" s="534"/>
      <c r="P44" s="890"/>
    </row>
    <row r="45" ht="150" customHeight="1">
      <c r="A45" s="887"/>
      <c r="B45" s="542"/>
      <c r="C45" t="s" s="543">
        <f>IF(LEFT(RIGHT($B$1,2),1)=" ",RIGHT($B$1,1),RIGHT($B$1,2))</f>
        <v>2235</v>
      </c>
      <c r="D45" s="544">
        <f>IF(LEFT(F45,14)="Bonne pratique",D44+1,D44)</f>
        <v>3</v>
      </c>
      <c r="E45" t="s" s="545">
        <f>C45&amp;D45&amp;RIGHT(F45,1)</f>
        <v>2255</v>
      </c>
      <c r="F45" t="s" s="552">
        <v>1772</v>
      </c>
      <c r="G45" t="s" s="540">
        <f>_xlfn.IFERROR(IF(VLOOKUP($E45,'BDD'!$A$1:$S$567,MATCH(G$10,'BDD'!$A$1:$P$1,0),FALSE)=0,"",VLOOKUP($E45,'BDD'!$A$1:$S$567,MATCH(G$10,'BDD'!$A$1:$P$1,0),FALSE)),"")</f>
        <v>1130</v>
      </c>
      <c r="H45" t="s" s="553">
        <f>IF(VLOOKUP(E45,'BDD'!$A$1:$S$567,15,FALSE)=0,"Critère non évalué","")</f>
        <v>1770</v>
      </c>
      <c r="I45" t="s" s="552">
        <f>_xlfn.IFERROR(IF(VLOOKUP($E45,'BDD'!$A$1:$S$567,MATCH(I$10,'BDD'!$A$1:$P$1,0),FALSE)=0,"",VLOOKUP($E45,'BDD'!$A$1:$S$567,MATCH(I$10,'BDD'!$A$1:$P$1,0),FALSE)),"")</f>
        <v>283</v>
      </c>
      <c r="J45" s="554"/>
      <c r="K45" t="s" s="540">
        <f>_xlfn.IFERROR(IF(VLOOKUP($E45,'BDD'!$A$1:$S$567,MATCH(K$10,'BDD'!$A$1:$P$1,0),FALSE)=0,"",VLOOKUP($E45,'BDD'!$A$1:$S$567,MATCH(K$10,'BDD'!$A$1:$P$1,0),FALSE)),"")</f>
        <v>1131</v>
      </c>
      <c r="L45" s="550"/>
      <c r="M45" s="555"/>
      <c r="N45" s="555"/>
      <c r="O45" s="534"/>
      <c r="P45" s="890"/>
    </row>
    <row r="46" ht="130.05" customHeight="1">
      <c r="A46" s="887"/>
      <c r="B46" s="542"/>
      <c r="C46" t="s" s="543">
        <f>IF(LEFT(RIGHT($B$1,2),1)=" ",RIGHT($B$1,1),RIGHT($B$1,2))</f>
        <v>2235</v>
      </c>
      <c r="D46" s="544">
        <f>IF(LEFT(F46,14)="Bonne pratique",D45+1,D45)</f>
        <v>3</v>
      </c>
      <c r="E46" t="s" s="545">
        <f>C46&amp;D46&amp;RIGHT(F46,1)</f>
        <v>2252</v>
      </c>
      <c r="F46" t="s" s="546">
        <v>1774</v>
      </c>
      <c r="G46" t="s" s="547">
        <f>_xlfn.IFERROR(IF(VLOOKUP($E46,'BDD'!$A$1:$S$567,MATCH(G$10,'BDD'!$A$1:$P$1,0),FALSE)=0,"",VLOOKUP($E46,'BDD'!$A$1:$S$567,MATCH(G$10,'BDD'!$A$1:$P$1,0),FALSE)),"")</f>
        <v>1133</v>
      </c>
      <c r="H46" t="s" s="548">
        <f>IF(VLOOKUP(E46,'BDD'!$A$1:$S$567,15,FALSE)=0,"Critère non évalué","")</f>
        <v>1770</v>
      </c>
      <c r="I46" t="s" s="546">
        <v>283</v>
      </c>
      <c r="J46" s="549"/>
      <c r="K46" t="s" s="547">
        <f>_xlfn.IFERROR(IF(VLOOKUP($E46,'BDD'!$A$1:$S$567,MATCH(K$10,'BDD'!$A$1:$P$1,0),FALSE)=0,"",VLOOKUP($E46,'BDD'!$A$1:$S$567,MATCH(K$10,'BDD'!$A$1:$P$1,0),FALSE)),"")</f>
        <v>1134</v>
      </c>
      <c r="L46" s="550"/>
      <c r="M46" s="551"/>
      <c r="N46" s="551"/>
      <c r="O46" s="534"/>
      <c r="P46" s="890"/>
    </row>
    <row r="47" ht="120" customHeight="1">
      <c r="A47" s="887"/>
      <c r="B47" s="542"/>
      <c r="C47" t="s" s="543">
        <f>IF(LEFT(RIGHT($B$1,2),1)=" ",RIGHT($B$1,1),RIGHT($B$1,2))</f>
        <v>2235</v>
      </c>
      <c r="D47" s="544">
        <f>IF(LEFT(F47,14)="Bonne pratique",D46+1,D46)</f>
        <v>3</v>
      </c>
      <c r="E47" t="s" s="545">
        <f>C47&amp;D47&amp;RIGHT(F47,1)</f>
        <v>2256</v>
      </c>
      <c r="F47" t="s" s="552">
        <v>1776</v>
      </c>
      <c r="G47" t="s" s="540">
        <f>_xlfn.IFERROR(IF(VLOOKUP($E47,'BDD'!$A$1:$S$567,MATCH(G$10,'BDD'!$A$1:$P$1,0),FALSE)=0,"",VLOOKUP($E47,'BDD'!$A$1:$S$567,MATCH(G$10,'BDD'!$A$1:$P$1,0),FALSE)),"")</f>
        <v>1136</v>
      </c>
      <c r="H47" t="s" s="553">
        <f>IF(VLOOKUP(E47,'BDD'!$A$1:$S$567,15,FALSE)=0,"Critère non évalué","")</f>
        <v>1770</v>
      </c>
      <c r="I47" t="s" s="552">
        <v>256</v>
      </c>
      <c r="J47" s="556"/>
      <c r="K47" t="s" s="540">
        <f>_xlfn.IFERROR(IF(VLOOKUP($E47,'BDD'!$A$1:$S$567,MATCH(K$10,'BDD'!$A$1:$P$1,0),FALSE)=0,"",VLOOKUP($E47,'BDD'!$A$1:$S$567,MATCH(K$10,'BDD'!$A$1:$P$1,0),FALSE)),"")</f>
        <v>1137</v>
      </c>
      <c r="L47" s="550"/>
      <c r="M47" s="555"/>
      <c r="N47" s="555"/>
      <c r="O47" s="534"/>
      <c r="P47" s="890"/>
    </row>
    <row r="48" ht="130.05" customHeight="1">
      <c r="A48" s="887"/>
      <c r="B48" s="542"/>
      <c r="C48" t="s" s="543">
        <f>IF(LEFT(RIGHT($B$1,2),1)=" ",RIGHT($B$1,1),RIGHT($B$1,2))</f>
        <v>2235</v>
      </c>
      <c r="D48" s="544">
        <f>IF(LEFT(F48,14)="Bonne pratique",D47+1,D47)</f>
        <v>3</v>
      </c>
      <c r="E48" t="s" s="545">
        <f>C48&amp;D48&amp;RIGHT(F48,1)</f>
        <v>2257</v>
      </c>
      <c r="F48" t="s" s="546">
        <v>1778</v>
      </c>
      <c r="G48" t="s" s="547">
        <f>_xlfn.IFERROR(IF(VLOOKUP($E48,'BDD'!$A$1:$S$567,MATCH(G$10,'BDD'!$A$1:$P$1,0),FALSE)=0,"",VLOOKUP($E48,'BDD'!$A$1:$S$567,MATCH(G$10,'BDD'!$A$1:$P$1,0),FALSE)),"")</f>
        <v>1139</v>
      </c>
      <c r="H48" t="s" s="548">
        <f>IF(VLOOKUP(E48,'BDD'!$A$1:$S$567,15,FALSE)=0,"Critère non évalué","")</f>
        <v>1770</v>
      </c>
      <c r="I48" t="s" s="546">
        <v>283</v>
      </c>
      <c r="J48" s="549"/>
      <c r="K48" t="s" s="547">
        <f>_xlfn.IFERROR(IF(VLOOKUP($E48,'BDD'!$A$1:$S$567,MATCH(K$10,'BDD'!$A$1:$P$1,0),FALSE)=0,"",VLOOKUP($E48,'BDD'!$A$1:$S$567,MATCH(K$10,'BDD'!$A$1:$P$1,0),FALSE)),"")</f>
        <v>1140</v>
      </c>
      <c r="L48" s="550"/>
      <c r="M48" s="551"/>
      <c r="N48" s="551"/>
      <c r="O48" s="534"/>
      <c r="P48" s="890"/>
    </row>
    <row r="49" ht="120" customHeight="1" hidden="1">
      <c r="A49" s="887"/>
      <c r="B49" s="542"/>
      <c r="C49" t="s" s="543">
        <f>IF(LEFT(RIGHT($B$1,2),1)=" ",RIGHT($B$1,1),RIGHT($B$1,2))</f>
        <v>2235</v>
      </c>
      <c r="D49" s="544">
        <f>IF(LEFT(F49,14)="Bonne pratique",D48+1,D48)</f>
        <v>3</v>
      </c>
      <c r="E49" t="s" s="545">
        <f>C49&amp;D49&amp;RIGHT(F49,1)</f>
        <v>2258</v>
      </c>
      <c r="F49" t="s" s="552">
        <v>1780</v>
      </c>
      <c r="G49" t="s" s="540">
        <f>_xlfn.IFERROR(IF(VLOOKUP($E49,'BDD'!$A$1:$S$567,MATCH(G$10,'BDD'!$A$1:$P$1,0),FALSE)=0,"",VLOOKUP($E49,'BDD'!$A$1:$S$567,MATCH(G$10,'BDD'!$A$1:$P$1,0),FALSE)),"")</f>
      </c>
      <c r="H49" t="s" s="553">
        <f>IF(VLOOKUP(E49,'BDD'!$A$1:$S$567,15,FALSE)=0,"Critère non évalué","")</f>
        <v>1770</v>
      </c>
      <c r="I49" t="s" s="552">
        <v>256</v>
      </c>
      <c r="J49" s="556"/>
      <c r="K49" t="s" s="540">
        <f>_xlfn.IFERROR(IF(VLOOKUP($E49,'BDD'!$A$1:$S$567,MATCH(K$10,'BDD'!$A$1:$P$1,0),FALSE)=0,"",VLOOKUP($E49,'BDD'!$A$1:$S$567,MATCH(K$10,'BDD'!$A$1:$P$1,0),FALSE)),"")</f>
      </c>
      <c r="L49" s="550"/>
      <c r="M49" s="555"/>
      <c r="N49" s="555"/>
      <c r="O49" s="534"/>
      <c r="P49" s="890"/>
    </row>
    <row r="50" ht="130.05" customHeight="1" hidden="1">
      <c r="A50" s="887"/>
      <c r="B50" s="542"/>
      <c r="C50" t="s" s="543">
        <f>IF(LEFT(RIGHT($B$1,2),1)=" ",RIGHT($B$1,1),RIGHT($B$1,2))</f>
        <v>2235</v>
      </c>
      <c r="D50" s="544">
        <f>IF(LEFT(F50,14)="Bonne pratique",D49+1,D49)</f>
        <v>3</v>
      </c>
      <c r="E50" t="s" s="545">
        <f>C50&amp;D50&amp;RIGHT(F50,1)</f>
        <v>2259</v>
      </c>
      <c r="F50" t="s" s="546">
        <v>1782</v>
      </c>
      <c r="G50" t="s" s="547">
        <f>_xlfn.IFERROR(IF(VLOOKUP($E50,'BDD'!$A$1:$S$567,MATCH(G$10,'BDD'!$A$1:$P$1,0),FALSE)=0,"",VLOOKUP($E50,'BDD'!$A$1:$S$567,MATCH(G$10,'BDD'!$A$1:$P$1,0),FALSE)),"")</f>
      </c>
      <c r="H50" t="s" s="548">
        <f>IF(VLOOKUP(E50,'BDD'!$A$1:$S$567,15,FALSE)=0,"Critère non évalué","")</f>
        <v>1770</v>
      </c>
      <c r="I50" t="s" s="546">
        <v>283</v>
      </c>
      <c r="J50" s="549"/>
      <c r="K50" t="s" s="547">
        <f>_xlfn.IFERROR(IF(VLOOKUP($E50,'BDD'!$A$1:$S$567,MATCH(K$10,'BDD'!$A$1:$P$1,0),FALSE)=0,"",VLOOKUP($E50,'BDD'!$A$1:$S$567,MATCH(K$10,'BDD'!$A$1:$P$1,0),FALSE)),"")</f>
      </c>
      <c r="L50" s="550"/>
      <c r="M50" s="551"/>
      <c r="N50" s="551"/>
      <c r="O50" s="534"/>
      <c r="P50" s="890"/>
    </row>
    <row r="51" ht="18" customHeight="1">
      <c r="A51" s="887"/>
      <c r="B51" s="61"/>
      <c r="C51" t="s" s="513">
        <f>IF(LEFT(RIGHT($B$1,2),1)=" ",RIGHT($B$1,1),RIGHT($B$1,2))</f>
        <v>2235</v>
      </c>
      <c r="D51" s="61"/>
      <c r="E51" s="565"/>
      <c r="F51" s="559"/>
      <c r="G51" s="561"/>
      <c r="H51" s="561"/>
      <c r="I51" s="561"/>
      <c r="J51" s="561"/>
      <c r="K51" s="561"/>
      <c r="L51" s="510"/>
      <c r="M51" s="559"/>
      <c r="N51" s="559"/>
      <c r="O51" s="61"/>
      <c r="P51" s="890"/>
    </row>
    <row r="52" ht="15" customHeight="1">
      <c r="A52" s="887"/>
      <c r="B52" s="61"/>
      <c r="C52" t="s" s="513">
        <f>IF(LEFT(RIGHT($B$1,2),1)=" ",RIGHT($B$1,1),RIGHT($B$1,2))</f>
        <v>2235</v>
      </c>
      <c r="D52" s="514">
        <f>IF(LEFT(F52,14)="Bonne pratique",D48+1,D48)</f>
        <v>3</v>
      </c>
      <c r="E52" t="s" s="558">
        <f>C52&amp;D52&amp;RIGHT(F52,1)</f>
        <v>2253</v>
      </c>
      <c r="F52" s="61"/>
      <c r="G52" s="61"/>
      <c r="H52" s="61"/>
      <c r="I52" s="61"/>
      <c r="J52" s="61"/>
      <c r="K52" s="61"/>
      <c r="L52" s="61"/>
      <c r="M52" s="61"/>
      <c r="N52" s="61"/>
      <c r="O52" s="61"/>
      <c r="P52" s="890"/>
    </row>
    <row r="53" ht="25.8" customHeight="1">
      <c r="A53" s="891"/>
      <c r="B53" s="512"/>
      <c r="C53" t="s" s="513">
        <f>IF(LEFT(RIGHT($B$1,2),1)=" ",RIGHT($B$1,1),RIGHT($B$1,2))</f>
        <v>2235</v>
      </c>
      <c r="D53" s="514">
        <f>IF(LEFT(F53,14)="Bonne pratique",D52+1,D52)</f>
        <v>4</v>
      </c>
      <c r="E53" t="s" s="558">
        <f>C53&amp;D53&amp;RIGHT(F53,1)</f>
        <v>2260</v>
      </c>
      <c r="F53" t="s" s="516">
        <v>1806</v>
      </c>
      <c r="G53" s="517"/>
      <c r="H53" s="518"/>
      <c r="I53" s="519"/>
      <c r="J53" t="s" s="520">
        <f>VLOOKUP(E60,'BDD'!$A$2:$N$567,6,FALSE)</f>
        <v>1143</v>
      </c>
      <c r="K53" s="521"/>
      <c r="L53" s="517"/>
      <c r="M53" s="517"/>
      <c r="N53" s="517"/>
      <c r="O53" s="512"/>
      <c r="P53" s="892"/>
    </row>
    <row r="54" ht="15" customHeight="1">
      <c r="A54" s="887"/>
      <c r="B54" s="61"/>
      <c r="C54" t="s" s="513">
        <f>IF(LEFT(RIGHT($B$1,2),1)=" ",RIGHT($B$1,1),RIGHT($B$1,2))</f>
        <v>2235</v>
      </c>
      <c r="D54" s="514">
        <f>IF(LEFT(F54,14)="Bonne pratique",D53+1,D53)</f>
        <v>4</v>
      </c>
      <c r="E54" t="s" s="558">
        <f>C54&amp;D54&amp;RIGHT(F54,1)</f>
        <v>2261</v>
      </c>
      <c r="F54" s="61"/>
      <c r="G54" s="61"/>
      <c r="H54" s="61"/>
      <c r="I54" s="61"/>
      <c r="J54" s="61"/>
      <c r="K54" s="61"/>
      <c r="L54" s="61"/>
      <c r="M54" s="61"/>
      <c r="N54" s="61"/>
      <c r="O54" s="61"/>
      <c r="P54" s="890"/>
    </row>
    <row r="55" ht="18" customHeight="1">
      <c r="A55" s="893"/>
      <c r="B55" s="524"/>
      <c r="C55" t="s" s="513">
        <f>IF(LEFT(RIGHT($B$1,2),1)=" ",RIGHT($B$1,1),RIGHT($B$1,2))</f>
        <v>2235</v>
      </c>
      <c r="D55" s="514">
        <f>IF(LEFT(F55,14)="Bonne pratique",D54+1,D54)</f>
        <v>4</v>
      </c>
      <c r="E55" t="s" s="558">
        <f>C55&amp;D55&amp;RIGHT(F55,1)</f>
        <v>2261</v>
      </c>
      <c r="F55" s="524"/>
      <c r="G55" s="524"/>
      <c r="H55" s="524"/>
      <c r="I55" s="525"/>
      <c r="J55" t="s" s="526">
        <v>1144</v>
      </c>
      <c r="K55" s="525"/>
      <c r="L55" s="524"/>
      <c r="M55" s="524"/>
      <c r="N55" s="524"/>
      <c r="O55" s="524"/>
      <c r="P55" s="894"/>
    </row>
    <row r="56" ht="18" customHeight="1">
      <c r="A56" s="887"/>
      <c r="B56" s="61"/>
      <c r="C56" t="s" s="513">
        <f>IF(LEFT(RIGHT($B$1,2),1)=" ",RIGHT($B$1,1),RIGHT($B$1,2))</f>
        <v>2235</v>
      </c>
      <c r="D56" s="514">
        <f>IF(LEFT(F56,14)="Bonne pratique",D55+1,D55)</f>
        <v>4</v>
      </c>
      <c r="E56" t="s" s="558">
        <f>C56&amp;D56&amp;RIGHT(F56,1)</f>
        <v>2261</v>
      </c>
      <c r="F56" s="61"/>
      <c r="G56" s="61"/>
      <c r="H56" s="61"/>
      <c r="I56" s="61"/>
      <c r="J56" s="528"/>
      <c r="K56" s="61"/>
      <c r="L56" s="61"/>
      <c r="M56" s="529"/>
      <c r="N56" s="529"/>
      <c r="O56" s="61"/>
      <c r="P56" s="890"/>
    </row>
    <row r="57" ht="15" customHeight="1">
      <c r="A57" s="887"/>
      <c r="B57" s="61"/>
      <c r="C57" t="s" s="513">
        <f>IF(LEFT(RIGHT($B$1,2),1)=" ",RIGHT($B$1,1),RIGHT($B$1,2))</f>
        <v>2235</v>
      </c>
      <c r="D57" s="514">
        <f>IF(LEFT(F57,14)="Bonne pratique",D56+1,D56)</f>
        <v>4</v>
      </c>
      <c r="E57" t="s" s="558">
        <f>C57&amp;D57&amp;RIGHT(F57,1)</f>
        <v>2261</v>
      </c>
      <c r="F57" s="61"/>
      <c r="G57" s="529"/>
      <c r="H57" s="529"/>
      <c r="I57" s="529"/>
      <c r="J57" s="530"/>
      <c r="K57" s="529"/>
      <c r="L57" s="542"/>
      <c r="M57" t="s" s="562">
        <v>1763</v>
      </c>
      <c r="N57" s="563"/>
      <c r="O57" s="534"/>
      <c r="P57" s="890"/>
    </row>
    <row r="58" ht="33" customHeight="1">
      <c r="A58" s="887"/>
      <c r="B58" s="61"/>
      <c r="C58" t="s" s="513">
        <f>IF(LEFT(RIGHT($B$1,2),1)=" ",RIGHT($B$1,1),RIGHT($B$1,2))</f>
        <v>2235</v>
      </c>
      <c r="D58" s="514">
        <f>IF(LEFT(F58,14)="Bonne pratique",D57+1,D57)</f>
        <v>4</v>
      </c>
      <c r="E58" t="s" s="558">
        <f>C58&amp;D58&amp;RIGHT(F58,1)</f>
        <v>2261</v>
      </c>
      <c r="F58" s="535"/>
      <c r="G58" t="s" s="536">
        <v>244</v>
      </c>
      <c r="H58" t="s" s="536">
        <v>1764</v>
      </c>
      <c r="I58" t="s" s="536">
        <v>1787</v>
      </c>
      <c r="J58" t="s" s="536">
        <v>1765</v>
      </c>
      <c r="K58" t="s" s="536">
        <v>1788</v>
      </c>
      <c r="L58" s="538"/>
      <c r="M58" t="s" s="539">
        <v>1766</v>
      </c>
      <c r="N58" t="s" s="540">
        <v>1767</v>
      </c>
      <c r="O58" s="534"/>
      <c r="P58" s="890"/>
    </row>
    <row r="59" ht="15" customHeight="1">
      <c r="A59" s="887"/>
      <c r="B59" s="61"/>
      <c r="C59" t="s" s="513">
        <f>IF(LEFT(RIGHT($B$1,2),1)=" ",RIGHT($B$1,1),RIGHT($B$1,2))</f>
        <v>2235</v>
      </c>
      <c r="D59" s="514">
        <f>IF(LEFT(F59,14)="Bonne pratique",D58+1,D58)</f>
        <v>4</v>
      </c>
      <c r="E59" t="s" s="558">
        <f>C59&amp;D59&amp;RIGHT(F59,1)</f>
        <v>2261</v>
      </c>
      <c r="F59" s="529"/>
      <c r="G59" s="541"/>
      <c r="H59" s="541"/>
      <c r="I59" s="541"/>
      <c r="J59" s="541"/>
      <c r="K59" s="541"/>
      <c r="L59" s="61"/>
      <c r="M59" s="541"/>
      <c r="N59" s="541"/>
      <c r="O59" s="61"/>
      <c r="P59" s="890"/>
    </row>
    <row r="60" ht="130.05" customHeight="1">
      <c r="A60" s="887"/>
      <c r="B60" s="542"/>
      <c r="C60" t="s" s="543">
        <f>IF(LEFT(RIGHT($B$1,2),1)=" ",RIGHT($B$1,1),RIGHT($B$1,2))</f>
        <v>2235</v>
      </c>
      <c r="D60" s="544">
        <f>IF(LEFT(F60,14)="Bonne pratique",D59+1,D59)</f>
        <v>4</v>
      </c>
      <c r="E60" t="s" s="545">
        <f>C60&amp;D60&amp;RIGHT(F60,1)</f>
        <v>2262</v>
      </c>
      <c r="F60" t="s" s="546">
        <v>1769</v>
      </c>
      <c r="G60" t="s" s="547">
        <f>_xlfn.IFERROR(IF(VLOOKUP($E60,'BDD'!$A$1:$S$567,MATCH(G$10,'BDD'!$A$1:$P$1,0),FALSE)=0,"",VLOOKUP($E60,'BDD'!$A$1:$S$567,MATCH(G$10,'BDD'!$A$1:$P$1,0),FALSE)),"")</f>
        <v>1146</v>
      </c>
      <c r="H60" t="s" s="548">
        <f>IF(VLOOKUP(E60,'BDD'!$A$1:$S$567,15,FALSE)=0,"Critère non évalué","")</f>
        <v>1770</v>
      </c>
      <c r="I60" t="s" s="546">
        <f>_xlfn.IFERROR(IF(VLOOKUP($E60,'BDD'!$A$1:$S$567,MATCH(I$10,'BDD'!$A$1:$P$1,0),FALSE)=0,"",VLOOKUP($E60,'BDD'!$A$1:$S$567,MATCH(I$10,'BDD'!$A$1:$P$1,0),FALSE)),"")</f>
        <v>271</v>
      </c>
      <c r="J60" s="549"/>
      <c r="K60" t="s" s="547">
        <f>_xlfn.IFERROR(IF(VLOOKUP($E60,'BDD'!$A$1:$S$567,MATCH(K$10,'BDD'!$A$1:$P$1,0),FALSE)=0,"",VLOOKUP($E60,'BDD'!$A$1:$S$567,MATCH(K$10,'BDD'!$A$1:$P$1,0),FALSE)),"")</f>
        <v>1147</v>
      </c>
      <c r="L60" s="550"/>
      <c r="M60" s="551"/>
      <c r="N60" s="551"/>
      <c r="O60" s="534"/>
      <c r="P60" s="890"/>
    </row>
    <row r="61" ht="130.05" customHeight="1">
      <c r="A61" s="887"/>
      <c r="B61" s="542"/>
      <c r="C61" t="s" s="543">
        <f>IF(LEFT(RIGHT($B$1,2),1)=" ",RIGHT($B$1,1),RIGHT($B$1,2))</f>
        <v>2235</v>
      </c>
      <c r="D61" s="544">
        <f>IF(LEFT(F61,14)="Bonne pratique",D60+1,D60)</f>
        <v>4</v>
      </c>
      <c r="E61" t="s" s="545">
        <f>C61&amp;D61&amp;RIGHT(F61,1)</f>
        <v>2263</v>
      </c>
      <c r="F61" t="s" s="552">
        <v>1772</v>
      </c>
      <c r="G61" t="s" s="540">
        <f>_xlfn.IFERROR(IF(VLOOKUP($E61,'BDD'!$A$1:$S$567,MATCH(G$10,'BDD'!$A$1:$P$1,0),FALSE)=0,"",VLOOKUP($E61,'BDD'!$A$1:$S$567,MATCH(G$10,'BDD'!$A$1:$P$1,0),FALSE)),"")</f>
        <v>1149</v>
      </c>
      <c r="H61" t="s" s="553">
        <f>IF(VLOOKUP(E61,'BDD'!$A$1:$S$567,15,FALSE)=0,"Critère non évalué","")</f>
        <v>1770</v>
      </c>
      <c r="I61" t="s" s="552">
        <f>_xlfn.IFERROR(IF(VLOOKUP($E61,'BDD'!$A$1:$S$567,MATCH(I$10,'BDD'!$A$1:$P$1,0),FALSE)=0,"",VLOOKUP($E61,'BDD'!$A$1:$S$567,MATCH(I$10,'BDD'!$A$1:$P$1,0),FALSE)),"")</f>
        <v>271</v>
      </c>
      <c r="J61" s="554"/>
      <c r="K61" t="s" s="540">
        <f>_xlfn.IFERROR(IF(VLOOKUP($E61,'BDD'!$A$1:$S$567,MATCH(K$10,'BDD'!$A$1:$P$1,0),FALSE)=0,"",VLOOKUP($E61,'BDD'!$A$1:$S$567,MATCH(K$10,'BDD'!$A$1:$P$1,0),FALSE)),"")</f>
        <v>1150</v>
      </c>
      <c r="L61" s="550"/>
      <c r="M61" s="555"/>
      <c r="N61" s="555"/>
      <c r="O61" s="534"/>
      <c r="P61" s="890"/>
    </row>
    <row r="62" ht="130.05" customHeight="1">
      <c r="A62" s="887"/>
      <c r="B62" s="542"/>
      <c r="C62" t="s" s="543">
        <f>IF(LEFT(RIGHT($B$1,2),1)=" ",RIGHT($B$1,1),RIGHT($B$1,2))</f>
        <v>2235</v>
      </c>
      <c r="D62" s="544">
        <f>IF(LEFT(F62,14)="Bonne pratique",D61+1,D61)</f>
        <v>4</v>
      </c>
      <c r="E62" t="s" s="545">
        <f>C62&amp;D62&amp;RIGHT(F62,1)</f>
        <v>2264</v>
      </c>
      <c r="F62" t="s" s="546">
        <v>1774</v>
      </c>
      <c r="G62" s="567">
        <f>_xlfn.IFERROR(IF(VLOOKUP($E62,'BDD'!$A$1:$S$567,MATCH(G$10,'BDD'!$A$1:$P$1,0),FALSE)=0,"",VLOOKUP($E62,'BDD'!$A$1:$S$567,MATCH(G$10,'BDD'!$A$1:$P$1,0),FALSE)),"")</f>
      </c>
      <c r="H62" s="568">
        <f>IF(VLOOKUP(E62,'BDD'!$A$1:$S$567,15,FALSE)=0,"Critère non évalué","")</f>
      </c>
      <c r="I62" s="569">
        <f>_xlfn.IFERROR(IF(VLOOKUP($E62,'BDD'!$A$1:$S$567,MATCH(I$10,'BDD'!$A$1:$P$1,0),FALSE)=0,"",VLOOKUP($E62,'BDD'!$A$1:$S$567,MATCH(I$10,'BDD'!$A$1:$P$1,0),FALSE)),"")</f>
      </c>
      <c r="J62" s="549"/>
      <c r="K62" s="567">
        <f>_xlfn.IFERROR(IF(VLOOKUP($E62,'BDD'!$A$1:$S$567,MATCH(K$10,'BDD'!$A$1:$P$1,0),FALSE)=0,"",VLOOKUP($E62,'BDD'!$A$1:$S$567,MATCH(K$10,'BDD'!$A$1:$P$1,0),FALSE)),"")</f>
      </c>
      <c r="L62" s="550"/>
      <c r="M62" s="551"/>
      <c r="N62" s="551"/>
      <c r="O62" s="534"/>
      <c r="P62" s="890"/>
    </row>
    <row r="63" ht="130.05" customHeight="1">
      <c r="A63" s="887"/>
      <c r="B63" s="542"/>
      <c r="C63" t="s" s="543">
        <f>IF(LEFT(RIGHT($B$1,2),1)=" ",RIGHT($B$1,1),RIGHT($B$1,2))</f>
        <v>2235</v>
      </c>
      <c r="D63" s="544">
        <f>IF(LEFT(F63,14)="Bonne pratique",D62+1,D62)</f>
        <v>4</v>
      </c>
      <c r="E63" s="566">
        <f>C63&amp;D63&amp;RIGHT(F63,1)</f>
      </c>
      <c r="F63" t="s" s="552">
        <v>1776</v>
      </c>
      <c r="G63" s="557">
        <f>_xlfn.IFERROR(IF(VLOOKUP($E63,'BDD'!$A$1:$S$567,MATCH(G$10,'BDD'!$A$1:$P$1,0),FALSE)=0,"",VLOOKUP($E63,'BDD'!$A$1:$S$567,MATCH(G$10,'BDD'!$A$1:$P$1,0),FALSE)),"")</f>
      </c>
      <c r="H63" s="570">
        <f>IF(VLOOKUP(E63,'BDD'!$A$1:$S$567,15,FALSE)=0,"Critère non évalué","")</f>
      </c>
      <c r="I63" s="571">
        <f>_xlfn.IFERROR(IF(VLOOKUP($E63,'BDD'!$A$1:$S$567,MATCH(I$10,'BDD'!$A$1:$P$1,0),FALSE)=0,"",VLOOKUP($E63,'BDD'!$A$1:$S$567,MATCH(I$10,'BDD'!$A$1:$P$1,0),FALSE)),"")</f>
      </c>
      <c r="J63" s="556"/>
      <c r="K63" s="557">
        <f>_xlfn.IFERROR(IF(VLOOKUP($E63,'BDD'!$A$1:$S$567,MATCH(K$10,'BDD'!$A$1:$P$1,0),FALSE)=0,"",VLOOKUP($E63,'BDD'!$A$1:$S$567,MATCH(K$10,'BDD'!$A$1:$P$1,0),FALSE)),"")</f>
      </c>
      <c r="L63" s="550"/>
      <c r="M63" s="555"/>
      <c r="N63" s="555"/>
      <c r="O63" s="534"/>
      <c r="P63" s="890"/>
    </row>
    <row r="64" ht="130.05" customHeight="1" hidden="1">
      <c r="A64" s="887"/>
      <c r="B64" s="542"/>
      <c r="C64" t="s" s="543">
        <f>IF(LEFT(RIGHT($B$1,2),1)=" ",RIGHT($B$1,1),RIGHT($B$1,2))</f>
        <v>2235</v>
      </c>
      <c r="D64" s="550">
        <f>IF(LEFT(F64,14)="Bonne pratique",D63+1,D63)</f>
      </c>
      <c r="E64" s="566">
        <f>C64&amp;D64&amp;RIGHT(F64,1)</f>
      </c>
      <c r="F64" t="s" s="546">
        <v>1778</v>
      </c>
      <c r="G64" s="567">
        <f>_xlfn.IFERROR(IF(VLOOKUP($E64,'BDD'!$A$1:$S$567,MATCH(G$10,'BDD'!$A$1:$P$1,0),FALSE)=0,"",VLOOKUP($E64,'BDD'!$A$1:$S$567,MATCH(G$10,'BDD'!$A$1:$P$1,0),FALSE)),"")</f>
      </c>
      <c r="H64" s="568">
        <f>IF(VLOOKUP(E64,'BDD'!$A$1:$S$567,15,FALSE)=0,"Critère non évalué","")</f>
      </c>
      <c r="I64" s="569">
        <f>_xlfn.IFERROR(IF(VLOOKUP($E64,'BDD'!$A$1:$S$567,MATCH(I$10,'BDD'!$A$1:$P$1,0),FALSE)=0,"",VLOOKUP($E64,'BDD'!$A$1:$S$567,MATCH(I$10,'BDD'!$A$1:$P$1,0),FALSE)),"")</f>
      </c>
      <c r="J64" s="549"/>
      <c r="K64" s="567">
        <f>_xlfn.IFERROR(IF(VLOOKUP($E64,'BDD'!$A$1:$S$567,MATCH(K$10,'BDD'!$A$1:$P$1,0),FALSE)=0,"",VLOOKUP($E64,'BDD'!$A$1:$S$567,MATCH(K$10,'BDD'!$A$1:$P$1,0),FALSE)),"")</f>
      </c>
      <c r="L64" s="550"/>
      <c r="M64" s="557"/>
      <c r="N64" s="557"/>
      <c r="O64" s="534"/>
      <c r="P64" s="890"/>
    </row>
    <row r="65" ht="130.05" customHeight="1" hidden="1">
      <c r="A65" s="887"/>
      <c r="B65" s="542"/>
      <c r="C65" t="s" s="543">
        <f>IF(LEFT(RIGHT($B$1,2),1)=" ",RIGHT($B$1,1),RIGHT($B$1,2))</f>
        <v>2235</v>
      </c>
      <c r="D65" s="550">
        <f>IF(LEFT(F65,14)="Bonne pratique",D64+1,D64)</f>
      </c>
      <c r="E65" s="566">
        <f>C65&amp;D65&amp;RIGHT(F65,1)</f>
      </c>
      <c r="F65" t="s" s="552">
        <v>1780</v>
      </c>
      <c r="G65" s="557">
        <f>_xlfn.IFERROR(IF(VLOOKUP($E65,'BDD'!$A$1:$S$567,MATCH(G$10,'BDD'!$A$1:$P$1,0),FALSE)=0,"",VLOOKUP($E65,'BDD'!$A$1:$S$567,MATCH(G$10,'BDD'!$A$1:$P$1,0),FALSE)),"")</f>
      </c>
      <c r="H65" s="570">
        <f>IF(VLOOKUP(E65,'BDD'!$A$1:$S$567,15,FALSE)=0,"Critère non évalué","")</f>
      </c>
      <c r="I65" s="571">
        <f>_xlfn.IFERROR(IF(VLOOKUP($E65,'BDD'!$A$1:$S$567,MATCH(I$10,'BDD'!$A$1:$P$1,0),FALSE)=0,"",VLOOKUP($E65,'BDD'!$A$1:$S$567,MATCH(I$10,'BDD'!$A$1:$P$1,0),FALSE)),"")</f>
      </c>
      <c r="J65" s="554"/>
      <c r="K65" s="557">
        <f>_xlfn.IFERROR(IF(VLOOKUP($E65,'BDD'!$A$1:$S$567,MATCH(K$10,'BDD'!$A$1:$P$1,0),FALSE)=0,"",VLOOKUP($E65,'BDD'!$A$1:$S$567,MATCH(K$10,'BDD'!$A$1:$P$1,0),FALSE)),"")</f>
      </c>
      <c r="L65" s="550"/>
      <c r="M65" s="555"/>
      <c r="N65" s="555"/>
      <c r="O65" s="534"/>
      <c r="P65" s="890"/>
    </row>
    <row r="66" ht="130.05" customHeight="1" hidden="1">
      <c r="A66" s="887"/>
      <c r="B66" s="542"/>
      <c r="C66" t="s" s="543">
        <f>IF(LEFT(RIGHT($B$1,2),1)=" ",RIGHT($B$1,1),RIGHT($B$1,2))</f>
        <v>2235</v>
      </c>
      <c r="D66" s="550">
        <f>IF(LEFT(F66,14)="Bonne pratique",D65+1,D65)</f>
      </c>
      <c r="E66" s="566">
        <f>C66&amp;D66&amp;RIGHT(F66,1)</f>
      </c>
      <c r="F66" t="s" s="546">
        <v>1782</v>
      </c>
      <c r="G66" s="567">
        <f>_xlfn.IFERROR(IF(VLOOKUP($E66,'BDD'!$A$1:$S$567,MATCH(G$10,'BDD'!$A$1:$P$1,0),FALSE)=0,"",VLOOKUP($E66,'BDD'!$A$1:$S$567,MATCH(G$10,'BDD'!$A$1:$P$1,0),FALSE)),"")</f>
      </c>
      <c r="H66" s="568">
        <f>IF(VLOOKUP(E66,'BDD'!$A$1:$S$567,15,FALSE)=0,"Critère non évalué","")</f>
      </c>
      <c r="I66" s="569">
        <f>_xlfn.IFERROR(IF(VLOOKUP($E66,'BDD'!$A$1:$S$567,MATCH(I$10,'BDD'!$A$1:$P$1,0),FALSE)=0,"",VLOOKUP($E66,'BDD'!$A$1:$S$567,MATCH(I$10,'BDD'!$A$1:$P$1,0),FALSE)),"")</f>
      </c>
      <c r="J66" s="549"/>
      <c r="K66" s="567">
        <f>_xlfn.IFERROR(IF(VLOOKUP($E66,'BDD'!$A$1:$S$567,MATCH(K$10,'BDD'!$A$1:$P$1,0),FALSE)=0,"",VLOOKUP($E66,'BDD'!$A$1:$S$567,MATCH(K$10,'BDD'!$A$1:$P$1,0),FALSE)),"")</f>
      </c>
      <c r="L66" s="550"/>
      <c r="M66" s="557"/>
      <c r="N66" s="557"/>
      <c r="O66" s="534"/>
      <c r="P66" s="890"/>
    </row>
    <row r="67" ht="15" customHeight="1">
      <c r="A67" s="887"/>
      <c r="B67" s="61"/>
      <c r="C67" t="s" s="513">
        <f>IF(LEFT(RIGHT($B$1,2),1)=" ",RIGHT($B$1,1),RIGHT($B$1,2))</f>
        <v>2235</v>
      </c>
      <c r="D67" s="61">
        <f>IF(LEFT(F67,14)="Bonne pratique",D66+1,D66)</f>
      </c>
      <c r="E67" s="565">
        <f>C67&amp;D67&amp;RIGHT(F67,1)</f>
      </c>
      <c r="F67" s="559"/>
      <c r="G67" s="559"/>
      <c r="H67" s="559"/>
      <c r="I67" s="559"/>
      <c r="J67" s="559"/>
      <c r="K67" s="559"/>
      <c r="L67" s="61"/>
      <c r="M67" s="559"/>
      <c r="N67" s="559"/>
      <c r="O67" s="61"/>
      <c r="P67" s="890"/>
    </row>
    <row r="68" ht="14.4" customHeight="1">
      <c r="A68" s="887"/>
      <c r="B68" s="61"/>
      <c r="C68" t="s" s="513">
        <f>IF(LEFT(RIGHT($B$1,2),1)=" ",RIGHT($B$1,1),RIGHT($B$1,2))</f>
        <v>2235</v>
      </c>
      <c r="D68" s="61"/>
      <c r="E68" s="565"/>
      <c r="F68" s="61"/>
      <c r="G68" s="61"/>
      <c r="H68" s="61"/>
      <c r="I68" s="61"/>
      <c r="J68" s="61"/>
      <c r="K68" s="61"/>
      <c r="L68" s="61"/>
      <c r="M68" s="61"/>
      <c r="N68" s="61"/>
      <c r="O68" s="61"/>
      <c r="P68" s="890"/>
    </row>
    <row r="69" ht="14.4" customHeight="1">
      <c r="A69" s="887"/>
      <c r="B69" s="61"/>
      <c r="C69" t="s" s="513">
        <f>IF(LEFT(RIGHT($B$1,2),1)=" ",RIGHT($B$1,1),RIGHT($B$1,2))</f>
        <v>2235</v>
      </c>
      <c r="D69" s="61"/>
      <c r="E69" s="565"/>
      <c r="F69" s="61"/>
      <c r="G69" s="61"/>
      <c r="H69" s="61"/>
      <c r="I69" s="61"/>
      <c r="J69" s="61"/>
      <c r="K69" s="61"/>
      <c r="L69" s="61"/>
      <c r="M69" s="61"/>
      <c r="N69" s="61"/>
      <c r="O69" s="61"/>
      <c r="P69" s="890"/>
    </row>
    <row r="70" ht="14.4" customHeight="1">
      <c r="A70" s="887"/>
      <c r="B70" s="61"/>
      <c r="C70" t="s" s="513">
        <f>IF(LEFT(RIGHT($B$1,2),1)=" ",RIGHT($B$1,1),RIGHT($B$1,2))</f>
        <v>2235</v>
      </c>
      <c r="D70" s="61"/>
      <c r="E70" s="565"/>
      <c r="F70" s="61"/>
      <c r="G70" s="61"/>
      <c r="H70" s="61"/>
      <c r="I70" s="61"/>
      <c r="J70" s="61"/>
      <c r="K70" s="61"/>
      <c r="L70" s="61"/>
      <c r="M70" s="61"/>
      <c r="N70" s="61"/>
      <c r="O70" s="61"/>
      <c r="P70" s="890"/>
    </row>
    <row r="71" ht="25.8" customHeight="1">
      <c r="A71" s="891"/>
      <c r="B71" s="512"/>
      <c r="C71" t="s" s="513">
        <f>IF(LEFT(RIGHT($B$1,2),1)=" ",RIGHT($B$1,1),RIGHT($B$1,2))</f>
        <v>2235</v>
      </c>
      <c r="D71" s="61">
        <f>IF(LEFT(F71,14)="Bonne pratique",D67+1,D67)</f>
      </c>
      <c r="E71" s="565">
        <f>C71&amp;D71&amp;RIGHT(F71,1)</f>
      </c>
      <c r="F71" t="s" s="516">
        <v>1814</v>
      </c>
      <c r="G71" s="517"/>
      <c r="H71" s="518"/>
      <c r="I71" s="519"/>
      <c r="J71" s="519">
        <f>VLOOKUP(E78,'BDD'!$A$2:$N$567,6,FALSE)</f>
      </c>
      <c r="K71" s="521"/>
      <c r="L71" s="517"/>
      <c r="M71" s="517"/>
      <c r="N71" s="517"/>
      <c r="O71" s="512"/>
      <c r="P71" s="892"/>
    </row>
    <row r="72" ht="15" customHeight="1">
      <c r="A72" s="887"/>
      <c r="B72" s="61"/>
      <c r="C72" t="s" s="513">
        <f>IF(LEFT(RIGHT($B$1,2),1)=" ",RIGHT($B$1,1),RIGHT($B$1,2))</f>
        <v>2235</v>
      </c>
      <c r="D72" s="61">
        <f>IF(LEFT(F72,14)="Bonne pratique",D71+1,D71)</f>
      </c>
      <c r="E72" s="565">
        <f>C72&amp;D72&amp;RIGHT(F72,1)</f>
      </c>
      <c r="F72" s="61"/>
      <c r="G72" s="61"/>
      <c r="H72" s="61"/>
      <c r="I72" s="61"/>
      <c r="J72" s="61"/>
      <c r="K72" s="61"/>
      <c r="L72" s="61"/>
      <c r="M72" s="61"/>
      <c r="N72" s="61"/>
      <c r="O72" s="61"/>
      <c r="P72" s="890"/>
    </row>
    <row r="73" ht="18" customHeight="1">
      <c r="A73" s="893"/>
      <c r="B73" s="524"/>
      <c r="C73" t="s" s="513">
        <f>IF(LEFT(RIGHT($B$1,2),1)=" ",RIGHT($B$1,1),RIGHT($B$1,2))</f>
        <v>2235</v>
      </c>
      <c r="D73" s="61">
        <f>IF(LEFT(F73,14)="Bonne pratique",D72+1,D72)</f>
      </c>
      <c r="E73" s="565">
        <f>C73&amp;D73&amp;RIGHT(F73,1)</f>
      </c>
      <c r="F73" s="524"/>
      <c r="G73" s="524"/>
      <c r="H73" s="524"/>
      <c r="I73" s="525"/>
      <c r="J73" t="s" s="526">
        <v>2265</v>
      </c>
      <c r="K73" s="525"/>
      <c r="L73" s="524"/>
      <c r="M73" s="524"/>
      <c r="N73" s="524"/>
      <c r="O73" s="524"/>
      <c r="P73" s="894"/>
    </row>
    <row r="74" ht="18" customHeight="1">
      <c r="A74" s="887"/>
      <c r="B74" s="61"/>
      <c r="C74" t="s" s="513">
        <f>IF(LEFT(RIGHT($B$1,2),1)=" ",RIGHT($B$1,1),RIGHT($B$1,2))</f>
        <v>2235</v>
      </c>
      <c r="D74" s="61">
        <f>IF(LEFT(F74,14)="Bonne pratique",D73+1,D73)</f>
      </c>
      <c r="E74" s="565">
        <f>C74&amp;D74&amp;RIGHT(F74,1)</f>
      </c>
      <c r="F74" s="61"/>
      <c r="G74" s="61"/>
      <c r="H74" s="61"/>
      <c r="I74" s="61"/>
      <c r="J74" t="s" s="526">
        <v>2266</v>
      </c>
      <c r="K74" s="61"/>
      <c r="L74" s="61"/>
      <c r="M74" s="529"/>
      <c r="N74" s="529"/>
      <c r="O74" s="61"/>
      <c r="P74" s="890"/>
    </row>
    <row r="75" ht="15" customHeight="1">
      <c r="A75" s="887"/>
      <c r="B75" s="61"/>
      <c r="C75" t="s" s="513">
        <f>IF(LEFT(RIGHT($B$1,2),1)=" ",RIGHT($B$1,1),RIGHT($B$1,2))</f>
        <v>2235</v>
      </c>
      <c r="D75" s="61">
        <f>IF(LEFT(F75,14)="Bonne pratique",D74+1,D74)</f>
      </c>
      <c r="E75" s="565">
        <f>C75&amp;D75&amp;RIGHT(F75,1)</f>
      </c>
      <c r="F75" s="61"/>
      <c r="G75" s="529"/>
      <c r="H75" s="529"/>
      <c r="I75" s="529"/>
      <c r="J75" s="530"/>
      <c r="K75" s="529"/>
      <c r="L75" s="542"/>
      <c r="M75" t="s" s="562">
        <v>1763</v>
      </c>
      <c r="N75" s="563"/>
      <c r="O75" s="534"/>
      <c r="P75" s="890"/>
    </row>
    <row r="76" ht="33" customHeight="1">
      <c r="A76" s="887"/>
      <c r="B76" s="61"/>
      <c r="C76" t="s" s="513">
        <f>IF(LEFT(RIGHT($B$1,2),1)=" ",RIGHT($B$1,1),RIGHT($B$1,2))</f>
        <v>2235</v>
      </c>
      <c r="D76" s="61">
        <f>IF(LEFT(F76,14)="Bonne pratique",D75+1,D75)</f>
      </c>
      <c r="E76" s="565">
        <f>C76&amp;D76&amp;RIGHT(F76,1)</f>
      </c>
      <c r="F76" s="564"/>
      <c r="G76" t="s" s="536">
        <v>244</v>
      </c>
      <c r="H76" t="s" s="536">
        <v>1764</v>
      </c>
      <c r="I76" t="s" s="536">
        <v>1787</v>
      </c>
      <c r="J76" t="s" s="536">
        <v>1765</v>
      </c>
      <c r="K76" t="s" s="536">
        <v>1788</v>
      </c>
      <c r="L76" s="538"/>
      <c r="M76" t="s" s="539">
        <v>1766</v>
      </c>
      <c r="N76" t="s" s="540">
        <v>1767</v>
      </c>
      <c r="O76" s="534"/>
      <c r="P76" s="890"/>
    </row>
    <row r="77" ht="15" customHeight="1">
      <c r="A77" s="887"/>
      <c r="B77" s="61"/>
      <c r="C77" t="s" s="513">
        <f>IF(LEFT(RIGHT($B$1,2),1)=" ",RIGHT($B$1,1),RIGHT($B$1,2))</f>
        <v>2235</v>
      </c>
      <c r="D77" s="61">
        <f>IF(LEFT(F77,14)="Bonne pratique",D76+1,D76)</f>
      </c>
      <c r="E77" s="565">
        <f>C77&amp;D77&amp;RIGHT(F77,1)</f>
      </c>
      <c r="F77" s="529"/>
      <c r="G77" s="541"/>
      <c r="H77" s="541"/>
      <c r="I77" s="541"/>
      <c r="J77" s="541"/>
      <c r="K77" s="541"/>
      <c r="L77" s="61"/>
      <c r="M77" s="541"/>
      <c r="N77" s="541"/>
      <c r="O77" s="61"/>
      <c r="P77" s="890"/>
    </row>
    <row r="78" ht="130.05" customHeight="1">
      <c r="A78" s="887"/>
      <c r="B78" s="542"/>
      <c r="C78" t="s" s="543">
        <f>IF(LEFT(RIGHT($B$1,2),1)=" ",RIGHT($B$1,1),RIGHT($B$1,2))</f>
        <v>2235</v>
      </c>
      <c r="D78" s="550">
        <f>IF(LEFT(F78,14)="Bonne pratique",D77+1,D77)</f>
      </c>
      <c r="E78" s="566">
        <f>C78&amp;D78&amp;RIGHT(F78,1)</f>
      </c>
      <c r="F78" t="s" s="546">
        <v>1769</v>
      </c>
      <c r="G78" s="567">
        <f>_xlfn.IFERROR(IF(VLOOKUP($E78,'BDD'!$A$1:$S$567,MATCH(G$10,'BDD'!$A$1:$P$1,0),FALSE)=0,"",VLOOKUP($E78,'BDD'!$A$1:$S$567,MATCH(G$10,'BDD'!$A$1:$P$1,0),FALSE)),"")</f>
      </c>
      <c r="H78" s="568">
        <f>IF(VLOOKUP(E78,'BDD'!$A$1:$S$567,15,FALSE)=0,"Critère non évalué","")</f>
      </c>
      <c r="I78" s="569">
        <f>_xlfn.IFERROR(IF(VLOOKUP($E78,'BDD'!$A$1:$S$567,MATCH(I$10,'BDD'!$A$1:$P$1,0),FALSE)=0,"",VLOOKUP($E78,'BDD'!$A$1:$S$567,MATCH(I$10,'BDD'!$A$1:$P$1,0),FALSE)),"")</f>
      </c>
      <c r="J78" s="549"/>
      <c r="K78" s="567">
        <f>_xlfn.IFERROR(IF(VLOOKUP($E78,'BDD'!$A$1:$S$567,MATCH(K$10,'BDD'!$A$1:$P$1,0),FALSE)=0,"",VLOOKUP($E78,'BDD'!$A$1:$S$567,MATCH(K$10,'BDD'!$A$1:$P$1,0),FALSE)),"")</f>
      </c>
      <c r="L78" s="550"/>
      <c r="M78" s="551"/>
      <c r="N78" s="551"/>
      <c r="O78" s="534"/>
      <c r="P78" s="890"/>
    </row>
    <row r="79" ht="130.05" customHeight="1">
      <c r="A79" s="887"/>
      <c r="B79" s="542"/>
      <c r="C79" t="s" s="543">
        <f>IF(LEFT(RIGHT($B$1,2),1)=" ",RIGHT($B$1,1),RIGHT($B$1,2))</f>
        <v>2235</v>
      </c>
      <c r="D79" s="550">
        <f>IF(LEFT(F79,14)="Bonne pratique",D78+1,D78)</f>
      </c>
      <c r="E79" s="566">
        <f>C79&amp;D79&amp;RIGHT(F79,1)</f>
      </c>
      <c r="F79" t="s" s="552">
        <v>1772</v>
      </c>
      <c r="G79" s="557">
        <f>_xlfn.IFERROR(IF(VLOOKUP($E79,'BDD'!$A$1:$S$567,MATCH(G$10,'BDD'!$A$1:$P$1,0),FALSE)=0,"",VLOOKUP($E79,'BDD'!$A$1:$S$567,MATCH(G$10,'BDD'!$A$1:$P$1,0),FALSE)),"")</f>
      </c>
      <c r="H79" s="570">
        <f>IF(VLOOKUP(E79,'BDD'!$A$1:$S$567,15,FALSE)=0,"Critère non évalué","")</f>
      </c>
      <c r="I79" s="571">
        <f>_xlfn.IFERROR(IF(VLOOKUP($E79,'BDD'!$A$1:$S$567,MATCH(I$10,'BDD'!$A$1:$P$1,0),FALSE)=0,"",VLOOKUP($E79,'BDD'!$A$1:$S$567,MATCH(I$10,'BDD'!$A$1:$P$1,0),FALSE)),"")</f>
      </c>
      <c r="J79" s="554"/>
      <c r="K79" s="557">
        <f>_xlfn.IFERROR(IF(VLOOKUP($E79,'BDD'!$A$1:$S$567,MATCH(K$10,'BDD'!$A$1:$P$1,0),FALSE)=0,"",VLOOKUP($E79,'BDD'!$A$1:$S$567,MATCH(K$10,'BDD'!$A$1:$P$1,0),FALSE)),"")</f>
      </c>
      <c r="L79" s="550"/>
      <c r="M79" s="555"/>
      <c r="N79" s="555"/>
      <c r="O79" s="534"/>
      <c r="P79" s="890"/>
    </row>
    <row r="80" ht="130.05" customHeight="1">
      <c r="A80" s="887"/>
      <c r="B80" s="542"/>
      <c r="C80" t="s" s="543">
        <f>IF(LEFT(RIGHT($B$1,2),1)=" ",RIGHT($B$1,1),RIGHT($B$1,2))</f>
        <v>2235</v>
      </c>
      <c r="D80" s="550">
        <f>IF(LEFT(F80,14)="Bonne pratique",D79+1,D79)</f>
      </c>
      <c r="E80" s="566">
        <f>C80&amp;D80&amp;RIGHT(F80,1)</f>
      </c>
      <c r="F80" t="s" s="546">
        <v>1774</v>
      </c>
      <c r="G80" s="567">
        <f>_xlfn.IFERROR(IF(VLOOKUP($E80,'BDD'!$A$1:$S$567,MATCH(G$10,'BDD'!$A$1:$P$1,0),FALSE)=0,"",VLOOKUP($E80,'BDD'!$A$1:$S$567,MATCH(G$10,'BDD'!$A$1:$P$1,0),FALSE)),"")</f>
      </c>
      <c r="H80" s="568">
        <f>IF(VLOOKUP(E80,'BDD'!$A$1:$S$567,15,FALSE)=0,"Critère non évalué","")</f>
      </c>
      <c r="I80" s="569">
        <f>_xlfn.IFERROR(IF(VLOOKUP($E80,'BDD'!$A$1:$S$567,MATCH(I$10,'BDD'!$A$1:$P$1,0),FALSE)=0,"",VLOOKUP($E80,'BDD'!$A$1:$S$567,MATCH(I$10,'BDD'!$A$1:$P$1,0),FALSE)),"")</f>
      </c>
      <c r="J80" s="549"/>
      <c r="K80" s="567">
        <f>_xlfn.IFERROR(IF(VLOOKUP($E80,'BDD'!$A$1:$S$567,MATCH(K$10,'BDD'!$A$1:$P$1,0),FALSE)=0,"",VLOOKUP($E80,'BDD'!$A$1:$S$567,MATCH(K$10,'BDD'!$A$1:$P$1,0),FALSE)),"")</f>
      </c>
      <c r="L80" s="550"/>
      <c r="M80" s="551"/>
      <c r="N80" s="551"/>
      <c r="O80" s="534"/>
      <c r="P80" s="890"/>
    </row>
    <row r="81" ht="130.05" customHeight="1">
      <c r="A81" s="887"/>
      <c r="B81" s="542"/>
      <c r="C81" t="s" s="543">
        <f>IF(LEFT(RIGHT($B$1,2),1)=" ",RIGHT($B$1,1),RIGHT($B$1,2))</f>
        <v>2235</v>
      </c>
      <c r="D81" s="550">
        <f>IF(LEFT(F81,14)="Bonne pratique",D80+1,D80)</f>
      </c>
      <c r="E81" s="566">
        <f>C81&amp;D81&amp;RIGHT(F81,1)</f>
      </c>
      <c r="F81" t="s" s="552">
        <v>1776</v>
      </c>
      <c r="G81" s="557">
        <f>_xlfn.IFERROR(IF(VLOOKUP($E81,'BDD'!$A$1:$S$567,MATCH(G$10,'BDD'!$A$1:$P$1,0),FALSE)=0,"",VLOOKUP($E81,'BDD'!$A$1:$S$567,MATCH(G$10,'BDD'!$A$1:$P$1,0),FALSE)),"")</f>
      </c>
      <c r="H81" s="570">
        <f>IF(VLOOKUP(E81,'BDD'!$A$1:$S$567,15,FALSE)=0,"Critère non évalué","")</f>
      </c>
      <c r="I81" s="571">
        <f>_xlfn.IFERROR(IF(VLOOKUP($E81,'BDD'!$A$1:$S$567,MATCH(I$10,'BDD'!$A$1:$P$1,0),FALSE)=0,"",VLOOKUP($E81,'BDD'!$A$1:$S$567,MATCH(I$10,'BDD'!$A$1:$P$1,0),FALSE)),"")</f>
      </c>
      <c r="J81" s="556"/>
      <c r="K81" s="557">
        <f>_xlfn.IFERROR(IF(VLOOKUP($E81,'BDD'!$A$1:$S$567,MATCH(K$10,'BDD'!$A$1:$P$1,0),FALSE)=0,"",VLOOKUP($E81,'BDD'!$A$1:$S$567,MATCH(K$10,'BDD'!$A$1:$P$1,0),FALSE)),"")</f>
      </c>
      <c r="L81" s="550"/>
      <c r="M81" s="555"/>
      <c r="N81" s="555"/>
      <c r="O81" s="534"/>
      <c r="P81" s="890"/>
    </row>
    <row r="82" ht="130.05" customHeight="1">
      <c r="A82" s="887"/>
      <c r="B82" s="542"/>
      <c r="C82" t="s" s="543">
        <f>IF(LEFT(RIGHT($B$1,2),1)=" ",RIGHT($B$1,1),RIGHT($B$1,2))</f>
        <v>2235</v>
      </c>
      <c r="D82" s="550">
        <f>IF(LEFT(F82,14)="Bonne pratique",D81+1,D81)</f>
      </c>
      <c r="E82" s="566">
        <f>C82&amp;D82&amp;RIGHT(F82,1)</f>
      </c>
      <c r="F82" t="s" s="546">
        <v>1778</v>
      </c>
      <c r="G82" s="567">
        <f>_xlfn.IFERROR(IF(VLOOKUP($E82,'BDD'!$A$1:$S$567,MATCH(G$10,'BDD'!$A$1:$P$1,0),FALSE)=0,"",VLOOKUP($E82,'BDD'!$A$1:$S$567,MATCH(G$10,'BDD'!$A$1:$P$1,0),FALSE)),"")</f>
      </c>
      <c r="H82" s="568">
        <f>IF(VLOOKUP(E82,'BDD'!$A$1:$S$567,15,FALSE)=0,"Critère non évalué","")</f>
      </c>
      <c r="I82" s="569">
        <f>_xlfn.IFERROR(IF(VLOOKUP($E82,'BDD'!$A$1:$S$567,MATCH(I$10,'BDD'!$A$1:$P$1,0),FALSE)=0,"",VLOOKUP($E82,'BDD'!$A$1:$S$567,MATCH(I$10,'BDD'!$A$1:$P$1,0),FALSE)),"")</f>
      </c>
      <c r="J82" s="549"/>
      <c r="K82" s="567">
        <f>_xlfn.IFERROR(IF(VLOOKUP($E82,'BDD'!$A$1:$S$567,MATCH(K$10,'BDD'!$A$1:$P$1,0),FALSE)=0,"",VLOOKUP($E82,'BDD'!$A$1:$S$567,MATCH(K$10,'BDD'!$A$1:$P$1,0),FALSE)),"")</f>
      </c>
      <c r="L82" s="550"/>
      <c r="M82" s="557"/>
      <c r="N82" s="557"/>
      <c r="O82" s="534"/>
      <c r="P82" s="890"/>
    </row>
    <row r="83" ht="130.05" customHeight="1" hidden="1">
      <c r="A83" s="887"/>
      <c r="B83" s="542"/>
      <c r="C83" t="s" s="543">
        <f>IF(LEFT(RIGHT($B$1,2),1)=" ",RIGHT($B$1,1),RIGHT($B$1,2))</f>
        <v>2235</v>
      </c>
      <c r="D83" s="550">
        <f>IF(LEFT(F83,14)="Bonne pratique",D82+1,D82)</f>
      </c>
      <c r="E83" s="566">
        <f>C83&amp;D83&amp;RIGHT(F83,1)</f>
      </c>
      <c r="F83" t="s" s="552">
        <v>1780</v>
      </c>
      <c r="G83" s="557">
        <f>_xlfn.IFERROR(IF(VLOOKUP($E83,'BDD'!$A$1:$S$567,MATCH(G$10,'BDD'!$A$1:$P$1,0),FALSE)=0,"",VLOOKUP($E83,'BDD'!$A$1:$S$567,MATCH(G$10,'BDD'!$A$1:$P$1,0),FALSE)),"")</f>
      </c>
      <c r="H83" s="570">
        <f>IF(VLOOKUP(E83,'BDD'!$A$1:$S$567,15,FALSE)=0,"Critère non évalué","")</f>
      </c>
      <c r="I83" s="571">
        <f>_xlfn.IFERROR(IF(VLOOKUP($E83,'BDD'!$A$1:$S$567,MATCH(I$10,'BDD'!$A$1:$P$1,0),FALSE)=0,"",VLOOKUP($E83,'BDD'!$A$1:$S$567,MATCH(I$10,'BDD'!$A$1:$P$1,0),FALSE)),"")</f>
      </c>
      <c r="J83" s="556"/>
      <c r="K83" s="557">
        <f>_xlfn.IFERROR(IF(VLOOKUP($E83,'BDD'!$A$1:$S$567,MATCH(K$10,'BDD'!$A$1:$P$1,0),FALSE)=0,"",VLOOKUP($E83,'BDD'!$A$1:$S$567,MATCH(K$10,'BDD'!$A$1:$P$1,0),FALSE)),"")</f>
      </c>
      <c r="L83" s="550"/>
      <c r="M83" s="555"/>
      <c r="N83" s="555"/>
      <c r="O83" s="534"/>
      <c r="P83" s="890"/>
    </row>
    <row r="84" ht="130.05" customHeight="1" hidden="1">
      <c r="A84" s="887"/>
      <c r="B84" s="542"/>
      <c r="C84" t="s" s="543">
        <f>IF(LEFT(RIGHT($B$1,2),1)=" ",RIGHT($B$1,1),RIGHT($B$1,2))</f>
        <v>2235</v>
      </c>
      <c r="D84" s="550">
        <f>IF(LEFT(F84,14)="Bonne pratique",D83+1,D83)</f>
      </c>
      <c r="E84" s="566">
        <f>C84&amp;D84&amp;RIGHT(F84,1)</f>
      </c>
      <c r="F84" t="s" s="546">
        <v>1782</v>
      </c>
      <c r="G84" s="567">
        <f>_xlfn.IFERROR(IF(VLOOKUP($E84,'BDD'!$A$1:$S$567,MATCH(G$10,'BDD'!$A$1:$P$1,0),FALSE)=0,"",VLOOKUP($E84,'BDD'!$A$1:$S$567,MATCH(G$10,'BDD'!$A$1:$P$1,0),FALSE)),"")</f>
      </c>
      <c r="H84" s="568">
        <f>IF(VLOOKUP(E84,'BDD'!$A$1:$S$567,15,FALSE)=0,"Critère non évalué","")</f>
      </c>
      <c r="I84" s="569">
        <f>_xlfn.IFERROR(IF(VLOOKUP($E84,'BDD'!$A$1:$S$567,MATCH(I$10,'BDD'!$A$1:$P$1,0),FALSE)=0,"",VLOOKUP($E84,'BDD'!$A$1:$S$567,MATCH(I$10,'BDD'!$A$1:$P$1,0),FALSE)),"")</f>
      </c>
      <c r="J84" s="549"/>
      <c r="K84" s="567">
        <f>_xlfn.IFERROR(IF(VLOOKUP($E84,'BDD'!$A$1:$S$567,MATCH(K$10,'BDD'!$A$1:$P$1,0),FALSE)=0,"",VLOOKUP($E84,'BDD'!$A$1:$S$567,MATCH(K$10,'BDD'!$A$1:$P$1,0),FALSE)),"")</f>
      </c>
      <c r="L84" s="550"/>
      <c r="M84" s="557"/>
      <c r="N84" s="557"/>
      <c r="O84" s="534"/>
      <c r="P84" s="890"/>
    </row>
    <row r="85" ht="14.4" customHeight="1">
      <c r="A85" s="887"/>
      <c r="B85" s="61"/>
      <c r="C85" t="s" s="513">
        <f>IF(LEFT(RIGHT($B$1,2),1)=" ",RIGHT($B$1,1),RIGHT($B$1,2))</f>
        <v>2235</v>
      </c>
      <c r="D85" s="61"/>
      <c r="E85" s="61"/>
      <c r="F85" s="559"/>
      <c r="G85" s="559"/>
      <c r="H85" s="559"/>
      <c r="I85" s="559"/>
      <c r="J85" s="559"/>
      <c r="K85" s="559"/>
      <c r="L85" s="61"/>
      <c r="M85" s="559"/>
      <c r="N85" s="559"/>
      <c r="O85" s="61"/>
      <c r="P85" s="890"/>
    </row>
    <row r="86" ht="14.4" customHeight="1">
      <c r="A86" s="887"/>
      <c r="B86" s="61"/>
      <c r="C86" t="s" s="513">
        <f>IF(LEFT(RIGHT($B$1,2),1)=" ",RIGHT($B$1,1),RIGHT($B$1,2))</f>
        <v>2235</v>
      </c>
      <c r="D86" s="61"/>
      <c r="E86" s="61"/>
      <c r="F86" s="61"/>
      <c r="G86" s="61"/>
      <c r="H86" s="61"/>
      <c r="I86" s="61"/>
      <c r="J86" s="61"/>
      <c r="K86" s="61"/>
      <c r="L86" s="61"/>
      <c r="M86" s="61"/>
      <c r="N86" s="61"/>
      <c r="O86" s="61"/>
      <c r="P86" s="890"/>
    </row>
    <row r="87" ht="25.8" customHeight="1">
      <c r="A87" s="891"/>
      <c r="B87" s="512"/>
      <c r="C87" t="s" s="513">
        <f>IF(LEFT(RIGHT($B$1,2),1)=" ",RIGHT($B$1,1),RIGHT($B$1,2))</f>
        <v>2235</v>
      </c>
      <c r="D87" s="61">
        <f>IF(LEFT(F87,14)="Bonne pratique",D83+1,D83)</f>
      </c>
      <c r="E87" s="565">
        <f>C87&amp;D87&amp;RIGHT(F87,1)</f>
      </c>
      <c r="F87" t="s" s="516">
        <v>1887</v>
      </c>
      <c r="G87" s="517"/>
      <c r="H87" s="518"/>
      <c r="I87" s="519"/>
      <c r="J87" s="519">
        <f>VLOOKUP(E94,'BDD'!$A$2:$N$567,6,FALSE)</f>
      </c>
      <c r="K87" s="521"/>
      <c r="L87" s="517"/>
      <c r="M87" s="517"/>
      <c r="N87" s="517"/>
      <c r="O87" s="512"/>
      <c r="P87" s="892"/>
    </row>
    <row r="88" ht="15" customHeight="1">
      <c r="A88" s="887"/>
      <c r="B88" s="61"/>
      <c r="C88" t="s" s="513">
        <f>IF(LEFT(RIGHT($B$1,2),1)=" ",RIGHT($B$1,1),RIGHT($B$1,2))</f>
        <v>2235</v>
      </c>
      <c r="D88" s="61">
        <f>IF(LEFT(F88,14)="Bonne pratique",D87+1,D87)</f>
      </c>
      <c r="E88" s="565">
        <f>C88&amp;D88&amp;RIGHT(F88,1)</f>
      </c>
      <c r="F88" s="61"/>
      <c r="G88" s="61"/>
      <c r="H88" s="61"/>
      <c r="I88" s="61"/>
      <c r="J88" s="61"/>
      <c r="K88" s="61"/>
      <c r="L88" s="61"/>
      <c r="M88" s="61"/>
      <c r="N88" s="61"/>
      <c r="O88" s="61"/>
      <c r="P88" s="890"/>
    </row>
    <row r="89" ht="18" customHeight="1">
      <c r="A89" s="893"/>
      <c r="B89" s="524"/>
      <c r="C89" t="s" s="513">
        <f>IF(LEFT(RIGHT($B$1,2),1)=" ",RIGHT($B$1,1),RIGHT($B$1,2))</f>
        <v>2235</v>
      </c>
      <c r="D89" s="61">
        <f>IF(LEFT(F89,14)="Bonne pratique",D88+1,D88)</f>
      </c>
      <c r="E89" s="565">
        <f>C89&amp;D89&amp;RIGHT(F89,1)</f>
      </c>
      <c r="F89" s="524"/>
      <c r="G89" s="524"/>
      <c r="H89" s="524"/>
      <c r="I89" s="525"/>
      <c r="J89" t="s" s="526">
        <v>1179</v>
      </c>
      <c r="K89" s="525"/>
      <c r="L89" s="524"/>
      <c r="M89" s="524"/>
      <c r="N89" s="524"/>
      <c r="O89" s="524"/>
      <c r="P89" s="894"/>
    </row>
    <row r="90" ht="18" customHeight="1">
      <c r="A90" s="887"/>
      <c r="B90" s="61"/>
      <c r="C90" t="s" s="513">
        <f>IF(LEFT(RIGHT($B$1,2),1)=" ",RIGHT($B$1,1),RIGHT($B$1,2))</f>
        <v>2235</v>
      </c>
      <c r="D90" s="61">
        <f>IF(LEFT(F90,14)="Bonne pratique",D89+1,D89)</f>
      </c>
      <c r="E90" s="565">
        <f>C90&amp;D90&amp;RIGHT(F90,1)</f>
      </c>
      <c r="F90" s="61"/>
      <c r="G90" s="61"/>
      <c r="H90" s="61"/>
      <c r="I90" s="61"/>
      <c r="J90" s="528"/>
      <c r="K90" s="61"/>
      <c r="L90" s="61"/>
      <c r="M90" s="529"/>
      <c r="N90" s="529"/>
      <c r="O90" s="61"/>
      <c r="P90" s="890"/>
    </row>
    <row r="91" ht="15" customHeight="1">
      <c r="A91" s="887"/>
      <c r="B91" s="61"/>
      <c r="C91" t="s" s="513">
        <f>IF(LEFT(RIGHT($B$1,2),1)=" ",RIGHT($B$1,1),RIGHT($B$1,2))</f>
        <v>2235</v>
      </c>
      <c r="D91" s="61">
        <f>IF(LEFT(F91,14)="Bonne pratique",D90+1,D90)</f>
      </c>
      <c r="E91" s="565">
        <f>C91&amp;D91&amp;RIGHT(F91,1)</f>
      </c>
      <c r="F91" s="61"/>
      <c r="G91" s="529"/>
      <c r="H91" s="529"/>
      <c r="I91" s="529"/>
      <c r="J91" s="530"/>
      <c r="K91" s="529"/>
      <c r="L91" s="542"/>
      <c r="M91" t="s" s="562">
        <v>1763</v>
      </c>
      <c r="N91" s="563"/>
      <c r="O91" s="534"/>
      <c r="P91" s="890"/>
    </row>
    <row r="92" ht="33" customHeight="1">
      <c r="A92" s="887"/>
      <c r="B92" s="61"/>
      <c r="C92" t="s" s="513">
        <f>IF(LEFT(RIGHT($B$1,2),1)=" ",RIGHT($B$1,1),RIGHT($B$1,2))</f>
        <v>2235</v>
      </c>
      <c r="D92" s="61">
        <f>IF(LEFT(F92,14)="Bonne pratique",D91+1,D91)</f>
      </c>
      <c r="E92" s="565">
        <f>C92&amp;D92&amp;RIGHT(F92,1)</f>
      </c>
      <c r="F92" s="564"/>
      <c r="G92" t="s" s="536">
        <v>244</v>
      </c>
      <c r="H92" t="s" s="536">
        <v>1764</v>
      </c>
      <c r="I92" t="s" s="536">
        <v>1787</v>
      </c>
      <c r="J92" t="s" s="536">
        <v>1765</v>
      </c>
      <c r="K92" t="s" s="536">
        <v>1788</v>
      </c>
      <c r="L92" s="538"/>
      <c r="M92" t="s" s="539">
        <v>1766</v>
      </c>
      <c r="N92" t="s" s="540">
        <v>1767</v>
      </c>
      <c r="O92" s="534"/>
      <c r="P92" s="890"/>
    </row>
    <row r="93" ht="15" customHeight="1">
      <c r="A93" s="887"/>
      <c r="B93" s="61"/>
      <c r="C93" t="s" s="513">
        <f>IF(LEFT(RIGHT($B$1,2),1)=" ",RIGHT($B$1,1),RIGHT($B$1,2))</f>
        <v>2235</v>
      </c>
      <c r="D93" s="61">
        <f>IF(LEFT(F93,14)="Bonne pratique",D92+1,D92)</f>
      </c>
      <c r="E93" s="565">
        <f>C93&amp;D93&amp;RIGHT(F93,1)</f>
      </c>
      <c r="F93" s="529"/>
      <c r="G93" s="541"/>
      <c r="H93" s="541"/>
      <c r="I93" s="541"/>
      <c r="J93" s="541"/>
      <c r="K93" s="541"/>
      <c r="L93" s="61"/>
      <c r="M93" s="541"/>
      <c r="N93" s="541"/>
      <c r="O93" s="61"/>
      <c r="P93" s="890"/>
    </row>
    <row r="94" ht="130.05" customHeight="1">
      <c r="A94" s="887"/>
      <c r="B94" s="542"/>
      <c r="C94" t="s" s="543">
        <f>IF(LEFT(RIGHT($B$1,2),1)=" ",RIGHT($B$1,1),RIGHT($B$1,2))</f>
        <v>2235</v>
      </c>
      <c r="D94" s="550">
        <f>IF(LEFT(F94,14)="Bonne pratique",D93+1,D93)</f>
      </c>
      <c r="E94" s="566">
        <f>C94&amp;D94&amp;RIGHT(F94,1)</f>
      </c>
      <c r="F94" t="s" s="546">
        <v>1769</v>
      </c>
      <c r="G94" s="567">
        <f>_xlfn.IFERROR(IF(VLOOKUP($E94,'BDD'!$A$1:$S$567,MATCH(G$10,'BDD'!$A$1:$P$1,0),FALSE)=0,"",VLOOKUP($E94,'BDD'!$A$1:$S$567,MATCH(G$10,'BDD'!$A$1:$P$1,0),FALSE)),"")</f>
      </c>
      <c r="H94" s="568">
        <f>IF(VLOOKUP(E94,'BDD'!$A$1:$S$567,15,FALSE)=0,"Critère non évalué","")</f>
      </c>
      <c r="I94" s="569">
        <f>_xlfn.IFERROR(IF(VLOOKUP($E94,'BDD'!$A$1:$S$567,MATCH(I$10,'BDD'!$A$1:$P$1,0),FALSE)=0,"",VLOOKUP($E94,'BDD'!$A$1:$S$567,MATCH(I$10,'BDD'!$A$1:$P$1,0),FALSE)),"")</f>
      </c>
      <c r="J94" s="549"/>
      <c r="K94" s="567">
        <f>_xlfn.IFERROR(IF(VLOOKUP($E94,'BDD'!$A$1:$S$567,MATCH(K$10,'BDD'!$A$1:$P$1,0),FALSE)=0,"",VLOOKUP($E94,'BDD'!$A$1:$S$567,MATCH(K$10,'BDD'!$A$1:$P$1,0),FALSE)),"")</f>
      </c>
      <c r="L94" s="550"/>
      <c r="M94" s="551"/>
      <c r="N94" s="551"/>
      <c r="O94" s="534"/>
      <c r="P94" s="890"/>
    </row>
    <row r="95" ht="130.05" customHeight="1">
      <c r="A95" s="887"/>
      <c r="B95" s="542"/>
      <c r="C95" t="s" s="543">
        <f>IF(LEFT(RIGHT($B$1,2),1)=" ",RIGHT($B$1,1),RIGHT($B$1,2))</f>
        <v>2235</v>
      </c>
      <c r="D95" s="550">
        <f>IF(LEFT(F95,14)="Bonne pratique",D94+1,D94)</f>
      </c>
      <c r="E95" s="566">
        <f>C95&amp;D95&amp;RIGHT(F95,1)</f>
      </c>
      <c r="F95" t="s" s="552">
        <v>1772</v>
      </c>
      <c r="G95" s="557">
        <f>_xlfn.IFERROR(IF(VLOOKUP($E95,'BDD'!$A$1:$S$567,MATCH(G$10,'BDD'!$A$1:$P$1,0),FALSE)=0,"",VLOOKUP($E95,'BDD'!$A$1:$S$567,MATCH(G$10,'BDD'!$A$1:$P$1,0),FALSE)),"")</f>
      </c>
      <c r="H95" s="570">
        <f>IF(VLOOKUP(E95,'BDD'!$A$1:$S$567,15,FALSE)=0,"Critère non évalué","")</f>
      </c>
      <c r="I95" s="571">
        <f>_xlfn.IFERROR(IF(VLOOKUP($E95,'BDD'!$A$1:$S$567,MATCH(I$10,'BDD'!$A$1:$P$1,0),FALSE)=0,"",VLOOKUP($E95,'BDD'!$A$1:$S$567,MATCH(I$10,'BDD'!$A$1:$P$1,0),FALSE)),"")</f>
      </c>
      <c r="J95" s="554"/>
      <c r="K95" s="557">
        <f>_xlfn.IFERROR(IF(VLOOKUP($E95,'BDD'!$A$1:$S$567,MATCH(K$10,'BDD'!$A$1:$P$1,0),FALSE)=0,"",VLOOKUP($E95,'BDD'!$A$1:$S$567,MATCH(K$10,'BDD'!$A$1:$P$1,0),FALSE)),"")</f>
      </c>
      <c r="L95" s="550"/>
      <c r="M95" s="555"/>
      <c r="N95" s="555"/>
      <c r="O95" s="534"/>
      <c r="P95" s="890"/>
    </row>
    <row r="96" ht="130.05" customHeight="1">
      <c r="A96" s="887"/>
      <c r="B96" s="542"/>
      <c r="C96" t="s" s="543">
        <f>IF(LEFT(RIGHT($B$1,2),1)=" ",RIGHT($B$1,1),RIGHT($B$1,2))</f>
        <v>2235</v>
      </c>
      <c r="D96" s="550">
        <f>IF(LEFT(F96,14)="Bonne pratique",D95+1,D95)</f>
      </c>
      <c r="E96" s="566">
        <f>C96&amp;D96&amp;RIGHT(F96,1)</f>
      </c>
      <c r="F96" t="s" s="546">
        <v>1774</v>
      </c>
      <c r="G96" s="567">
        <f>_xlfn.IFERROR(IF(VLOOKUP($E96,'BDD'!$A$1:$S$567,MATCH(G$10,'BDD'!$A$1:$P$1,0),FALSE)=0,"",VLOOKUP($E96,'BDD'!$A$1:$S$567,MATCH(G$10,'BDD'!$A$1:$P$1,0),FALSE)),"")</f>
      </c>
      <c r="H96" s="568">
        <f>IF(VLOOKUP(E96,'BDD'!$A$1:$S$567,15,FALSE)=0,"Critère non évalué","")</f>
      </c>
      <c r="I96" s="569">
        <f>_xlfn.IFERROR(IF(VLOOKUP($E96,'BDD'!$A$1:$S$567,MATCH(I$10,'BDD'!$A$1:$P$1,0),FALSE)=0,"",VLOOKUP($E96,'BDD'!$A$1:$S$567,MATCH(I$10,'BDD'!$A$1:$P$1,0),FALSE)),"")</f>
      </c>
      <c r="J96" s="549"/>
      <c r="K96" s="567">
        <f>_xlfn.IFERROR(IF(VLOOKUP($E96,'BDD'!$A$1:$S$567,MATCH(K$10,'BDD'!$A$1:$P$1,0),FALSE)=0,"",VLOOKUP($E96,'BDD'!$A$1:$S$567,MATCH(K$10,'BDD'!$A$1:$P$1,0),FALSE)),"")</f>
      </c>
      <c r="L96" s="550"/>
      <c r="M96" s="551"/>
      <c r="N96" s="551"/>
      <c r="O96" s="534"/>
      <c r="P96" s="890"/>
    </row>
    <row r="97" ht="130.05" customHeight="1">
      <c r="A97" s="887"/>
      <c r="B97" s="542"/>
      <c r="C97" t="s" s="543">
        <f>IF(LEFT(RIGHT($B$1,2),1)=" ",RIGHT($B$1,1),RIGHT($B$1,2))</f>
        <v>2235</v>
      </c>
      <c r="D97" s="550">
        <f>IF(LEFT(F97,14)="Bonne pratique",D96+1,D96)</f>
      </c>
      <c r="E97" s="566">
        <f>C97&amp;D97&amp;RIGHT(F97,1)</f>
      </c>
      <c r="F97" t="s" s="552">
        <v>1776</v>
      </c>
      <c r="G97" s="557">
        <f>_xlfn.IFERROR(IF(VLOOKUP($E97,'BDD'!$A$1:$S$567,MATCH(G$10,'BDD'!$A$1:$P$1,0),FALSE)=0,"",VLOOKUP($E97,'BDD'!$A$1:$S$567,MATCH(G$10,'BDD'!$A$1:$P$1,0),FALSE)),"")</f>
      </c>
      <c r="H97" s="570">
        <f>IF(VLOOKUP(E97,'BDD'!$A$1:$S$567,15,FALSE)=0,"Critère non évalué","")</f>
      </c>
      <c r="I97" s="571">
        <f>_xlfn.IFERROR(IF(VLOOKUP($E97,'BDD'!$A$1:$S$567,MATCH(I$10,'BDD'!$A$1:$P$1,0),FALSE)=0,"",VLOOKUP($E97,'BDD'!$A$1:$S$567,MATCH(I$10,'BDD'!$A$1:$P$1,0),FALSE)),"")</f>
      </c>
      <c r="J97" s="556"/>
      <c r="K97" s="557">
        <f>_xlfn.IFERROR(IF(VLOOKUP($E97,'BDD'!$A$1:$S$567,MATCH(K$10,'BDD'!$A$1:$P$1,0),FALSE)=0,"",VLOOKUP($E97,'BDD'!$A$1:$S$567,MATCH(K$10,'BDD'!$A$1:$P$1,0),FALSE)),"")</f>
      </c>
      <c r="L97" s="550"/>
      <c r="M97" s="555"/>
      <c r="N97" s="555"/>
      <c r="O97" s="534"/>
      <c r="P97" s="890"/>
    </row>
    <row r="98" ht="130.05" customHeight="1">
      <c r="A98" s="887"/>
      <c r="B98" s="542"/>
      <c r="C98" t="s" s="543">
        <f>IF(LEFT(RIGHT($B$1,2),1)=" ",RIGHT($B$1,1),RIGHT($B$1,2))</f>
        <v>2235</v>
      </c>
      <c r="D98" s="550">
        <f>IF(LEFT(F98,14)="Bonne pratique",D97+1,D97)</f>
      </c>
      <c r="E98" s="566">
        <f>C98&amp;D98&amp;RIGHT(F98,1)</f>
      </c>
      <c r="F98" t="s" s="546">
        <v>1778</v>
      </c>
      <c r="G98" s="567">
        <f>_xlfn.IFERROR(IF(VLOOKUP($E98,'BDD'!$A$1:$S$567,MATCH(G$10,'BDD'!$A$1:$P$1,0),FALSE)=0,"",VLOOKUP($E98,'BDD'!$A$1:$S$567,MATCH(G$10,'BDD'!$A$1:$P$1,0),FALSE)),"")</f>
      </c>
      <c r="H98" s="568">
        <f>IF(VLOOKUP(E98,'BDD'!$A$1:$S$567,15,FALSE)=0,"Critère non évalué","")</f>
      </c>
      <c r="I98" s="569">
        <f>_xlfn.IFERROR(IF(VLOOKUP($E98,'BDD'!$A$1:$S$567,MATCH(I$10,'BDD'!$A$1:$P$1,0),FALSE)=0,"",VLOOKUP($E98,'BDD'!$A$1:$S$567,MATCH(I$10,'BDD'!$A$1:$P$1,0),FALSE)),"")</f>
      </c>
      <c r="J98" s="549"/>
      <c r="K98" s="567">
        <f>_xlfn.IFERROR(IF(VLOOKUP($E98,'BDD'!$A$1:$S$567,MATCH(K$10,'BDD'!$A$1:$P$1,0),FALSE)=0,"",VLOOKUP($E98,'BDD'!$A$1:$S$567,MATCH(K$10,'BDD'!$A$1:$P$1,0),FALSE)),"")</f>
      </c>
      <c r="L98" s="550"/>
      <c r="M98" s="557"/>
      <c r="N98" s="557"/>
      <c r="O98" s="534"/>
      <c r="P98" s="890"/>
    </row>
    <row r="99" ht="130.05" customHeight="1" hidden="1">
      <c r="A99" s="887"/>
      <c r="B99" s="542"/>
      <c r="C99" t="s" s="543">
        <f>IF(LEFT(RIGHT($B$1,2),1)=" ",RIGHT($B$1,1),RIGHT($B$1,2))</f>
        <v>2235</v>
      </c>
      <c r="D99" s="550">
        <f>IF(LEFT(F99,14)="Bonne pratique",D98+1,D98)</f>
      </c>
      <c r="E99" s="566">
        <f>C99&amp;D99&amp;RIGHT(F99,1)</f>
      </c>
      <c r="F99" t="s" s="552">
        <v>1780</v>
      </c>
      <c r="G99" s="557">
        <f>_xlfn.IFERROR(IF(VLOOKUP($E99,'BDD'!$A$1:$S$567,MATCH(G$10,'BDD'!$A$1:$P$1,0),FALSE)=0,"",VLOOKUP($E99,'BDD'!$A$1:$S$567,MATCH(G$10,'BDD'!$A$1:$P$1,0),FALSE)),"")</f>
      </c>
      <c r="H99" s="570">
        <f>IF(VLOOKUP(E99,'BDD'!$A$1:$S$567,15,FALSE)=0,"Critère non évalué","")</f>
      </c>
      <c r="I99" s="571">
        <f>_xlfn.IFERROR(IF(VLOOKUP($E99,'BDD'!$A$1:$S$567,MATCH(I$10,'BDD'!$A$1:$P$1,0),FALSE)=0,"",VLOOKUP($E99,'BDD'!$A$1:$S$567,MATCH(I$10,'BDD'!$A$1:$P$1,0),FALSE)),"")</f>
      </c>
      <c r="J99" s="556"/>
      <c r="K99" s="557">
        <f>_xlfn.IFERROR(IF(VLOOKUP($E99,'BDD'!$A$1:$S$567,MATCH(K$10,'BDD'!$A$1:$P$1,0),FALSE)=0,"",VLOOKUP($E99,'BDD'!$A$1:$S$567,MATCH(K$10,'BDD'!$A$1:$P$1,0),FALSE)),"")</f>
      </c>
      <c r="L99" s="550"/>
      <c r="M99" s="555"/>
      <c r="N99" s="555"/>
      <c r="O99" s="534"/>
      <c r="P99" s="890"/>
    </row>
    <row r="100" ht="130.05" customHeight="1" hidden="1">
      <c r="A100" s="887"/>
      <c r="B100" s="542"/>
      <c r="C100" t="s" s="543">
        <f>IF(LEFT(RIGHT($B$1,2),1)=" ",RIGHT($B$1,1),RIGHT($B$1,2))</f>
        <v>2235</v>
      </c>
      <c r="D100" s="550">
        <f>IF(LEFT(F100,14)="Bonne pratique",D99+1,D99)</f>
      </c>
      <c r="E100" s="566">
        <f>C100&amp;D100&amp;RIGHT(F100,1)</f>
      </c>
      <c r="F100" t="s" s="546">
        <v>1782</v>
      </c>
      <c r="G100" s="567">
        <f>_xlfn.IFERROR(IF(VLOOKUP($E100,'BDD'!$A$1:$S$567,MATCH(G$10,'BDD'!$A$1:$P$1,0),FALSE)=0,"",VLOOKUP($E100,'BDD'!$A$1:$S$567,MATCH(G$10,'BDD'!$A$1:$P$1,0),FALSE)),"")</f>
      </c>
      <c r="H100" s="568">
        <f>IF(VLOOKUP(E100,'BDD'!$A$1:$S$567,15,FALSE)=0,"Critère non évalué","")</f>
      </c>
      <c r="I100" s="569">
        <f>_xlfn.IFERROR(IF(VLOOKUP($E100,'BDD'!$A$1:$S$567,MATCH(I$10,'BDD'!$A$1:$P$1,0),FALSE)=0,"",VLOOKUP($E100,'BDD'!$A$1:$S$567,MATCH(I$10,'BDD'!$A$1:$P$1,0),FALSE)),"")</f>
      </c>
      <c r="J100" s="549"/>
      <c r="K100" s="567">
        <f>_xlfn.IFERROR(IF(VLOOKUP($E100,'BDD'!$A$1:$S$567,MATCH(K$10,'BDD'!$A$1:$P$1,0),FALSE)=0,"",VLOOKUP($E100,'BDD'!$A$1:$S$567,MATCH(K$10,'BDD'!$A$1:$P$1,0),FALSE)),"")</f>
      </c>
      <c r="L100" s="550"/>
      <c r="M100" s="557"/>
      <c r="N100" s="557"/>
      <c r="O100" s="534"/>
      <c r="P100" s="890"/>
    </row>
    <row r="101" ht="14.4" customHeight="1">
      <c r="A101" s="887"/>
      <c r="B101" s="61"/>
      <c r="C101" t="s" s="513">
        <f>IF(LEFT(RIGHT($B$1,2),1)=" ",RIGHT($B$1,1),RIGHT($B$1,2))</f>
        <v>2235</v>
      </c>
      <c r="D101" s="61"/>
      <c r="E101" s="61"/>
      <c r="F101" s="559"/>
      <c r="G101" s="559"/>
      <c r="H101" s="559"/>
      <c r="I101" s="559"/>
      <c r="J101" s="559"/>
      <c r="K101" s="559"/>
      <c r="L101" s="61"/>
      <c r="M101" s="559"/>
      <c r="N101" s="559"/>
      <c r="O101" s="61"/>
      <c r="P101" s="890"/>
    </row>
    <row r="102" ht="14.4" customHeight="1">
      <c r="A102" s="887"/>
      <c r="B102" s="61"/>
      <c r="C102" t="s" s="513">
        <f>IF(LEFT(RIGHT($B$1,2),1)=" ",RIGHT($B$1,1),RIGHT($B$1,2))</f>
        <v>2235</v>
      </c>
      <c r="D102" s="61"/>
      <c r="E102" s="61"/>
      <c r="F102" s="61"/>
      <c r="G102" s="61"/>
      <c r="H102" s="61"/>
      <c r="I102" s="61"/>
      <c r="J102" s="61"/>
      <c r="K102" s="61"/>
      <c r="L102" s="61"/>
      <c r="M102" s="61"/>
      <c r="N102" s="61"/>
      <c r="O102" s="61"/>
      <c r="P102" s="890"/>
    </row>
    <row r="103" ht="25.8" customHeight="1">
      <c r="A103" s="891"/>
      <c r="B103" s="512"/>
      <c r="C103" t="s" s="513">
        <f>IF(LEFT(RIGHT($B$1,2),1)=" ",RIGHT($B$1,1),RIGHT($B$1,2))</f>
        <v>2235</v>
      </c>
      <c r="D103" s="61">
        <f>IF(LEFT(F103,14)="Bonne pratique",D99+1,D99)</f>
      </c>
      <c r="E103" s="565">
        <f>C103&amp;D103&amp;RIGHT(F103,1)</f>
      </c>
      <c r="F103" t="s" s="516">
        <v>1888</v>
      </c>
      <c r="G103" s="517"/>
      <c r="H103" s="518"/>
      <c r="I103" s="519"/>
      <c r="J103" s="519">
        <f>VLOOKUP(E110,'BDD'!$A$2:$N$567,6,FALSE)</f>
      </c>
      <c r="K103" s="521"/>
      <c r="L103" s="517"/>
      <c r="M103" s="517"/>
      <c r="N103" s="517"/>
      <c r="O103" s="512"/>
      <c r="P103" s="892"/>
    </row>
    <row r="104" ht="15" customHeight="1">
      <c r="A104" s="887"/>
      <c r="B104" s="61"/>
      <c r="C104" t="s" s="513">
        <f>IF(LEFT(RIGHT($B$1,2),1)=" ",RIGHT($B$1,1),RIGHT($B$1,2))</f>
        <v>2235</v>
      </c>
      <c r="D104" s="61">
        <f>IF(LEFT(F104,14)="Bonne pratique",D103+1,D103)</f>
      </c>
      <c r="E104" s="565">
        <f>C104&amp;D104&amp;RIGHT(F104,1)</f>
      </c>
      <c r="F104" s="61"/>
      <c r="G104" s="61"/>
      <c r="H104" s="61"/>
      <c r="I104" s="61"/>
      <c r="J104" s="61"/>
      <c r="K104" s="61"/>
      <c r="L104" s="61"/>
      <c r="M104" s="61"/>
      <c r="N104" s="61"/>
      <c r="O104" s="61"/>
      <c r="P104" s="890"/>
    </row>
    <row r="105" ht="18" customHeight="1">
      <c r="A105" s="893"/>
      <c r="B105" s="524"/>
      <c r="C105" t="s" s="513">
        <f>IF(LEFT(RIGHT($B$1,2),1)=" ",RIGHT($B$1,1),RIGHT($B$1,2))</f>
        <v>2235</v>
      </c>
      <c r="D105" s="61">
        <f>IF(LEFT(F105,14)="Bonne pratique",D104+1,D104)</f>
      </c>
      <c r="E105" s="565">
        <f>C105&amp;D105&amp;RIGHT(F105,1)</f>
      </c>
      <c r="F105" s="524"/>
      <c r="G105" s="524"/>
      <c r="H105" s="524"/>
      <c r="I105" s="525"/>
      <c r="J105" t="s" s="526">
        <v>1197</v>
      </c>
      <c r="K105" s="525"/>
      <c r="L105" s="524"/>
      <c r="M105" s="524"/>
      <c r="N105" s="524"/>
      <c r="O105" s="524"/>
      <c r="P105" s="894"/>
    </row>
    <row r="106" ht="18" customHeight="1">
      <c r="A106" s="887"/>
      <c r="B106" s="61"/>
      <c r="C106" t="s" s="513">
        <f>IF(LEFT(RIGHT($B$1,2),1)=" ",RIGHT($B$1,1),RIGHT($B$1,2))</f>
        <v>2235</v>
      </c>
      <c r="D106" s="61">
        <f>IF(LEFT(F106,14)="Bonne pratique",D105+1,D105)</f>
      </c>
      <c r="E106" s="565">
        <f>C106&amp;D106&amp;RIGHT(F106,1)</f>
      </c>
      <c r="F106" s="61"/>
      <c r="G106" s="61"/>
      <c r="H106" s="61"/>
      <c r="I106" s="61"/>
      <c r="J106" s="528"/>
      <c r="K106" s="61"/>
      <c r="L106" s="61"/>
      <c r="M106" s="529"/>
      <c r="N106" s="529"/>
      <c r="O106" s="61"/>
      <c r="P106" s="890"/>
    </row>
    <row r="107" ht="15" customHeight="1">
      <c r="A107" s="887"/>
      <c r="B107" s="61"/>
      <c r="C107" t="s" s="513">
        <f>IF(LEFT(RIGHT($B$1,2),1)=" ",RIGHT($B$1,1),RIGHT($B$1,2))</f>
        <v>2235</v>
      </c>
      <c r="D107" s="61">
        <f>IF(LEFT(F107,14)="Bonne pratique",D106+1,D106)</f>
      </c>
      <c r="E107" s="565">
        <f>C107&amp;D107&amp;RIGHT(F107,1)</f>
      </c>
      <c r="F107" s="61"/>
      <c r="G107" s="529"/>
      <c r="H107" s="529"/>
      <c r="I107" s="529"/>
      <c r="J107" s="530"/>
      <c r="K107" s="529"/>
      <c r="L107" s="542"/>
      <c r="M107" t="s" s="562">
        <v>1763</v>
      </c>
      <c r="N107" s="563"/>
      <c r="O107" s="534"/>
      <c r="P107" s="890"/>
    </row>
    <row r="108" ht="33" customHeight="1">
      <c r="A108" s="887"/>
      <c r="B108" s="61"/>
      <c r="C108" t="s" s="513">
        <f>IF(LEFT(RIGHT($B$1,2),1)=" ",RIGHT($B$1,1),RIGHT($B$1,2))</f>
        <v>2235</v>
      </c>
      <c r="D108" s="61">
        <f>IF(LEFT(F108,14)="Bonne pratique",D107+1,D107)</f>
      </c>
      <c r="E108" s="565">
        <f>C108&amp;D108&amp;RIGHT(F108,1)</f>
      </c>
      <c r="F108" s="564"/>
      <c r="G108" t="s" s="536">
        <v>244</v>
      </c>
      <c r="H108" t="s" s="536">
        <v>1764</v>
      </c>
      <c r="I108" t="s" s="536">
        <v>1787</v>
      </c>
      <c r="J108" t="s" s="536">
        <v>1765</v>
      </c>
      <c r="K108" t="s" s="536">
        <v>1788</v>
      </c>
      <c r="L108" s="538"/>
      <c r="M108" t="s" s="539">
        <v>1766</v>
      </c>
      <c r="N108" t="s" s="540">
        <v>1767</v>
      </c>
      <c r="O108" s="534"/>
      <c r="P108" s="890"/>
    </row>
    <row r="109" ht="15" customHeight="1">
      <c r="A109" s="887"/>
      <c r="B109" s="61"/>
      <c r="C109" t="s" s="513">
        <f>IF(LEFT(RIGHT($B$1,2),1)=" ",RIGHT($B$1,1),RIGHT($B$1,2))</f>
        <v>2235</v>
      </c>
      <c r="D109" s="61">
        <f>IF(LEFT(F109,14)="Bonne pratique",D108+1,D108)</f>
      </c>
      <c r="E109" s="565">
        <f>C109&amp;D109&amp;RIGHT(F109,1)</f>
      </c>
      <c r="F109" s="529"/>
      <c r="G109" s="541"/>
      <c r="H109" s="541"/>
      <c r="I109" s="541"/>
      <c r="J109" s="541"/>
      <c r="K109" s="541"/>
      <c r="L109" s="61"/>
      <c r="M109" s="541"/>
      <c r="N109" s="541"/>
      <c r="O109" s="61"/>
      <c r="P109" s="890"/>
    </row>
    <row r="110" ht="130.05" customHeight="1">
      <c r="A110" s="887"/>
      <c r="B110" s="542"/>
      <c r="C110" t="s" s="543">
        <f>IF(LEFT(RIGHT($B$1,2),1)=" ",RIGHT($B$1,1),RIGHT($B$1,2))</f>
        <v>2235</v>
      </c>
      <c r="D110" s="550">
        <f>IF(LEFT(F110,14)="Bonne pratique",D109+1,D109)</f>
      </c>
      <c r="E110" s="566">
        <f>C110&amp;D110&amp;RIGHT(F110,1)</f>
      </c>
      <c r="F110" t="s" s="546">
        <v>1769</v>
      </c>
      <c r="G110" s="567">
        <f>_xlfn.IFERROR(IF(VLOOKUP($E110,'BDD'!$A$1:$S$567,MATCH(G$10,'BDD'!$A$1:$P$1,0),FALSE)=0,"",VLOOKUP($E110,'BDD'!$A$1:$S$567,MATCH(G$10,'BDD'!$A$1:$P$1,0),FALSE)),"")</f>
      </c>
      <c r="H110" s="568">
        <f>IF(VLOOKUP(E110,'BDD'!$A$1:$S$567,15,FALSE)=0,"Critère non évalué","")</f>
      </c>
      <c r="I110" s="569">
        <f>_xlfn.IFERROR(IF(VLOOKUP($E110,'BDD'!$A$1:$S$567,MATCH(I$10,'BDD'!$A$1:$P$1,0),FALSE)=0,"",VLOOKUP($E110,'BDD'!$A$1:$S$567,MATCH(I$10,'BDD'!$A$1:$P$1,0),FALSE)),"")</f>
      </c>
      <c r="J110" s="549"/>
      <c r="K110" s="567">
        <f>_xlfn.IFERROR(IF(VLOOKUP($E110,'BDD'!$A$1:$S$567,MATCH(K$10,'BDD'!$A$1:$P$1,0),FALSE)=0,"",VLOOKUP($E110,'BDD'!$A$1:$S$567,MATCH(K$10,'BDD'!$A$1:$P$1,0),FALSE)),"")</f>
      </c>
      <c r="L110" s="550"/>
      <c r="M110" s="551"/>
      <c r="N110" s="551"/>
      <c r="O110" s="534"/>
      <c r="P110" s="890"/>
    </row>
    <row r="111" ht="130.05" customHeight="1">
      <c r="A111" s="887"/>
      <c r="B111" s="542"/>
      <c r="C111" t="s" s="543">
        <f>IF(LEFT(RIGHT($B$1,2),1)=" ",RIGHT($B$1,1),RIGHT($B$1,2))</f>
        <v>2235</v>
      </c>
      <c r="D111" s="550">
        <f>IF(LEFT(F111,14)="Bonne pratique",D110+1,D110)</f>
      </c>
      <c r="E111" s="566">
        <f>C111&amp;D111&amp;RIGHT(F111,1)</f>
      </c>
      <c r="F111" t="s" s="552">
        <v>1772</v>
      </c>
      <c r="G111" s="557">
        <f>_xlfn.IFERROR(IF(VLOOKUP($E111,'BDD'!$A$1:$S$567,MATCH(G$10,'BDD'!$A$1:$P$1,0),FALSE)=0,"",VLOOKUP($E111,'BDD'!$A$1:$S$567,MATCH(G$10,'BDD'!$A$1:$P$1,0),FALSE)),"")</f>
      </c>
      <c r="H111" s="570">
        <f>IF(VLOOKUP(E111,'BDD'!$A$1:$S$567,15,FALSE)=0,"Critère non évalué","")</f>
      </c>
      <c r="I111" s="571">
        <f>_xlfn.IFERROR(IF(VLOOKUP($E111,'BDD'!$A$1:$S$567,MATCH(I$10,'BDD'!$A$1:$P$1,0),FALSE)=0,"",VLOOKUP($E111,'BDD'!$A$1:$S$567,MATCH(I$10,'BDD'!$A$1:$P$1,0),FALSE)),"")</f>
      </c>
      <c r="J111" s="554"/>
      <c r="K111" s="557">
        <f>_xlfn.IFERROR(IF(VLOOKUP($E111,'BDD'!$A$1:$S$567,MATCH(K$10,'BDD'!$A$1:$P$1,0),FALSE)=0,"",VLOOKUP($E111,'BDD'!$A$1:$S$567,MATCH(K$10,'BDD'!$A$1:$P$1,0),FALSE)),"")</f>
      </c>
      <c r="L111" s="550"/>
      <c r="M111" s="555"/>
      <c r="N111" s="555"/>
      <c r="O111" s="534"/>
      <c r="P111" s="890"/>
    </row>
    <row r="112" ht="130.05" customHeight="1">
      <c r="A112" s="887"/>
      <c r="B112" s="542"/>
      <c r="C112" t="s" s="543">
        <f>IF(LEFT(RIGHT($B$1,2),1)=" ",RIGHT($B$1,1),RIGHT($B$1,2))</f>
        <v>2235</v>
      </c>
      <c r="D112" s="550">
        <f>IF(LEFT(F112,14)="Bonne pratique",D111+1,D111)</f>
      </c>
      <c r="E112" s="566">
        <f>C112&amp;D112&amp;RIGHT(F112,1)</f>
      </c>
      <c r="F112" t="s" s="546">
        <v>1774</v>
      </c>
      <c r="G112" s="567">
        <f>_xlfn.IFERROR(IF(VLOOKUP($E112,'BDD'!$A$1:$S$567,MATCH(G$10,'BDD'!$A$1:$P$1,0),FALSE)=0,"",VLOOKUP($E112,'BDD'!$A$1:$S$567,MATCH(G$10,'BDD'!$A$1:$P$1,0),FALSE)),"")</f>
      </c>
      <c r="H112" s="568">
        <f>IF(VLOOKUP(E112,'BDD'!$A$1:$S$567,15,FALSE)=0,"Critère non évalué","")</f>
      </c>
      <c r="I112" s="569">
        <f>_xlfn.IFERROR(IF(VLOOKUP($E112,'BDD'!$A$1:$S$567,MATCH(I$10,'BDD'!$A$1:$P$1,0),FALSE)=0,"",VLOOKUP($E112,'BDD'!$A$1:$S$567,MATCH(I$10,'BDD'!$A$1:$P$1,0),FALSE)),"")</f>
      </c>
      <c r="J112" s="549"/>
      <c r="K112" s="567">
        <f>_xlfn.IFERROR(IF(VLOOKUP($E112,'BDD'!$A$1:$S$567,MATCH(K$10,'BDD'!$A$1:$P$1,0),FALSE)=0,"",VLOOKUP($E112,'BDD'!$A$1:$S$567,MATCH(K$10,'BDD'!$A$1:$P$1,0),FALSE)),"")</f>
      </c>
      <c r="L112" s="550"/>
      <c r="M112" s="551"/>
      <c r="N112" s="551"/>
      <c r="O112" s="534"/>
      <c r="P112" s="890"/>
    </row>
    <row r="113" ht="130.05" customHeight="1" hidden="1">
      <c r="A113" s="887"/>
      <c r="B113" s="542"/>
      <c r="C113" t="s" s="543">
        <f>IF(LEFT(RIGHT($B$1,2),1)=" ",RIGHT($B$1,1),RIGHT($B$1,2))</f>
        <v>2235</v>
      </c>
      <c r="D113" s="550">
        <f>IF(LEFT(F113,14)="Bonne pratique",D112+1,D112)</f>
      </c>
      <c r="E113" s="566">
        <f>C113&amp;D113&amp;RIGHT(F113,1)</f>
      </c>
      <c r="F113" t="s" s="552">
        <v>1776</v>
      </c>
      <c r="G113" s="557">
        <f>_xlfn.IFERROR(IF(VLOOKUP($E113,'BDD'!$A$1:$S$567,MATCH(G$10,'BDD'!$A$1:$P$1,0),FALSE)=0,"",VLOOKUP($E113,'BDD'!$A$1:$S$567,MATCH(G$10,'BDD'!$A$1:$P$1,0),FALSE)),"")</f>
      </c>
      <c r="H113" s="570">
        <f>IF(VLOOKUP(E113,'BDD'!$A$1:$S$567,15,FALSE)=0,"Critère non évalué","")</f>
      </c>
      <c r="I113" s="571">
        <f>_xlfn.IFERROR(IF(VLOOKUP($E113,'BDD'!$A$1:$S$567,MATCH(I$10,'BDD'!$A$1:$P$1,0),FALSE)=0,"",VLOOKUP($E113,'BDD'!$A$1:$S$567,MATCH(I$10,'BDD'!$A$1:$P$1,0),FALSE)),"")</f>
      </c>
      <c r="J113" s="556"/>
      <c r="K113" s="557">
        <f>_xlfn.IFERROR(IF(VLOOKUP($E113,'BDD'!$A$1:$S$567,MATCH(K$10,'BDD'!$A$1:$P$1,0),FALSE)=0,"",VLOOKUP($E113,'BDD'!$A$1:$S$567,MATCH(K$10,'BDD'!$A$1:$P$1,0),FALSE)),"")</f>
      </c>
      <c r="L113" s="550"/>
      <c r="M113" s="555"/>
      <c r="N113" s="555"/>
      <c r="O113" s="534"/>
      <c r="P113" s="890"/>
    </row>
    <row r="114" ht="130.05" customHeight="1" hidden="1">
      <c r="A114" s="887"/>
      <c r="B114" s="542"/>
      <c r="C114" t="s" s="543">
        <f>IF(LEFT(RIGHT($B$1,2),1)=" ",RIGHT($B$1,1),RIGHT($B$1,2))</f>
        <v>2235</v>
      </c>
      <c r="D114" s="550">
        <f>IF(LEFT(F114,14)="Bonne pratique",D113+1,D113)</f>
      </c>
      <c r="E114" s="566">
        <f>C114&amp;D114&amp;RIGHT(F114,1)</f>
      </c>
      <c r="F114" t="s" s="546">
        <v>1778</v>
      </c>
      <c r="G114" s="567">
        <f>_xlfn.IFERROR(IF(VLOOKUP($E114,'BDD'!$A$1:$S$567,MATCH(G$10,'BDD'!$A$1:$P$1,0),FALSE)=0,"",VLOOKUP($E114,'BDD'!$A$1:$S$567,MATCH(G$10,'BDD'!$A$1:$P$1,0),FALSE)),"")</f>
      </c>
      <c r="H114" s="568">
        <f>IF(VLOOKUP(E114,'BDD'!$A$1:$S$567,15,FALSE)=0,"Critère non évalué","")</f>
      </c>
      <c r="I114" s="569">
        <f>_xlfn.IFERROR(IF(VLOOKUP($E114,'BDD'!$A$1:$S$567,MATCH(I$10,'BDD'!$A$1:$P$1,0),FALSE)=0,"",VLOOKUP($E114,'BDD'!$A$1:$S$567,MATCH(I$10,'BDD'!$A$1:$P$1,0),FALSE)),"")</f>
      </c>
      <c r="J114" s="549"/>
      <c r="K114" s="567">
        <f>_xlfn.IFERROR(IF(VLOOKUP($E114,'BDD'!$A$1:$S$567,MATCH(K$10,'BDD'!$A$1:$P$1,0),FALSE)=0,"",VLOOKUP($E114,'BDD'!$A$1:$S$567,MATCH(K$10,'BDD'!$A$1:$P$1,0),FALSE)),"")</f>
      </c>
      <c r="L114" s="550"/>
      <c r="M114" s="557"/>
      <c r="N114" s="557"/>
      <c r="O114" s="534"/>
      <c r="P114" s="890"/>
    </row>
    <row r="115" ht="130.05" customHeight="1" hidden="1">
      <c r="A115" s="887"/>
      <c r="B115" s="542"/>
      <c r="C115" t="s" s="543">
        <f>IF(LEFT(RIGHT($B$1,2),1)=" ",RIGHT($B$1,1),RIGHT($B$1,2))</f>
        <v>2235</v>
      </c>
      <c r="D115" s="550">
        <f>IF(LEFT(F115,14)="Bonne pratique",D114+1,D114)</f>
      </c>
      <c r="E115" s="566">
        <f>C115&amp;D115&amp;RIGHT(F115,1)</f>
      </c>
      <c r="F115" t="s" s="552">
        <v>1780</v>
      </c>
      <c r="G115" s="557">
        <f>_xlfn.IFERROR(IF(VLOOKUP($E115,'BDD'!$A$1:$S$567,MATCH(G$10,'BDD'!$A$1:$P$1,0),FALSE)=0,"",VLOOKUP($E115,'BDD'!$A$1:$S$567,MATCH(G$10,'BDD'!$A$1:$P$1,0),FALSE)),"")</f>
      </c>
      <c r="H115" s="570">
        <f>IF(VLOOKUP(E115,'BDD'!$A$1:$S$567,15,FALSE)=0,"Critère non évalué","")</f>
      </c>
      <c r="I115" s="571">
        <f>_xlfn.IFERROR(IF(VLOOKUP($E115,'BDD'!$A$1:$S$567,MATCH(I$10,'BDD'!$A$1:$P$1,0),FALSE)=0,"",VLOOKUP($E115,'BDD'!$A$1:$S$567,MATCH(I$10,'BDD'!$A$1:$P$1,0),FALSE)),"")</f>
      </c>
      <c r="J115" s="556"/>
      <c r="K115" s="557">
        <f>_xlfn.IFERROR(IF(VLOOKUP($E115,'BDD'!$A$1:$S$567,MATCH(K$10,'BDD'!$A$1:$P$1,0),FALSE)=0,"",VLOOKUP($E115,'BDD'!$A$1:$S$567,MATCH(K$10,'BDD'!$A$1:$P$1,0),FALSE)),"")</f>
      </c>
      <c r="L115" s="550"/>
      <c r="M115" s="555"/>
      <c r="N115" s="555"/>
      <c r="O115" s="534"/>
      <c r="P115" s="890"/>
    </row>
    <row r="116" ht="130.05" customHeight="1" hidden="1">
      <c r="A116" s="887"/>
      <c r="B116" s="542"/>
      <c r="C116" t="s" s="543">
        <f>RIGHT($B$1,1)</f>
        <v>2235</v>
      </c>
      <c r="D116" s="550">
        <f>IF(LEFT(F116,14)="Bonne pratique",D115+1,D115)</f>
      </c>
      <c r="E116" s="566">
        <f>C116&amp;D116&amp;RIGHT(F116,1)</f>
      </c>
      <c r="F116" t="s" s="546">
        <v>1782</v>
      </c>
      <c r="G116" s="567">
        <f>_xlfn.IFERROR(IF(VLOOKUP($E116,'BDD'!$A$1:$S$567,MATCH(G$10,'BDD'!$A$1:$P$1,0),FALSE)=0,"",VLOOKUP($E116,'BDD'!$A$1:$S$567,MATCH(G$10,'BDD'!$A$1:$P$1,0),FALSE)),"")</f>
      </c>
      <c r="H116" s="568">
        <f>IF(VLOOKUP(E116,'BDD'!$A$1:$S$567,15,FALSE)=0,"Critère non évalué","")</f>
      </c>
      <c r="I116" s="569">
        <f>_xlfn.IFERROR(IF(VLOOKUP($E116,'BDD'!$A$1:$S$567,MATCH(I$10,'BDD'!$A$1:$P$1,0),FALSE)=0,"",VLOOKUP($E116,'BDD'!$A$1:$S$567,MATCH(I$10,'BDD'!$A$1:$P$1,0),FALSE)),"")</f>
      </c>
      <c r="J116" s="549"/>
      <c r="K116" s="567">
        <f>_xlfn.IFERROR(IF(VLOOKUP($E116,'BDD'!$A$1:$S$567,MATCH(K$10,'BDD'!$A$1:$P$1,0),FALSE)=0,"",VLOOKUP($E116,'BDD'!$A$1:$S$567,MATCH(K$10,'BDD'!$A$1:$P$1,0),FALSE)),"")</f>
      </c>
      <c r="L116" s="550"/>
      <c r="M116" s="557"/>
      <c r="N116" s="557"/>
      <c r="O116" s="534"/>
      <c r="P116" s="890"/>
    </row>
    <row r="117" ht="14.4" customHeight="1">
      <c r="A117" s="887"/>
      <c r="B117" s="61"/>
      <c r="C117" s="61"/>
      <c r="D117" s="61"/>
      <c r="E117" s="61"/>
      <c r="F117" s="559"/>
      <c r="G117" s="559"/>
      <c r="H117" s="559"/>
      <c r="I117" s="559"/>
      <c r="J117" s="559"/>
      <c r="K117" s="559"/>
      <c r="L117" s="61"/>
      <c r="M117" s="559"/>
      <c r="N117" s="559"/>
      <c r="O117" s="61"/>
      <c r="P117" s="890"/>
    </row>
    <row r="118" ht="14.4" customHeight="1">
      <c r="A118" t="s" s="895">
        <v>171</v>
      </c>
      <c r="B118" s="896"/>
      <c r="C118" s="896"/>
      <c r="D118" s="896"/>
      <c r="E118" s="896"/>
      <c r="F118" s="896"/>
      <c r="G118" s="896"/>
      <c r="H118" s="896"/>
      <c r="I118" s="896"/>
      <c r="J118" s="896"/>
      <c r="K118" s="896"/>
      <c r="L118" s="896"/>
      <c r="M118" s="896"/>
      <c r="N118" s="896"/>
      <c r="O118" s="896"/>
      <c r="P118" t="s" s="897">
        <v>171</v>
      </c>
    </row>
  </sheetData>
  <mergeCells count="7">
    <mergeCell ref="M107:N107"/>
    <mergeCell ref="M9:N9"/>
    <mergeCell ref="M25:N25"/>
    <mergeCell ref="M41:N41"/>
    <mergeCell ref="M57:N57"/>
    <mergeCell ref="M75:N75"/>
    <mergeCell ref="M91:N91"/>
  </mergeCells>
  <pageMargins left="0.7" right="0.7" top="0.75" bottom="0.75" header="0.3" footer="0.3"/>
  <pageSetup firstPageNumber="1" fitToHeight="1" fitToWidth="1" scale="100" useFirstPageNumber="0" orientation="portrait" pageOrder="downThenOver"/>
  <headerFooter>
    <oddFooter>&amp;C&amp;"Helvetica Neue,Regular"&amp;12&amp;K000000&amp;P</oddFooter>
  </headerFooter>
  <drawing r:id="rId1"/>
</worksheet>
</file>

<file path=xl/worksheets/sheet23.xml><?xml version="1.0" encoding="utf-8"?>
<worksheet xmlns:r="http://schemas.openxmlformats.org/officeDocument/2006/relationships" xmlns="http://schemas.openxmlformats.org/spreadsheetml/2006/main">
  <dimension ref="A1:AI100"/>
  <sheetViews>
    <sheetView workbookViewId="0" showGridLines="0" defaultGridColor="1"/>
  </sheetViews>
  <sheetFormatPr defaultColWidth="8.83333" defaultRowHeight="14.4" customHeight="1" outlineLevelRow="0" outlineLevelCol="0"/>
  <cols>
    <col min="1" max="2" width="5.85156" style="1011" customWidth="1"/>
    <col min="3" max="5" hidden="1" width="8.83333" style="1011" customWidth="1"/>
    <col min="6" max="6" width="25.6719" style="1011" customWidth="1"/>
    <col min="7" max="7" width="73.5" style="1011" customWidth="1"/>
    <col min="8" max="12" width="5.85156" style="1011" customWidth="1"/>
    <col min="13" max="13" width="8.85156" style="1011" customWidth="1"/>
    <col min="14" max="14" width="50.8516" style="1011" customWidth="1"/>
    <col min="15" max="21" width="4.35156" style="1011" customWidth="1"/>
    <col min="22" max="22" width="3" style="1011" customWidth="1"/>
    <col min="23" max="23" width="23.8516" style="1011" customWidth="1"/>
    <col min="24" max="24" width="59.8516" style="1011" customWidth="1"/>
    <col min="25" max="25" width="4" style="1011" customWidth="1"/>
    <col min="26" max="27" width="17.1719" style="1011" customWidth="1"/>
    <col min="28" max="28" width="5.85156" style="1011" customWidth="1"/>
    <col min="29" max="29" width="7.85156" style="1011" customWidth="1"/>
    <col min="30" max="30" width="2.5" style="1011" customWidth="1"/>
    <col min="31" max="31" width="19" style="1011" customWidth="1"/>
    <col min="32" max="34" width="5.85156" style="1011" customWidth="1"/>
    <col min="35" max="35" width="8.85156" style="1011" customWidth="1"/>
    <col min="36" max="16384" width="8.85156" style="1011" customWidth="1"/>
  </cols>
  <sheetData>
    <row r="1" ht="45" customHeight="1">
      <c r="A1" s="899"/>
      <c r="B1" t="s" s="881">
        <v>2234</v>
      </c>
      <c r="C1" s="900"/>
      <c r="D1" s="900"/>
      <c r="E1" s="882"/>
      <c r="F1" s="882"/>
      <c r="G1" s="882"/>
      <c r="H1" s="882"/>
      <c r="I1" s="882"/>
      <c r="J1" s="901"/>
      <c r="K1" s="902"/>
      <c r="L1" s="882"/>
      <c r="M1" s="882"/>
      <c r="N1" s="903"/>
      <c r="O1" s="903"/>
      <c r="P1" s="903"/>
      <c r="Q1" t="s" s="904">
        <f>VLOOKUP($E$27,'BDD'!$A$2:$N$567,3,FALSE)</f>
        <v>231</v>
      </c>
      <c r="R1" s="883"/>
      <c r="S1" s="884"/>
      <c r="T1" s="884"/>
      <c r="U1" s="884"/>
      <c r="V1" s="884"/>
      <c r="W1" s="884"/>
      <c r="X1" s="884"/>
      <c r="Y1" s="884"/>
      <c r="Z1" s="884"/>
      <c r="AA1" s="884"/>
      <c r="AB1" s="884"/>
      <c r="AC1" s="884"/>
      <c r="AD1" s="884"/>
      <c r="AE1" s="884"/>
      <c r="AF1" s="884"/>
      <c r="AG1" s="884"/>
      <c r="AH1" s="884"/>
      <c r="AI1" s="582"/>
    </row>
    <row r="2" ht="45" customHeight="1">
      <c r="A2" s="887"/>
      <c r="B2" s="888"/>
      <c r="C2" s="888"/>
      <c r="D2" s="888"/>
      <c r="E2" s="888"/>
      <c r="F2" s="888"/>
      <c r="G2" s="888"/>
      <c r="H2" s="888"/>
      <c r="I2" s="888"/>
      <c r="J2" s="888"/>
      <c r="K2" s="888"/>
      <c r="L2" s="888"/>
      <c r="M2" s="888"/>
      <c r="N2" s="905"/>
      <c r="O2" s="905"/>
      <c r="P2" s="905"/>
      <c r="Q2" t="s" s="889">
        <f>VLOOKUP($E$27,'BDD'!$A$2:$N$567,4,FALSE)</f>
        <v>1086</v>
      </c>
      <c r="R2" s="888"/>
      <c r="S2" s="906"/>
      <c r="T2" s="906"/>
      <c r="U2" s="906"/>
      <c r="V2" s="906"/>
      <c r="W2" s="906"/>
      <c r="X2" s="906"/>
      <c r="Y2" s="906"/>
      <c r="Z2" s="906"/>
      <c r="AA2" s="906"/>
      <c r="AB2" s="906"/>
      <c r="AC2" s="906"/>
      <c r="AD2" s="906"/>
      <c r="AE2" s="906"/>
      <c r="AF2" s="906"/>
      <c r="AG2" s="906"/>
      <c r="AH2" s="906"/>
      <c r="AI2" s="585"/>
    </row>
    <row r="3" ht="45" customHeight="1">
      <c r="A3" s="887"/>
      <c r="B3" s="586"/>
      <c r="C3" s="586"/>
      <c r="D3" s="586"/>
      <c r="E3" s="586"/>
      <c r="F3" s="586"/>
      <c r="G3" s="587"/>
      <c r="H3" s="587"/>
      <c r="I3" s="587"/>
      <c r="J3" s="587"/>
      <c r="K3" s="587"/>
      <c r="L3" s="587"/>
      <c r="M3" s="587"/>
      <c r="N3" s="586"/>
      <c r="O3" s="586"/>
      <c r="P3" s="586"/>
      <c r="Q3" s="586"/>
      <c r="R3" s="586"/>
      <c r="S3" s="586"/>
      <c r="T3" s="586"/>
      <c r="U3" s="586"/>
      <c r="V3" s="586"/>
      <c r="W3" s="588"/>
      <c r="X3" s="586"/>
      <c r="Y3" s="586"/>
      <c r="Z3" s="586"/>
      <c r="AA3" s="589"/>
      <c r="AB3" s="586"/>
      <c r="AC3" s="586"/>
      <c r="AD3" s="586"/>
      <c r="AE3" s="586"/>
      <c r="AF3" s="586"/>
      <c r="AG3" s="586"/>
      <c r="AH3" s="888"/>
      <c r="AI3" s="585"/>
    </row>
    <row r="4" ht="26.4" customHeight="1">
      <c r="A4" s="887"/>
      <c r="B4" s="586"/>
      <c r="C4" s="586"/>
      <c r="D4" s="586"/>
      <c r="E4" s="586"/>
      <c r="F4" s="586"/>
      <c r="G4" t="s" s="590">
        <v>1817</v>
      </c>
      <c r="H4" s="591"/>
      <c r="I4" s="587"/>
      <c r="J4" s="591"/>
      <c r="K4" s="591"/>
      <c r="L4" s="591"/>
      <c r="M4" s="591"/>
      <c r="N4" s="586"/>
      <c r="O4" s="586"/>
      <c r="P4" s="586"/>
      <c r="Q4" s="586"/>
      <c r="R4" s="586"/>
      <c r="S4" s="586"/>
      <c r="T4" s="586"/>
      <c r="U4" s="586"/>
      <c r="V4" s="586"/>
      <c r="W4" t="s" s="907">
        <v>1818</v>
      </c>
      <c r="X4" s="586"/>
      <c r="Y4" s="586"/>
      <c r="Z4" s="593"/>
      <c r="AA4" s="594"/>
      <c r="AB4" t="s" s="595">
        <v>1819</v>
      </c>
      <c r="AC4" s="586"/>
      <c r="AD4" s="586"/>
      <c r="AE4" s="586"/>
      <c r="AF4" s="596"/>
      <c r="AG4" s="596"/>
      <c r="AH4" s="908"/>
      <c r="AI4" s="585"/>
    </row>
    <row r="5" ht="42" customHeight="1">
      <c r="A5" s="887"/>
      <c r="B5" s="586"/>
      <c r="C5" s="586"/>
      <c r="D5" s="586"/>
      <c r="E5" t="s" s="744">
        <f>RIGHT($B$1,1)&amp;"11"</f>
        <v>132</v>
      </c>
      <c r="F5" s="586"/>
      <c r="G5" t="s" s="598">
        <f>IF(VLOOKUP(E5,'BDD'!$A$2:$N$567,13,FALSE)=0,"",VLOOKUP(E5,'BDD'!$A$2:$N$567,13,FALSE))</f>
        <v>1090</v>
      </c>
      <c r="H5" s="599"/>
      <c r="I5" s="587"/>
      <c r="J5" s="25"/>
      <c r="K5" s="599"/>
      <c r="L5" s="909"/>
      <c r="M5" s="909"/>
      <c r="N5" s="910"/>
      <c r="O5" s="910"/>
      <c r="P5" s="910"/>
      <c r="Q5" s="910"/>
      <c r="R5" s="910"/>
      <c r="S5" s="910"/>
      <c r="T5" s="910"/>
      <c r="U5" s="910"/>
      <c r="V5" s="910"/>
      <c r="W5" s="911"/>
      <c r="X5" s="910"/>
      <c r="Y5" s="910"/>
      <c r="Z5" s="910"/>
      <c r="AA5" s="912"/>
      <c r="AB5" s="910"/>
      <c r="AC5" s="586"/>
      <c r="AD5" s="586"/>
      <c r="AE5" s="586"/>
      <c r="AF5" s="586"/>
      <c r="AG5" s="586"/>
      <c r="AH5" s="888"/>
      <c r="AI5" s="585"/>
    </row>
    <row r="6" ht="41.4" customHeight="1">
      <c r="A6" s="913"/>
      <c r="B6" s="565"/>
      <c r="C6" s="565"/>
      <c r="D6" s="565"/>
      <c r="E6" t="s" s="558">
        <f>RIGHT($B$1,1)&amp;"12"</f>
        <v>1092</v>
      </c>
      <c r="F6" s="565"/>
      <c r="G6" t="s" s="598">
        <f>IF(VLOOKUP(E6,'BDD'!$A$2:$N$567,13,FALSE)=0,"",VLOOKUP(E6,'BDD'!$A$2:$N$567,13,FALSE))</f>
        <v>1094</v>
      </c>
      <c r="H6" s="605"/>
      <c r="I6" s="587"/>
      <c r="J6" s="25"/>
      <c r="K6" s="914"/>
      <c r="L6" s="915"/>
      <c r="M6" s="916"/>
      <c r="N6" s="917"/>
      <c r="O6" s="918"/>
      <c r="P6" s="918"/>
      <c r="Q6" s="918"/>
      <c r="R6" s="918"/>
      <c r="S6" s="918"/>
      <c r="T6" s="918"/>
      <c r="U6" s="918"/>
      <c r="V6" s="919"/>
      <c r="W6" s="918"/>
      <c r="X6" s="918"/>
      <c r="Y6" s="919"/>
      <c r="Z6" s="920"/>
      <c r="AA6" s="920"/>
      <c r="AB6" s="921"/>
      <c r="AC6" s="922"/>
      <c r="AD6" s="615"/>
      <c r="AE6" s="615"/>
      <c r="AF6" s="587"/>
      <c r="AG6" s="587"/>
      <c r="AH6" s="923"/>
      <c r="AI6" s="617"/>
    </row>
    <row r="7" ht="31.8" customHeight="1">
      <c r="A7" s="913"/>
      <c r="B7" s="565"/>
      <c r="C7" s="565"/>
      <c r="D7" s="565"/>
      <c r="E7" t="s" s="558">
        <f>RIGHT($B$1,1)&amp;"13"</f>
        <v>1096</v>
      </c>
      <c r="F7" s="565"/>
      <c r="G7" t="s" s="598">
        <f>IF(VLOOKUP(E7,'BDD'!$A$2:$N$567,13,FALSE)=0,"",VLOOKUP(E7,'BDD'!$A$2:$N$567,13,FALSE))</f>
        <v>1098</v>
      </c>
      <c r="H7" s="605"/>
      <c r="I7" s="587"/>
      <c r="J7" s="25"/>
      <c r="K7" s="914"/>
      <c r="L7" s="924"/>
      <c r="M7" s="925"/>
      <c r="N7" t="s" s="620">
        <v>11</v>
      </c>
      <c r="O7" t="s" s="621">
        <v>12</v>
      </c>
      <c r="P7" t="s" s="621">
        <v>13</v>
      </c>
      <c r="Q7" t="s" s="621">
        <v>14</v>
      </c>
      <c r="R7" t="s" s="621">
        <v>15</v>
      </c>
      <c r="S7" t="s" s="621">
        <v>16</v>
      </c>
      <c r="T7" t="s" s="621">
        <v>17</v>
      </c>
      <c r="U7" t="s" s="621">
        <v>18</v>
      </c>
      <c r="V7" s="163"/>
      <c r="W7" t="s" s="622">
        <v>20</v>
      </c>
      <c r="X7" t="s" s="623">
        <v>21</v>
      </c>
      <c r="Y7" s="926"/>
      <c r="Z7" t="s" s="625">
        <v>22</v>
      </c>
      <c r="AA7" t="s" s="626">
        <v>223</v>
      </c>
      <c r="AB7" s="927"/>
      <c r="AC7" s="928"/>
      <c r="AD7" t="s" s="629">
        <v>1820</v>
      </c>
      <c r="AE7" t="s" s="630">
        <v>1752</v>
      </c>
      <c r="AF7" s="631"/>
      <c r="AG7" s="587"/>
      <c r="AH7" s="923"/>
      <c r="AI7" s="617"/>
    </row>
    <row r="8" ht="41.4" customHeight="1">
      <c r="A8" s="913"/>
      <c r="B8" s="565"/>
      <c r="C8" s="565"/>
      <c r="D8" s="565"/>
      <c r="E8" t="s" s="558">
        <f>RIGHT($B$1,1)&amp;"14"</f>
        <v>1100</v>
      </c>
      <c r="F8" s="565"/>
      <c r="G8" t="s" s="598">
        <f>IF(VLOOKUP(E8,'BDD'!$A$2:$N$567,13,FALSE)=0,"",VLOOKUP(E8,'BDD'!$A$2:$N$567,13,FALSE))</f>
      </c>
      <c r="H8" s="605"/>
      <c r="I8" s="587"/>
      <c r="J8" s="25"/>
      <c r="K8" s="914"/>
      <c r="L8" s="924"/>
      <c r="M8" t="s" s="929">
        <f>IF(LEFT(RIGHT($B$1,2),1)=" ",RIGHT($B$1,1),RIGHT($B$1,2))&amp;1</f>
        <v>647</v>
      </c>
      <c r="N8" t="s" s="539">
        <f>RIGHT(M8,1)&amp;" : "&amp;VLOOKUP($M8&amp;"1",'BDD'!$A$2:$N$567,6,FALSE)</f>
        <v>2267</v>
      </c>
      <c r="O8" t="s" s="71">
        <f>IF(VLOOKUP($M8&amp;RIGHT(O$7,1),'BDD'!$A$1:$S$428,15,FALSE)=4,"NE",IF(VLOOKUP($M8&amp;RIGHT(O$7,1),'BDD'!$A$1:$S$428,15,FALSE)=0,"NE",VLOOKUP($M8&amp;RIGHT(O$7,1),'BDD'!$A$1:$S$428,15,FALSE)))</f>
        <v>27</v>
      </c>
      <c r="P8" t="s" s="71">
        <f>IF(VLOOKUP($M8&amp;RIGHT(P$7,1),'BDD'!$A$1:$S$428,15,FALSE)=4,"NE",IF(VLOOKUP($M8&amp;RIGHT(P$7,1),'BDD'!$A$1:$S$428,15,FALSE)=0,"NE",VLOOKUP($M8&amp;RIGHT(P$7,1),'BDD'!$A$1:$S$428,15,FALSE)))</f>
        <v>27</v>
      </c>
      <c r="Q8" s="72"/>
      <c r="R8" s="72"/>
      <c r="S8" s="72"/>
      <c r="T8" s="72"/>
      <c r="U8" s="72"/>
      <c r="V8" s="930"/>
      <c r="W8" t="s" s="634">
        <v>28</v>
      </c>
      <c r="X8" s="635"/>
      <c r="Y8" s="931"/>
      <c r="Z8" s="637">
        <f>O25</f>
        <v>0</v>
      </c>
      <c r="AA8" s="77">
        <f>P25</f>
      </c>
      <c r="AB8" s="927"/>
      <c r="AC8" s="928"/>
      <c r="AD8" s="638"/>
      <c r="AE8" t="s" s="639">
        <v>1753</v>
      </c>
      <c r="AF8" s="631"/>
      <c r="AG8" s="587"/>
      <c r="AH8" s="923"/>
      <c r="AI8" s="617"/>
    </row>
    <row r="9" ht="30" customHeight="1">
      <c r="A9" s="913"/>
      <c r="B9" s="565"/>
      <c r="C9" s="565"/>
      <c r="D9" s="565"/>
      <c r="E9" t="s" s="558">
        <f>RIGHT($B$1,1)&amp;"15"</f>
        <v>1101</v>
      </c>
      <c r="F9" s="565"/>
      <c r="G9" t="s" s="598">
        <f>IF(VLOOKUP(E9,'BDD'!$A$2:$N$567,13,FALSE)=0,"",VLOOKUP(E9,'BDD'!$A$2:$N$567,13,FALSE))</f>
      </c>
      <c r="H9" s="605"/>
      <c r="I9" s="587"/>
      <c r="J9" s="25"/>
      <c r="K9" s="914"/>
      <c r="L9" s="924"/>
      <c r="M9" t="s" s="929">
        <f>IF(LEFT(RIGHT($B$1,2),1)=" ",RIGHT($B$1,1),RIGHT($B$1,2))&amp;2</f>
        <v>651</v>
      </c>
      <c r="N9" t="s" s="640">
        <f>RIGHT(M9,1)&amp;" : "&amp;VLOOKUP($M9&amp;"1",'BDD'!$A$2:$N$567,6,FALSE)</f>
        <v>2268</v>
      </c>
      <c r="O9" t="s" s="85">
        <f>IF(VLOOKUP($M9&amp;RIGHT(O$7,1),'BDD'!$A$1:$S$428,15,FALSE)=4,"NE",IF(VLOOKUP($M9&amp;RIGHT(O$7,1),'BDD'!$A$1:$S$428,15,FALSE)=0,"NE",VLOOKUP($M9&amp;RIGHT(O$7,1),'BDD'!$A$1:$S$428,15,FALSE)))</f>
        <v>27</v>
      </c>
      <c r="P9" t="s" s="85">
        <f>IF(VLOOKUP($M9&amp;RIGHT(P$7,1),'BDD'!$A$1:$S$428,15,FALSE)=4,"NE",IF(VLOOKUP($M9&amp;RIGHT(P$7,1),'BDD'!$A$1:$S$428,15,FALSE)=0,"NE",VLOOKUP($M9&amp;RIGHT(P$7,1),'BDD'!$A$1:$S$428,15,FALSE)))</f>
        <v>27</v>
      </c>
      <c r="Q9" t="s" s="85">
        <f>IF(VLOOKUP($M9&amp;RIGHT(Q$7,1),'BDD'!$A$1:$S$428,15,FALSE)=4,"NE",IF(VLOOKUP($M9&amp;RIGHT(Q$7,1),'BDD'!$A$1:$S$428,15,FALSE)=0,"NE",VLOOKUP($M9&amp;RIGHT(Q$7,1),'BDD'!$A$1:$S$428,15,FALSE)))</f>
        <v>27</v>
      </c>
      <c r="R9" t="s" s="85">
        <f>IF(VLOOKUP($M9&amp;RIGHT(R$7,1),'BDD'!$A$1:$S$428,15,FALSE)=4,"NE",IF(VLOOKUP($M9&amp;RIGHT(R$7,1),'BDD'!$A$1:$S$428,15,FALSE)=0,"NE",VLOOKUP($M9&amp;RIGHT(R$7,1),'BDD'!$A$1:$S$428,15,FALSE)))</f>
        <v>27</v>
      </c>
      <c r="S9" t="s" s="85">
        <f>IF(VLOOKUP($M9&amp;RIGHT(S$7,1),'BDD'!$A$1:$S$428,15,FALSE)=4,"NE",IF(VLOOKUP($M9&amp;RIGHT(S$7,1),'BDD'!$A$1:$S$428,15,FALSE)=0,"NE",VLOOKUP($M9&amp;RIGHT(S$7,1),'BDD'!$A$1:$S$428,15,FALSE)))</f>
        <v>27</v>
      </c>
      <c r="T9" t="s" s="85">
        <f>IF(VLOOKUP($M9&amp;RIGHT(T$7,1),'BDD'!$A$1:$S$428,15,FALSE)=4,"NE",IF(VLOOKUP($M9&amp;RIGHT(T$7,1),'BDD'!$A$1:$S$428,15,FALSE)=0,"NE",VLOOKUP($M9&amp;RIGHT(T$7,1),'BDD'!$A$1:$S$428,15,FALSE)))</f>
        <v>27</v>
      </c>
      <c r="U9" s="86"/>
      <c r="V9" s="930"/>
      <c r="W9" t="s" s="641">
        <v>28</v>
      </c>
      <c r="X9" s="642"/>
      <c r="Y9" s="932"/>
      <c r="Z9" s="644">
        <f>O29</f>
        <v>0</v>
      </c>
      <c r="AA9" s="90">
        <f>P29</f>
      </c>
      <c r="AB9" s="927"/>
      <c r="AC9" s="928"/>
      <c r="AD9" s="638"/>
      <c r="AE9" t="s" s="645">
        <v>1754</v>
      </c>
      <c r="AF9" s="631"/>
      <c r="AG9" s="587"/>
      <c r="AH9" s="923"/>
      <c r="AI9" s="617"/>
    </row>
    <row r="10" ht="30" customHeight="1">
      <c r="A10" s="913"/>
      <c r="B10" s="565"/>
      <c r="C10" s="565"/>
      <c r="D10" s="565"/>
      <c r="E10" t="s" s="558">
        <f>RIGHT($B$1,1)&amp;"16"</f>
        <v>1102</v>
      </c>
      <c r="F10" s="565"/>
      <c r="G10" t="s" s="646">
        <f>IF(VLOOKUP(E10,'BDD'!$A$2:$N$567,13,FALSE)=0,"",VLOOKUP(E10,'BDD'!$A$2:$N$567,13,FALSE))</f>
      </c>
      <c r="H10" s="605"/>
      <c r="I10" s="587"/>
      <c r="J10" s="25"/>
      <c r="K10" s="914"/>
      <c r="L10" s="924"/>
      <c r="M10" t="s" s="929">
        <f>IF(LEFT(RIGHT($B$1,2),1)=" ",RIGHT($B$1,1),RIGHT($B$1,2))&amp;3</f>
        <v>655</v>
      </c>
      <c r="N10" t="s" s="539">
        <f>RIGHT(M10,1)&amp;" : "&amp;VLOOKUP($M10&amp;"1",'BDD'!$A$2:$N$567,6,FALSE)</f>
        <v>2269</v>
      </c>
      <c r="O10" t="s" s="71">
        <f>IF(VLOOKUP($M10&amp;RIGHT(O$7,1),'BDD'!$A$1:$S$428,15,FALSE)=4,"NE",IF(VLOOKUP($M10&amp;RIGHT(O$7,1),'BDD'!$A$1:$S$428,15,FALSE)=0,"NE",VLOOKUP($M10&amp;RIGHT(O$7,1),'BDD'!$A$1:$S$428,15,FALSE)))</f>
        <v>27</v>
      </c>
      <c r="P10" t="s" s="71">
        <f>IF(VLOOKUP($M10&amp;RIGHT(P$7,1),'BDD'!$A$1:$S$428,15,FALSE)=4,"NE",IF(VLOOKUP($M10&amp;RIGHT(P$7,1),'BDD'!$A$1:$S$428,15,FALSE)=0,"NE",VLOOKUP($M10&amp;RIGHT(P$7,1),'BDD'!$A$1:$S$428,15,FALSE)))</f>
        <v>27</v>
      </c>
      <c r="Q10" t="s" s="71">
        <f>IF(VLOOKUP($M10&amp;RIGHT(Q$7,1),'BDD'!$A$1:$S$428,15,FALSE)=4,"NE",IF(VLOOKUP($M10&amp;RIGHT(Q$7,1),'BDD'!$A$1:$S$428,15,FALSE)=0,"NE",VLOOKUP($M10&amp;RIGHT(Q$7,1),'BDD'!$A$1:$S$428,15,FALSE)))</f>
        <v>27</v>
      </c>
      <c r="R10" t="s" s="71">
        <f>IF(VLOOKUP($M10&amp;RIGHT(R$7,1),'BDD'!$A$1:$S$428,15,FALSE)=4,"NE",IF(VLOOKUP($M10&amp;RIGHT(R$7,1),'BDD'!$A$1:$S$428,15,FALSE)=0,"NE",VLOOKUP($M10&amp;RIGHT(R$7,1),'BDD'!$A$1:$S$428,15,FALSE)))</f>
        <v>27</v>
      </c>
      <c r="S10" t="s" s="71">
        <f>IF(VLOOKUP($M10&amp;RIGHT(S$7,1),'BDD'!$A$1:$S$428,15,FALSE)=4,"NE",IF(VLOOKUP($M10&amp;RIGHT(S$7,1),'BDD'!$A$1:$S$428,15,FALSE)=0,"NE",VLOOKUP($M10&amp;RIGHT(S$7,1),'BDD'!$A$1:$S$428,15,FALSE)))</f>
        <v>27</v>
      </c>
      <c r="T10" s="72"/>
      <c r="U10" s="72"/>
      <c r="V10" s="930"/>
      <c r="W10" t="s" s="647">
        <v>28</v>
      </c>
      <c r="X10" s="648"/>
      <c r="Y10" s="931"/>
      <c r="Z10" s="637">
        <f>O37</f>
        <v>0</v>
      </c>
      <c r="AA10" s="77">
        <f>P37</f>
      </c>
      <c r="AB10" s="927"/>
      <c r="AC10" s="928"/>
      <c r="AD10" s="649"/>
      <c r="AE10" t="s" s="650">
        <v>1824</v>
      </c>
      <c r="AF10" s="651"/>
      <c r="AG10" s="652"/>
      <c r="AH10" s="933"/>
      <c r="AI10" s="617"/>
    </row>
    <row r="11" ht="30" customHeight="1">
      <c r="A11" s="887"/>
      <c r="B11" s="586"/>
      <c r="C11" s="586"/>
      <c r="D11" s="586"/>
      <c r="E11" t="s" s="744">
        <f>RIGHT($B$1,1)&amp;"17"</f>
        <v>1103</v>
      </c>
      <c r="F11" s="586"/>
      <c r="G11" t="s" s="646">
        <f>IF(VLOOKUP(E11,'BDD'!$A$2:$N$567,13,FALSE)=0,"",VLOOKUP(E11,'BDD'!$A$2:$N$567,13,FALSE))</f>
      </c>
      <c r="H11" s="652"/>
      <c r="I11" s="587"/>
      <c r="J11" s="25"/>
      <c r="K11" s="934"/>
      <c r="L11" s="935"/>
      <c r="M11" t="s" s="929">
        <f>IF(LEFT(RIGHT($B$1,2),1)=" ",RIGHT($B$1,1),RIGHT($B$1,2))&amp;4</f>
        <v>659</v>
      </c>
      <c r="N11" t="s" s="640">
        <f>RIGHT(M11,1)&amp;" : "&amp;VLOOKUP($M11&amp;"1",'BDD'!$A$2:$N$567,6,FALSE)</f>
        <v>2270</v>
      </c>
      <c r="O11" t="s" s="85">
        <f>IF(VLOOKUP($M11&amp;RIGHT(O$7,1),'BDD'!$A$1:$S$428,15,FALSE)=4,"NE",IF(VLOOKUP($M11&amp;RIGHT(O$7,1),'BDD'!$A$1:$S$428,15,FALSE)=0,"NE",VLOOKUP($M11&amp;RIGHT(O$7,1),'BDD'!$A$1:$S$428,15,FALSE)))</f>
        <v>27</v>
      </c>
      <c r="P11" t="s" s="85">
        <f>IF(VLOOKUP($M11&amp;RIGHT(P$7,1),'BDD'!$A$1:$S$428,15,FALSE)=4,"NE",IF(VLOOKUP($M11&amp;RIGHT(P$7,1),'BDD'!$A$1:$S$428,15,FALSE)=0,"NE",VLOOKUP($M11&amp;RIGHT(P$7,1),'BDD'!$A$1:$S$428,15,FALSE)))</f>
        <v>27</v>
      </c>
      <c r="Q11" t="s" s="85">
        <f>IF(VLOOKUP($M11&amp;RIGHT(Q$7,1),'BDD'!$A$1:$S$428,15,FALSE)=4,"NE",IF(VLOOKUP($M11&amp;RIGHT(Q$7,1),'BDD'!$A$1:$S$428,15,FALSE)=0,"NE",VLOOKUP($M11&amp;RIGHT(Q$7,1),'BDD'!$A$1:$S$428,15,FALSE)))</f>
        <v>27</v>
      </c>
      <c r="R11" t="s" s="85">
        <f>IF(VLOOKUP($M11&amp;RIGHT(R$7,1),'BDD'!$A$1:$S$428,15,FALSE)=4,"NE",IF(VLOOKUP($M11&amp;RIGHT(R$7,1),'BDD'!$A$1:$S$428,15,FALSE)=0,"NE",VLOOKUP($M11&amp;RIGHT(R$7,1),'BDD'!$A$1:$S$428,15,FALSE)))</f>
        <v>27</v>
      </c>
      <c r="S11" s="86"/>
      <c r="T11" s="86"/>
      <c r="U11" s="86"/>
      <c r="V11" s="930"/>
      <c r="W11" t="s" s="641">
        <v>28</v>
      </c>
      <c r="X11" s="642"/>
      <c r="Y11" s="931"/>
      <c r="Z11" s="644">
        <f>O44</f>
        <v>0</v>
      </c>
      <c r="AA11" s="90">
        <f>P44</f>
      </c>
      <c r="AB11" s="927"/>
      <c r="AC11" s="936"/>
      <c r="AD11" s="658"/>
      <c r="AE11" s="659"/>
      <c r="AF11" s="652"/>
      <c r="AG11" s="652"/>
      <c r="AH11" s="933"/>
      <c r="AI11" s="585"/>
    </row>
    <row r="12" ht="30" customHeight="1">
      <c r="A12" s="887"/>
      <c r="B12" s="586"/>
      <c r="C12" s="586"/>
      <c r="D12" s="586"/>
      <c r="E12" s="586"/>
      <c r="F12" s="586"/>
      <c r="G12" t="s" s="660">
        <v>1826</v>
      </c>
      <c r="H12" s="587"/>
      <c r="I12" s="587"/>
      <c r="J12" s="25"/>
      <c r="K12" s="937"/>
      <c r="L12" s="938"/>
      <c r="M12" t="s" s="929">
        <f>IF(LEFT(RIGHT($B$1,2),1)=" ",RIGHT($B$1,1),RIGHT($B$1,2))&amp;5</f>
        <v>662</v>
      </c>
      <c r="N12" t="s" s="539">
        <f>RIGHT(M12,1)&amp;" : "&amp;VLOOKUP($M12&amp;"1",'BDD'!$A$2:$N$567,6,FALSE)</f>
        <v>2271</v>
      </c>
      <c r="O12" t="s" s="71">
        <f>IF(VLOOKUP($M12&amp;RIGHT(O$7,1),'BDD'!$A$1:$S$428,15,FALSE)=4,"NE",IF(VLOOKUP($M12&amp;RIGHT(O$7,1),'BDD'!$A$1:$S$428,15,FALSE)=0,"NE",VLOOKUP($M12&amp;RIGHT(O$7,1),'BDD'!$A$1:$S$428,15,FALSE)))</f>
        <v>27</v>
      </c>
      <c r="P12" t="s" s="71">
        <f>IF(VLOOKUP($M12&amp;RIGHT(P$7,1),'BDD'!$A$1:$S$428,15,FALSE)=4,"NE",IF(VLOOKUP($M12&amp;RIGHT(P$7,1),'BDD'!$A$1:$S$428,15,FALSE)=0,"NE",VLOOKUP($M12&amp;RIGHT(P$7,1),'BDD'!$A$1:$S$428,15,FALSE)))</f>
        <v>27</v>
      </c>
      <c r="Q12" t="s" s="71">
        <f>IF(VLOOKUP($M12&amp;RIGHT(Q$7,1),'BDD'!$A$1:$S$428,15,FALSE)=4,"NE",IF(VLOOKUP($M12&amp;RIGHT(Q$7,1),'BDD'!$A$1:$S$428,15,FALSE)=0,"NE",VLOOKUP($M12&amp;RIGHT(Q$7,1),'BDD'!$A$1:$S$428,15,FALSE)))</f>
        <v>27</v>
      </c>
      <c r="R12" t="s" s="71">
        <f>IF(VLOOKUP($M12&amp;RIGHT(R$7,1),'BDD'!$A$1:$S$428,15,FALSE)=4,"NE",IF(VLOOKUP($M12&amp;RIGHT(R$7,1),'BDD'!$A$1:$S$428,15,FALSE)=0,"NE",VLOOKUP($M12&amp;RIGHT(R$7,1),'BDD'!$A$1:$S$428,15,FALSE)))</f>
        <v>27</v>
      </c>
      <c r="S12" t="s" s="71">
        <f>IF(VLOOKUP($M12&amp;RIGHT(S$7,1),'BDD'!$A$1:$S$428,15,FALSE)=4,"NE",IF(VLOOKUP($M12&amp;RIGHT(S$7,1),'BDD'!$A$1:$S$428,15,FALSE)=0,"NE",VLOOKUP($M12&amp;RIGHT(S$7,1),'BDD'!$A$1:$S$428,15,FALSE)))</f>
        <v>27</v>
      </c>
      <c r="T12" s="72"/>
      <c r="U12" s="72"/>
      <c r="V12" s="930"/>
      <c r="W12" t="s" s="647">
        <v>28</v>
      </c>
      <c r="X12" s="648"/>
      <c r="Y12" s="931"/>
      <c r="Z12" s="637">
        <f>O50</f>
        <v>0</v>
      </c>
      <c r="AA12" s="77">
        <f>P50</f>
      </c>
      <c r="AB12" s="927"/>
      <c r="AC12" s="936"/>
      <c r="AD12" s="666"/>
      <c r="AE12" s="25"/>
      <c r="AF12" s="586"/>
      <c r="AG12" s="586"/>
      <c r="AH12" s="888"/>
      <c r="AI12" s="585"/>
    </row>
    <row r="13" ht="28.8" customHeight="1">
      <c r="A13" s="887"/>
      <c r="B13" s="586"/>
      <c r="C13" s="586"/>
      <c r="D13" s="586"/>
      <c r="E13" t="s" s="744">
        <f>RIGHT($B$1,1)&amp;"11"</f>
        <v>132</v>
      </c>
      <c r="F13" s="586"/>
      <c r="G13" t="s" s="667">
        <f>IF(VLOOKUP(E13,'BDD'!$A$2:$N$567,14,FALSE)=0,"",VLOOKUP(E13,'BDD'!$A$2:$N$567,14,FALSE))</f>
        <v>1091</v>
      </c>
      <c r="H13" s="591"/>
      <c r="I13" s="587"/>
      <c r="J13" s="25"/>
      <c r="K13" s="934"/>
      <c r="L13" s="935"/>
      <c r="M13" t="s" s="929">
        <f>IF(LEFT(RIGHT($B$1,2),1)=" ",RIGHT($B$1,1),RIGHT($B$1,2))&amp;6</f>
        <v>666</v>
      </c>
      <c r="N13" t="s" s="640">
        <f>RIGHT(M13,1)&amp;" : "&amp;VLOOKUP($M13&amp;"1",'BDD'!$A$2:$N$567,6,FALSE)</f>
        <v>2272</v>
      </c>
      <c r="O13" t="s" s="85">
        <f>IF(VLOOKUP($M13&amp;RIGHT(O$7,1),'BDD'!$A$1:$S$428,15,FALSE)=4,"NE",IF(VLOOKUP($M13&amp;RIGHT(O$7,1),'BDD'!$A$1:$S$428,15,FALSE)=0,"NE",VLOOKUP($M13&amp;RIGHT(O$7,1),'BDD'!$A$1:$S$428,15,FALSE)))</f>
        <v>27</v>
      </c>
      <c r="P13" t="s" s="85">
        <f>IF(VLOOKUP($M13&amp;RIGHT(P$7,1),'BDD'!$A$1:$S$428,15,FALSE)=4,"NE",IF(VLOOKUP($M13&amp;RIGHT(P$7,1),'BDD'!$A$1:$S$428,15,FALSE)=0,"NE",VLOOKUP($M13&amp;RIGHT(P$7,1),'BDD'!$A$1:$S$428,15,FALSE)))</f>
        <v>27</v>
      </c>
      <c r="Q13" t="s" s="85">
        <f>IF(VLOOKUP($M13&amp;RIGHT(Q$7,1),'BDD'!$A$1:$S$428,15,FALSE)=4,"NE",IF(VLOOKUP($M13&amp;RIGHT(Q$7,1),'BDD'!$A$1:$S$428,15,FALSE)=0,"NE",VLOOKUP($M13&amp;RIGHT(Q$7,1),'BDD'!$A$1:$S$428,15,FALSE)))</f>
        <v>27</v>
      </c>
      <c r="R13" t="s" s="85">
        <f>IF(VLOOKUP($M13&amp;RIGHT(R$7,1),'BDD'!$A$1:$S$428,15,FALSE)=4,"NE",IF(VLOOKUP($M13&amp;RIGHT(R$7,1),'BDD'!$A$1:$S$428,15,FALSE)=0,"NE",VLOOKUP($M13&amp;RIGHT(R$7,1),'BDD'!$A$1:$S$428,15,FALSE)))</f>
        <v>27</v>
      </c>
      <c r="S13" t="s" s="85">
        <f>IF(VLOOKUP($M13&amp;RIGHT(S$7,1),'BDD'!$A$1:$S$428,15,FALSE)=4,"NE",IF(VLOOKUP($M13&amp;RIGHT(S$7,1),'BDD'!$A$1:$S$428,15,FALSE)=0,"NE",VLOOKUP($M13&amp;RIGHT(S$7,1),'BDD'!$A$1:$S$428,15,FALSE)))</f>
        <v>27</v>
      </c>
      <c r="T13" s="86"/>
      <c r="U13" s="86"/>
      <c r="V13" s="930"/>
      <c r="W13" t="s" s="641">
        <v>28</v>
      </c>
      <c r="X13" s="642"/>
      <c r="Y13" s="931"/>
      <c r="Z13" s="644">
        <f>O57</f>
        <v>0</v>
      </c>
      <c r="AA13" s="90">
        <f>P57</f>
      </c>
      <c r="AB13" s="927"/>
      <c r="AC13" s="936"/>
      <c r="AD13" s="586"/>
      <c r="AE13" s="586"/>
      <c r="AF13" s="679"/>
      <c r="AG13" s="679"/>
      <c r="AH13" s="949"/>
      <c r="AI13" s="585"/>
    </row>
    <row r="14" ht="30" customHeight="1">
      <c r="A14" s="887"/>
      <c r="B14" s="586"/>
      <c r="C14" s="586"/>
      <c r="D14" s="586"/>
      <c r="E14" t="s" s="744">
        <f>RIGHT($B$1,1)&amp;"12"</f>
        <v>1092</v>
      </c>
      <c r="F14" s="586"/>
      <c r="G14" t="s" s="667">
        <f>IF(VLOOKUP(E14,'BDD'!$A$2:$N$567,14,FALSE)=0,"",VLOOKUP(E14,'BDD'!$A$2:$N$567,14,FALSE))</f>
        <v>1095</v>
      </c>
      <c r="H14" s="681"/>
      <c r="I14" s="587"/>
      <c r="J14" s="25"/>
      <c r="K14" s="937"/>
      <c r="L14" s="938"/>
      <c r="M14" t="s" s="929">
        <f>IF(LEFT(RIGHT($B$1,2),1)=" ",RIGHT($B$1,1),RIGHT($B$1,2))&amp;7</f>
        <v>670</v>
      </c>
      <c r="N14" t="s" s="539">
        <f>RIGHT(M14,1)&amp;" : "&amp;VLOOKUP($M14&amp;"1",'BDD'!$A$2:$N$567,6,FALSE)</f>
        <v>2273</v>
      </c>
      <c r="O14" t="s" s="71">
        <f>IF(VLOOKUP($M14&amp;RIGHT(O$7,1),'BDD'!$A$1:$S$428,15,FALSE)=4,"NE",IF(VLOOKUP($M14&amp;RIGHT(O$7,1),'BDD'!$A$1:$S$428,15,FALSE)=0,"NE",VLOOKUP($M14&amp;RIGHT(O$7,1),'BDD'!$A$1:$S$428,15,FALSE)))</f>
        <v>27</v>
      </c>
      <c r="P14" t="s" s="71">
        <f>IF(VLOOKUP($M14&amp;RIGHT(P$7,1),'BDD'!$A$1:$S$428,15,FALSE)=4,"NE",IF(VLOOKUP($M14&amp;RIGHT(P$7,1),'BDD'!$A$1:$S$428,15,FALSE)=0,"NE",VLOOKUP($M14&amp;RIGHT(P$7,1),'BDD'!$A$1:$S$428,15,FALSE)))</f>
        <v>27</v>
      </c>
      <c r="Q14" t="s" s="71">
        <f>IF(VLOOKUP($M14&amp;RIGHT(Q$7,1),'BDD'!$A$1:$S$428,15,FALSE)=4,"NE",IF(VLOOKUP($M14&amp;RIGHT(Q$7,1),'BDD'!$A$1:$S$428,15,FALSE)=0,"NE",VLOOKUP($M14&amp;RIGHT(Q$7,1),'BDD'!$A$1:$S$428,15,FALSE)))</f>
        <v>27</v>
      </c>
      <c r="R14" s="72"/>
      <c r="S14" s="72"/>
      <c r="T14" s="72"/>
      <c r="U14" s="72"/>
      <c r="V14" s="930"/>
      <c r="W14" t="s" s="664">
        <v>28</v>
      </c>
      <c r="X14" s="665"/>
      <c r="Y14" s="931"/>
      <c r="Z14" s="637">
        <f>O64</f>
        <v>0</v>
      </c>
      <c r="AA14" s="77">
        <f>P64</f>
      </c>
      <c r="AB14" s="927"/>
      <c r="AC14" s="936"/>
      <c r="AD14" s="679"/>
      <c r="AE14" s="679"/>
      <c r="AF14" s="586"/>
      <c r="AG14" s="586"/>
      <c r="AH14" s="888"/>
      <c r="AI14" s="585"/>
    </row>
    <row r="15" ht="30" customHeight="1">
      <c r="A15" s="887"/>
      <c r="B15" s="586"/>
      <c r="C15" s="586"/>
      <c r="D15" s="586"/>
      <c r="E15" t="s" s="744">
        <f>RIGHT($B$1,1)&amp;"13"</f>
        <v>1096</v>
      </c>
      <c r="F15" s="586"/>
      <c r="G15" t="s" s="667">
        <f>IF(VLOOKUP(E15,'BDD'!$A$2:$N$567,14,FALSE)=0,"",VLOOKUP(E15,'BDD'!$A$2:$N$567,14,FALSE))</f>
        <v>1099</v>
      </c>
      <c r="H15" s="694"/>
      <c r="I15" s="587"/>
      <c r="J15" s="25"/>
      <c r="K15" s="939"/>
      <c r="L15" s="940"/>
      <c r="M15" s="941"/>
      <c r="N15" s="942"/>
      <c r="O15" s="943"/>
      <c r="P15" s="943"/>
      <c r="Q15" s="943"/>
      <c r="R15" s="943"/>
      <c r="S15" s="943"/>
      <c r="T15" s="943"/>
      <c r="U15" s="943"/>
      <c r="V15" s="944"/>
      <c r="W15" s="945"/>
      <c r="X15" s="945"/>
      <c r="Y15" s="944"/>
      <c r="Z15" s="946"/>
      <c r="AA15" s="946"/>
      <c r="AB15" s="947"/>
      <c r="AC15" s="948"/>
      <c r="AD15" s="586"/>
      <c r="AE15" s="586"/>
      <c r="AF15" s="586"/>
      <c r="AG15" s="586"/>
      <c r="AH15" s="888"/>
      <c r="AI15" s="585"/>
    </row>
    <row r="16" ht="38.4" customHeight="1">
      <c r="A16" s="887"/>
      <c r="B16" s="586"/>
      <c r="C16" s="586"/>
      <c r="D16" s="586"/>
      <c r="E16" t="s" s="744">
        <f>RIGHT($B$1,1)&amp;"14"</f>
        <v>1100</v>
      </c>
      <c r="F16" s="586"/>
      <c r="G16" t="s" s="667">
        <f>IF(VLOOKUP(E16,'BDD'!$A$2:$N$567,14,FALSE)=0,"",VLOOKUP(E16,'BDD'!$A$2:$N$567,14,FALSE))</f>
      </c>
      <c r="H16" s="694"/>
      <c r="I16" s="587"/>
      <c r="J16" s="25"/>
      <c r="K16" s="1009"/>
      <c r="L16" s="951"/>
      <c r="M16" s="952"/>
      <c r="N16" t="s" s="953">
        <f>"Evaluation globale du vecteur "&amp;RIGHT(B1,2)</f>
        <v>2274</v>
      </c>
      <c r="O16" s="954"/>
      <c r="P16" s="955"/>
      <c r="Q16" s="955"/>
      <c r="R16" s="955"/>
      <c r="S16" s="955"/>
      <c r="T16" s="955"/>
      <c r="U16" s="955"/>
      <c r="V16" s="955"/>
      <c r="W16" s="956"/>
      <c r="X16" s="957"/>
      <c r="Y16" s="958"/>
      <c r="Z16" t="s" s="959">
        <v>1829</v>
      </c>
      <c r="AA16" t="s" s="960">
        <v>1830</v>
      </c>
      <c r="AB16" s="961"/>
      <c r="AC16" s="948"/>
      <c r="AD16" s="586"/>
      <c r="AE16" s="586"/>
      <c r="AF16" s="586"/>
      <c r="AG16" s="586"/>
      <c r="AH16" s="888"/>
      <c r="AI16" s="585"/>
    </row>
    <row r="17" ht="38.4" customHeight="1">
      <c r="A17" s="887"/>
      <c r="B17" s="586"/>
      <c r="C17" s="586"/>
      <c r="D17" s="586"/>
      <c r="E17" t="s" s="744">
        <f>RIGHT($B$1,1)&amp;"15"</f>
        <v>1101</v>
      </c>
      <c r="F17" s="586"/>
      <c r="G17" t="s" s="667">
        <f>IF(VLOOKUP(E17,'BDD'!$A$2:$N$567,14,FALSE)=0,"",VLOOKUP(E17,'BDD'!$A$2:$N$567,14,FALSE))</f>
      </c>
      <c r="H17" s="694"/>
      <c r="I17" s="587"/>
      <c r="J17" s="25"/>
      <c r="K17" s="950"/>
      <c r="L17" s="938"/>
      <c r="M17" s="962"/>
      <c r="N17" s="697"/>
      <c r="O17" s="963"/>
      <c r="P17" s="955"/>
      <c r="Q17" s="955"/>
      <c r="R17" s="955"/>
      <c r="S17" s="955"/>
      <c r="T17" s="955"/>
      <c r="U17" s="955"/>
      <c r="V17" s="964"/>
      <c r="W17" t="s" s="701">
        <v>28</v>
      </c>
      <c r="X17" s="702"/>
      <c r="Y17" s="965"/>
      <c r="Z17" s="966">
        <f>O22</f>
        <v>0</v>
      </c>
      <c r="AA17" s="967">
        <f>SUM($W$25:$W$70)</f>
      </c>
      <c r="AB17" s="968"/>
      <c r="AC17" s="948"/>
      <c r="AD17" s="586"/>
      <c r="AE17" s="586"/>
      <c r="AF17" s="586"/>
      <c r="AG17" s="586"/>
      <c r="AH17" s="888"/>
      <c r="AI17" s="585"/>
    </row>
    <row r="18" ht="24" customHeight="1">
      <c r="A18" s="887"/>
      <c r="B18" s="586"/>
      <c r="C18" s="586"/>
      <c r="D18" s="586"/>
      <c r="E18" t="s" s="744">
        <f>RIGHT($B$1,1)&amp;"16"</f>
        <v>1102</v>
      </c>
      <c r="F18" s="586"/>
      <c r="G18" t="s" s="667">
        <f>IF(VLOOKUP(E18,'BDD'!$A$2:$N$567,14,FALSE)=0,"",VLOOKUP(E18,'BDD'!$A$2:$N$567,14,FALSE))</f>
      </c>
      <c r="H18" s="694"/>
      <c r="I18" s="587"/>
      <c r="J18" s="25"/>
      <c r="K18" s="937"/>
      <c r="L18" s="969"/>
      <c r="M18" s="970"/>
      <c r="N18" s="971"/>
      <c r="O18" s="972"/>
      <c r="P18" s="972"/>
      <c r="Q18" s="972"/>
      <c r="R18" s="972"/>
      <c r="S18" s="972"/>
      <c r="T18" s="972"/>
      <c r="U18" s="972"/>
      <c r="V18" s="972"/>
      <c r="W18" s="973"/>
      <c r="X18" s="971"/>
      <c r="Y18" s="972"/>
      <c r="Z18" s="974"/>
      <c r="AA18" s="974"/>
      <c r="AB18" s="975"/>
      <c r="AC18" s="948"/>
      <c r="AD18" s="586"/>
      <c r="AE18" s="586"/>
      <c r="AF18" s="586"/>
      <c r="AG18" s="586"/>
      <c r="AH18" s="888"/>
      <c r="AI18" s="585"/>
    </row>
    <row r="19" ht="39.6" customHeight="1">
      <c r="A19" s="887"/>
      <c r="B19" s="586"/>
      <c r="C19" s="586"/>
      <c r="D19" s="586"/>
      <c r="E19" t="s" s="744">
        <f>RIGHT($B$1,1)&amp;"17"</f>
        <v>1103</v>
      </c>
      <c r="F19" s="586"/>
      <c r="G19" t="s" s="667">
        <f>IF(VLOOKUP(E19,'BDD'!$A$2:$N$567,14,FALSE)=0,"",VLOOKUP(E19,'BDD'!$A$2:$N$567,14,FALSE))</f>
      </c>
      <c r="H19" s="694"/>
      <c r="I19" s="587"/>
      <c r="J19" s="25"/>
      <c r="K19" s="694"/>
      <c r="L19" s="976"/>
      <c r="M19" s="977"/>
      <c r="N19" s="978"/>
      <c r="O19" s="978"/>
      <c r="P19" s="978"/>
      <c r="Q19" s="978"/>
      <c r="R19" s="978"/>
      <c r="S19" s="979"/>
      <c r="T19" s="979"/>
      <c r="U19" s="979"/>
      <c r="V19" s="979"/>
      <c r="W19" s="979"/>
      <c r="X19" s="979"/>
      <c r="Y19" s="979"/>
      <c r="Z19" s="979"/>
      <c r="AA19" s="979"/>
      <c r="AB19" s="979"/>
      <c r="AC19" s="586"/>
      <c r="AD19" s="586"/>
      <c r="AE19" s="586"/>
      <c r="AF19" s="586"/>
      <c r="AG19" s="586"/>
      <c r="AH19" s="888"/>
      <c r="AI19" s="585"/>
    </row>
    <row r="20" ht="30" customHeight="1">
      <c r="A20" s="887"/>
      <c r="B20" s="586"/>
      <c r="C20" s="586"/>
      <c r="D20" s="586"/>
      <c r="E20" s="586"/>
      <c r="F20" s="586"/>
      <c r="G20" s="717"/>
      <c r="H20" s="694"/>
      <c r="I20" s="587"/>
      <c r="J20" s="25"/>
      <c r="K20" s="694"/>
      <c r="L20" s="694"/>
      <c r="M20" s="719"/>
      <c r="N20" t="s" s="536">
        <v>1831</v>
      </c>
      <c r="O20" s="721">
        <f>COUNTIF(N27:N100,"Non renseigné")</f>
        <v>30</v>
      </c>
      <c r="P20" s="722"/>
      <c r="Q20" s="722"/>
      <c r="R20" s="723"/>
      <c r="S20" s="724"/>
      <c r="T20" s="586"/>
      <c r="U20" s="586"/>
      <c r="V20" s="586"/>
      <c r="W20" s="586"/>
      <c r="X20" s="586"/>
      <c r="Y20" s="586"/>
      <c r="Z20" s="586"/>
      <c r="AA20" s="586"/>
      <c r="AB20" s="586"/>
      <c r="AC20" s="586"/>
      <c r="AD20" s="586"/>
      <c r="AE20" s="586"/>
      <c r="AF20" s="586"/>
      <c r="AG20" s="586"/>
      <c r="AH20" s="888"/>
      <c r="AI20" s="585"/>
    </row>
    <row r="21" ht="30" customHeight="1">
      <c r="A21" s="887"/>
      <c r="B21" s="586"/>
      <c r="C21" s="586"/>
      <c r="D21" s="586"/>
      <c r="E21" t="s" s="744">
        <f>RIGHT($B$1,1)&amp;"17"</f>
        <v>1103</v>
      </c>
      <c r="F21" s="586"/>
      <c r="G21" t="s" s="667">
        <f>IF(VLOOKUP(E21,'BDD'!$A$2:$N$567,14,FALSE)=0,"",VLOOKUP(E21,'BDD'!$A$2:$N$567,14,FALSE))</f>
      </c>
      <c r="H21" s="694"/>
      <c r="I21" s="694"/>
      <c r="J21" s="25"/>
      <c r="K21" s="694"/>
      <c r="L21" s="694"/>
      <c r="M21" s="719"/>
      <c r="N21" t="s" s="855">
        <v>1832</v>
      </c>
      <c r="O21" s="856">
        <f>COUNTIF($N$27:$N$91,"Non évalué")</f>
        <v>0</v>
      </c>
      <c r="P21" s="857"/>
      <c r="Q21" s="857"/>
      <c r="R21" s="858"/>
      <c r="S21" s="724"/>
      <c r="T21" s="586"/>
      <c r="U21" s="586"/>
      <c r="V21" s="586"/>
      <c r="W21" s="586"/>
      <c r="X21" s="586"/>
      <c r="Y21" s="586"/>
      <c r="Z21" s="586"/>
      <c r="AA21" s="586"/>
      <c r="AB21" s="586"/>
      <c r="AC21" s="586"/>
      <c r="AD21" s="586"/>
      <c r="AE21" s="586"/>
      <c r="AF21" s="586"/>
      <c r="AG21" s="586"/>
      <c r="AH21" s="888"/>
      <c r="AI21" s="585"/>
    </row>
    <row r="22" ht="50.4" customHeight="1">
      <c r="A22" s="887"/>
      <c r="B22" s="586"/>
      <c r="C22" s="586"/>
      <c r="D22" s="586"/>
      <c r="E22" s="586"/>
      <c r="F22" s="586"/>
      <c r="G22" s="717"/>
      <c r="H22" s="730"/>
      <c r="I22" s="730"/>
      <c r="J22" s="730"/>
      <c r="K22" s="730"/>
      <c r="L22" s="731"/>
      <c r="M22" s="719"/>
      <c r="N22" t="s" s="732">
        <v>1833</v>
      </c>
      <c r="O22" s="733">
        <v>0</v>
      </c>
      <c r="P22" s="734"/>
      <c r="Q22" s="734"/>
      <c r="R22" s="734"/>
      <c r="S22" s="586"/>
      <c r="T22" s="586"/>
      <c r="U22" s="586"/>
      <c r="V22" s="586"/>
      <c r="W22" s="586"/>
      <c r="X22" s="586"/>
      <c r="Y22" s="586"/>
      <c r="Z22" s="586"/>
      <c r="AA22" s="586"/>
      <c r="AB22" s="586"/>
      <c r="AC22" s="586"/>
      <c r="AD22" s="586"/>
      <c r="AE22" s="586"/>
      <c r="AF22" s="586"/>
      <c r="AG22" s="586"/>
      <c r="AH22" s="888"/>
      <c r="AI22" s="585"/>
    </row>
    <row r="23" ht="30" customHeight="1">
      <c r="A23" s="887"/>
      <c r="B23" s="586"/>
      <c r="C23" s="25"/>
      <c r="D23" s="586"/>
      <c r="E23" s="586"/>
      <c r="F23" s="586"/>
      <c r="G23" s="736"/>
      <c r="H23" t="s" s="737">
        <v>245</v>
      </c>
      <c r="I23" s="738"/>
      <c r="J23" s="739"/>
      <c r="K23" s="739"/>
      <c r="L23" s="740"/>
      <c r="M23" s="741"/>
      <c r="N23" s="742"/>
      <c r="O23" s="730"/>
      <c r="P23" s="730"/>
      <c r="Q23" s="730"/>
      <c r="R23" s="730"/>
      <c r="S23" s="730"/>
      <c r="T23" s="730"/>
      <c r="U23" s="730"/>
      <c r="V23" s="730"/>
      <c r="W23" s="586"/>
      <c r="X23" s="586"/>
      <c r="Y23" s="586"/>
      <c r="Z23" s="586"/>
      <c r="AA23" s="586"/>
      <c r="AB23" s="586"/>
      <c r="AC23" s="586"/>
      <c r="AD23" s="586"/>
      <c r="AE23" s="586"/>
      <c r="AF23" s="586"/>
      <c r="AG23" s="586"/>
      <c r="AH23" s="888"/>
      <c r="AI23" s="585"/>
    </row>
    <row r="24" ht="39.6" customHeight="1">
      <c r="A24" s="887"/>
      <c r="B24" s="586"/>
      <c r="C24" t="s" s="744">
        <v>10</v>
      </c>
      <c r="D24" t="s" s="745">
        <v>1745</v>
      </c>
      <c r="E24" t="s" s="745">
        <v>1834</v>
      </c>
      <c r="F24" s="746"/>
      <c r="G24" t="s" s="747">
        <v>244</v>
      </c>
      <c r="H24" t="s" s="747">
        <v>283</v>
      </c>
      <c r="I24" t="s" s="747">
        <v>263</v>
      </c>
      <c r="J24" t="s" s="747">
        <v>271</v>
      </c>
      <c r="K24" t="s" s="747">
        <v>291</v>
      </c>
      <c r="L24" t="s" s="747">
        <v>256</v>
      </c>
      <c r="M24" s="748"/>
      <c r="N24" t="s" s="747">
        <v>1764</v>
      </c>
      <c r="O24" t="s" s="749">
        <v>22</v>
      </c>
      <c r="P24" s="750"/>
      <c r="Q24" s="750"/>
      <c r="R24" s="750"/>
      <c r="S24" t="s" s="751">
        <v>223</v>
      </c>
      <c r="T24" s="750"/>
      <c r="U24" s="750"/>
      <c r="V24" s="752"/>
      <c r="W24" s="724"/>
      <c r="X24" s="586"/>
      <c r="Y24" s="586"/>
      <c r="Z24" s="586"/>
      <c r="AA24" s="586"/>
      <c r="AB24" s="586"/>
      <c r="AC24" s="586"/>
      <c r="AD24" s="586"/>
      <c r="AE24" s="586"/>
      <c r="AF24" s="586"/>
      <c r="AG24" s="586"/>
      <c r="AH24" s="888"/>
      <c r="AI24" s="585"/>
    </row>
    <row r="25" ht="30" customHeight="1">
      <c r="A25" s="887"/>
      <c r="B25" s="753"/>
      <c r="C25" t="s" s="754">
        <f>IF(LEFT(RIGHT($B$1,2),1)=" ",RIGHT($B$1,1),RIGHT($B$1,2))</f>
        <v>2235</v>
      </c>
      <c r="D25" s="755">
        <f>IF(LEFT(F25,5)="Bonne",B23+1,D24)</f>
        <v>1</v>
      </c>
      <c r="E25" s="756"/>
      <c r="F25" t="s" s="757">
        <v>1762</v>
      </c>
      <c r="G25" t="s" s="758">
        <f>VLOOKUP(E27,'BDD'!$A$2:$N$567,6,FALSE)</f>
        <v>1087</v>
      </c>
      <c r="H25" s="759"/>
      <c r="I25" s="760"/>
      <c r="J25" s="760"/>
      <c r="K25" s="760"/>
      <c r="L25" s="761"/>
      <c r="M25" s="762"/>
      <c r="N25" s="763"/>
      <c r="O25" s="764">
        <v>0</v>
      </c>
      <c r="P25" s="764"/>
      <c r="Q25" s="764"/>
      <c r="R25" s="764"/>
      <c r="S25" s="765">
        <f>_xlfn.SUMIFS(S1:S100,$D1:$D100,D25,$N1:$N100,"Exigences"&amp;"*")</f>
      </c>
      <c r="T25" s="765"/>
      <c r="U25" s="765"/>
      <c r="V25" s="766"/>
      <c r="W25" s="767"/>
      <c r="X25" s="586"/>
      <c r="Y25" s="586"/>
      <c r="Z25" s="586"/>
      <c r="AA25" s="586"/>
      <c r="AB25" s="586"/>
      <c r="AC25" s="586"/>
      <c r="AD25" s="586"/>
      <c r="AE25" s="586"/>
      <c r="AF25" s="586"/>
      <c r="AG25" s="586"/>
      <c r="AH25" s="888"/>
      <c r="AI25" s="585"/>
    </row>
    <row r="26" ht="30" customHeight="1">
      <c r="A26" s="887"/>
      <c r="B26" s="753"/>
      <c r="C26" t="s" s="754">
        <f>IF(LEFT(RIGHT($B$1,2),1)=" ",RIGHT($B$1,1),RIGHT($B$1,2))</f>
        <v>2235</v>
      </c>
      <c r="D26" s="755">
        <f>IF(LEFT(F26,5)="Bonne",D24+1,D25)</f>
        <v>1</v>
      </c>
      <c r="E26" s="768"/>
      <c r="F26" t="s" s="769">
        <v>1835</v>
      </c>
      <c r="G26" t="s" s="770">
        <f>VLOOKUP(E28,'BDD'!$A$2:$N$567,7,FALSE)</f>
        <v>2275</v>
      </c>
      <c r="H26" s="771"/>
      <c r="I26" s="771"/>
      <c r="J26" s="771"/>
      <c r="K26" s="771"/>
      <c r="L26" s="772"/>
      <c r="M26" s="773"/>
      <c r="N26" s="774"/>
      <c r="O26" s="775"/>
      <c r="P26" s="775"/>
      <c r="Q26" s="775"/>
      <c r="R26" s="775"/>
      <c r="S26" s="776"/>
      <c r="T26" s="776"/>
      <c r="U26" s="776"/>
      <c r="V26" s="777"/>
      <c r="W26" s="789">
        <f>_xlfn.IFERROR(IF(N26='Suppl'!$E$65,0,IF(N26='Suppl'!$E$66,1/2/(_xlfn.COUNTIFS($N1:$N100,"Exigences"&amp;"*")+_xlfn.COUNTIFS($N1:$N100,"Non"&amp;"*")),IF(N26='Suppl'!$E$67,1/(_xlfn.COUNTIFS($N1:$N100,"Exigences"&amp;"*")+_xlfn.COUNTIFS($N1:$N100,"Non"&amp;"*")),0))),0)</f>
        <v>0</v>
      </c>
      <c r="X26" s="586"/>
      <c r="Y26" s="586"/>
      <c r="Z26" s="586"/>
      <c r="AA26" s="586"/>
      <c r="AB26" s="586"/>
      <c r="AC26" s="586"/>
      <c r="AD26" s="586"/>
      <c r="AE26" s="586"/>
      <c r="AF26" s="586"/>
      <c r="AG26" s="586"/>
      <c r="AH26" s="888"/>
      <c r="AI26" s="585"/>
    </row>
    <row r="27" ht="41.4" customHeight="1">
      <c r="A27" s="887"/>
      <c r="B27" s="753"/>
      <c r="C27" t="s" s="754">
        <f>IF(LEFT(RIGHT($B$1,2),1)=" ",RIGHT($B$1,1),RIGHT($B$1,2))</f>
        <v>2235</v>
      </c>
      <c r="D27" s="755">
        <f>IF(LEFT(F27,5)="Bonne",D25+1,D26)</f>
        <v>1</v>
      </c>
      <c r="E27" t="s" s="778">
        <f>C27&amp;D27&amp;RIGHT(F27,1)</f>
        <v>2236</v>
      </c>
      <c r="F27" t="s" s="779">
        <v>1769</v>
      </c>
      <c r="G27" t="s" s="780">
        <f>VLOOKUP(E27,'BDD'!$A$2:$N$567,MATCH(G$24,'BDD'!$A$1:$P$1,0),FALSE)</f>
        <v>1089</v>
      </c>
      <c r="H27" t="s" s="799">
        <v>283</v>
      </c>
      <c r="I27" s="782"/>
      <c r="J27" s="782"/>
      <c r="K27" s="782"/>
      <c r="L27" s="793"/>
      <c r="M27" s="784">
        <f>IF(N27="Exigences partiellement respectées",1,IF(N27="Exigences respectées",2,0))</f>
        <v>0</v>
      </c>
      <c r="N27" t="s" s="780">
        <f>VLOOKUP(VLOOKUP(E27,'BDD'!$A$2:$P$428,15,FALSE),'Suppl'!$D$64:$E$68,2,FALSE)</f>
        <v>1751</v>
      </c>
      <c r="O27" s="785"/>
      <c r="P27" s="786"/>
      <c r="Q27" s="786"/>
      <c r="R27" s="786"/>
      <c r="S27" s="787">
        <f>IF(N27='Suppl'!$E$65,0,IF(N27='Suppl'!$E$66,1/2/(_xlfn.COUNTIFS($D1:$D100,D27,$N1:$N100,"Exigences"&amp;"*",G1:G100,"&lt;&gt;0")+_xlfn.COUNTIFS($D1:$D100,D27,$N1:$N100,"Non"&amp;"*",G1:G100,"&lt;&gt;0")),IF(N27='Suppl'!$E$67,1/(_xlfn.COUNTIFS($D1:$D100,D27,$N1:$N100,"Exigences"&amp;"*",G1:G100,"&lt;&gt;0")+_xlfn.COUNTIFS($D1:$D100,D27,$N1:$N100,"Non"&amp;"*",G1:G100,"&lt;&gt;0")),0)))</f>
        <v>0</v>
      </c>
      <c r="T27" s="787"/>
      <c r="U27" s="787"/>
      <c r="V27" s="788"/>
      <c r="W27" s="789">
        <f>_xlfn.IFERROR(IF(N27='Suppl'!$E$65,0,IF(N27='Suppl'!$E$66,1/2/(_xlfn.COUNTIFS($N1:$N100,"Exigences"&amp;"*")+_xlfn.COUNTIFS($N1:$N100,"Non"&amp;"*")),IF(N27='Suppl'!$E$67,1/(_xlfn.COUNTIFS($N1:$N100,"Exigences"&amp;"*")+_xlfn.COUNTIFS($N1:$N100,"Non"&amp;"*")),0))),0)</f>
        <v>0</v>
      </c>
      <c r="X27" s="586"/>
      <c r="Y27" s="586"/>
      <c r="Z27" s="586"/>
      <c r="AA27" s="586"/>
      <c r="AB27" s="586"/>
      <c r="AC27" s="586"/>
      <c r="AD27" s="586"/>
      <c r="AE27" s="586"/>
      <c r="AF27" s="586"/>
      <c r="AG27" s="586"/>
      <c r="AH27" s="888"/>
      <c r="AI27" s="585"/>
    </row>
    <row r="28" ht="30" customHeight="1">
      <c r="A28" s="887"/>
      <c r="B28" s="753"/>
      <c r="C28" t="s" s="754">
        <f>IF(LEFT(RIGHT($B$1,2),1)=" ",RIGHT($B$1,1),RIGHT($B$1,2))</f>
        <v>2235</v>
      </c>
      <c r="D28" s="755">
        <f>IF(LEFT(F28,5)="Bonne",D26+1,D27)</f>
        <v>1</v>
      </c>
      <c r="E28" t="s" s="778">
        <f>C28&amp;D28&amp;RIGHT(F28,1)</f>
        <v>2237</v>
      </c>
      <c r="F28" t="s" s="790">
        <v>1837</v>
      </c>
      <c r="G28" t="s" s="791">
        <f>VLOOKUP(E28,'BDD'!$A$2:$N$567,MATCH(G$24,'BDD'!$A$1:$P$1,0),FALSE)</f>
        <v>1093</v>
      </c>
      <c r="H28" s="781"/>
      <c r="I28" t="s" s="792">
        <v>263</v>
      </c>
      <c r="J28" s="782"/>
      <c r="K28" s="782"/>
      <c r="L28" s="793"/>
      <c r="M28" s="800">
        <f>IF(N28="Exigences partiellement respectées",1,IF(N28="Exigences respectées",2,0))</f>
        <v>0</v>
      </c>
      <c r="N28" t="s" s="791">
        <f>VLOOKUP(VLOOKUP(E28,'BDD'!$A$2:$P$428,15,FALSE),'Suppl'!$D$64:$E$68,2,FALSE)</f>
        <v>1751</v>
      </c>
      <c r="O28" s="801"/>
      <c r="P28" s="802"/>
      <c r="Q28" s="802"/>
      <c r="R28" s="802"/>
      <c r="S28" s="803">
        <f>IF(N28='Suppl'!$E$65,0,IF(N28='Suppl'!$E$66,1/2/(_xlfn.COUNTIFS($D1:$D100,D28,$N1:$N100,"Exigences"&amp;"*",G1:G100,"&lt;&gt;0")+_xlfn.COUNTIFS($D1:$D100,D28,$N1:$N100,"Non"&amp;"*",G1:G100,"&lt;&gt;0")),IF(N28='Suppl'!$E$67,1/(_xlfn.COUNTIFS($D1:$D100,D28,$N1:$N100,"Exigences"&amp;"*",G1:G100,"&lt;&gt;0")+_xlfn.COUNTIFS($D1:$D100,D28,$N1:$N100,"Non"&amp;"*",G1:G100,"&lt;&gt;0")),0)))</f>
        <v>0</v>
      </c>
      <c r="T28" s="803"/>
      <c r="U28" s="803"/>
      <c r="V28" s="804"/>
      <c r="W28" s="789">
        <f>_xlfn.IFERROR(IF(N28='Suppl'!$E$65,0,IF(N28='Suppl'!$E$66,1/2/(_xlfn.COUNTIFS($N1:$N100,"Exigences"&amp;"*")+_xlfn.COUNTIFS($N1:$N100,"Non"&amp;"*")),IF(N28='Suppl'!$E$67,1/(_xlfn.COUNTIFS($N1:$N100,"Exigences"&amp;"*")+_xlfn.COUNTIFS($N1:$N100,"Non"&amp;"*")),0))),0)</f>
        <v>0</v>
      </c>
      <c r="X28" s="586"/>
      <c r="Y28" s="586"/>
      <c r="Z28" s="586"/>
      <c r="AA28" s="586"/>
      <c r="AB28" s="586"/>
      <c r="AC28" s="586"/>
      <c r="AD28" s="586"/>
      <c r="AE28" s="586"/>
      <c r="AF28" s="586"/>
      <c r="AG28" s="586"/>
      <c r="AH28" s="888"/>
      <c r="AI28" s="585"/>
    </row>
    <row r="29" ht="30" customHeight="1">
      <c r="A29" s="887"/>
      <c r="B29" s="753"/>
      <c r="C29" t="s" s="754">
        <f>IF(LEFT(RIGHT($B$1,2),1)=" ",RIGHT($B$1,1),RIGHT($B$1,2))</f>
        <v>2235</v>
      </c>
      <c r="D29" s="755">
        <f>IF(LEFT(F29,5)="Bonne",D27+1,D28)</f>
        <v>2</v>
      </c>
      <c r="E29" t="s" s="778">
        <f>C29&amp;D29&amp;RIGHT(F29,1)</f>
        <v>2244</v>
      </c>
      <c r="F29" t="s" s="757">
        <v>1785</v>
      </c>
      <c r="G29" t="s" s="758">
        <f>VLOOKUP(E31,'BDD'!$A$2:$N$567,6,FALSE)</f>
        <v>1104</v>
      </c>
      <c r="H29" t="s" s="805">
        <f>VLOOKUP(E31,'BDD'!$A$2:$N$567,6,FALSE)</f>
        <v>1104</v>
      </c>
      <c r="I29" s="760"/>
      <c r="J29" s="760"/>
      <c r="K29" s="760"/>
      <c r="L29" s="761"/>
      <c r="M29" s="762"/>
      <c r="N29" s="763"/>
      <c r="O29" s="764">
        <v>0</v>
      </c>
      <c r="P29" s="764"/>
      <c r="Q29" s="764"/>
      <c r="R29" s="764"/>
      <c r="S29" s="765">
        <f>_xlfn.SUMIFS(S1:S100,$D1:$D100,D29,$N1:$N100,"Exigences"&amp;"*")</f>
      </c>
      <c r="T29" s="765"/>
      <c r="U29" s="765"/>
      <c r="V29" s="766"/>
      <c r="W29" s="789">
        <f>_xlfn.IFERROR(IF(N29='Suppl'!$E$65,0,IF(N29='Suppl'!$E$66,1/2/(_xlfn.COUNTIFS($N1:$N100,"Exigences"&amp;"*")+_xlfn.COUNTIFS($N1:$N100,"Non"&amp;"*")),IF(N29='Suppl'!$E$67,1/(_xlfn.COUNTIFS($N1:$N100,"Exigences"&amp;"*")+_xlfn.COUNTIFS($N1:$N100,"Non"&amp;"*")),0))),0)</f>
        <v>0</v>
      </c>
      <c r="X29" s="586"/>
      <c r="Y29" s="586"/>
      <c r="Z29" s="586"/>
      <c r="AA29" s="586"/>
      <c r="AB29" s="586"/>
      <c r="AC29" s="586"/>
      <c r="AD29" s="586"/>
      <c r="AE29" s="586"/>
      <c r="AF29" s="586"/>
      <c r="AG29" s="586"/>
      <c r="AH29" s="888"/>
      <c r="AI29" s="585"/>
    </row>
    <row r="30" ht="30" customHeight="1">
      <c r="A30" s="887"/>
      <c r="B30" s="753"/>
      <c r="C30" t="s" s="754">
        <f>IF(LEFT(RIGHT($B$1,2),1)=" ",RIGHT($B$1,1),RIGHT($B$1,2))</f>
        <v>2235</v>
      </c>
      <c r="D30" s="755">
        <f>IF(LEFT(F30,5)="Bonne",D28+1,D29)</f>
        <v>2</v>
      </c>
      <c r="E30" t="s" s="778">
        <f>C30&amp;D30&amp;RIGHT(F30,1)</f>
        <v>2246</v>
      </c>
      <c r="F30" t="s" s="769">
        <v>1835</v>
      </c>
      <c r="G30" t="s" s="770">
        <f>VLOOKUP(E32,'BDD'!$A$2:$N$567,7,FALSE)</f>
        <v>2276</v>
      </c>
      <c r="H30" s="771"/>
      <c r="I30" s="771"/>
      <c r="J30" s="771"/>
      <c r="K30" s="771"/>
      <c r="L30" s="772"/>
      <c r="M30" s="773"/>
      <c r="N30" s="774"/>
      <c r="O30" s="775"/>
      <c r="P30" s="775"/>
      <c r="Q30" s="775"/>
      <c r="R30" s="775"/>
      <c r="S30" s="776"/>
      <c r="T30" s="776"/>
      <c r="U30" s="776"/>
      <c r="V30" s="777"/>
      <c r="W30" s="789">
        <f>_xlfn.IFERROR(IF(N30='Suppl'!$E$65,0,IF(N30='Suppl'!$E$66,1/2/(_xlfn.COUNTIFS($N1:$N100,"Exigences"&amp;"*")+_xlfn.COUNTIFS($N1:$N100,"Non"&amp;"*")),IF(N30='Suppl'!$E$67,1/(_xlfn.COUNTIFS($N1:$N100,"Exigences"&amp;"*")+_xlfn.COUNTIFS($N1:$N100,"Non"&amp;"*")),0))),0)</f>
        <v>0</v>
      </c>
      <c r="X30" s="586"/>
      <c r="Y30" s="586"/>
      <c r="Z30" s="586"/>
      <c r="AA30" s="586"/>
      <c r="AB30" s="586"/>
      <c r="AC30" s="586"/>
      <c r="AD30" s="586"/>
      <c r="AE30" s="586"/>
      <c r="AF30" s="586"/>
      <c r="AG30" s="586"/>
      <c r="AH30" s="888"/>
      <c r="AI30" s="585"/>
    </row>
    <row r="31" ht="30" customHeight="1">
      <c r="A31" s="887"/>
      <c r="B31" s="753"/>
      <c r="C31" t="s" s="754">
        <f>IF(LEFT(RIGHT($B$1,2),1)=" ",RIGHT($B$1,1),RIGHT($B$1,2))</f>
        <v>2235</v>
      </c>
      <c r="D31" s="755">
        <f>IF(LEFT(F31,5)="Bonne",D29+1,D30)</f>
        <v>2</v>
      </c>
      <c r="E31" t="s" s="778">
        <f>C31&amp;D31&amp;RIGHT(F31,1)</f>
        <v>2246</v>
      </c>
      <c r="F31" t="s" s="779">
        <v>1769</v>
      </c>
      <c r="G31" t="s" s="780">
        <f>VLOOKUP(E31,'BDD'!$A$2:$N$567,MATCH(G$24,'BDD'!$A$1:$P$1,0),FALSE)</f>
        <v>1107</v>
      </c>
      <c r="H31" t="s" s="799">
        <v>283</v>
      </c>
      <c r="I31" s="782"/>
      <c r="J31" s="782"/>
      <c r="K31" s="782"/>
      <c r="L31" s="793"/>
      <c r="M31" s="784">
        <f>IF(N31="Exigences partiellement respectées",1,IF(N31="Exigences respectées",2,0))</f>
        <v>0</v>
      </c>
      <c r="N31" t="s" s="780">
        <f>VLOOKUP(VLOOKUP(E31,'BDD'!$A$2:$P$428,15,FALSE),'Suppl'!$D$64:$E$68,2,FALSE)</f>
        <v>1751</v>
      </c>
      <c r="O31" s="785"/>
      <c r="P31" s="786"/>
      <c r="Q31" s="786"/>
      <c r="R31" s="786"/>
      <c r="S31" s="787">
        <f>IF(N31='Suppl'!$E$65,0,IF(N31='Suppl'!$E$66,1/2/(_xlfn.COUNTIFS($D1:$D100,D31,$N1:$N100,"Exigences"&amp;"*",G1:G100,"&lt;&gt;0")+_xlfn.COUNTIFS($D1:$D100,D31,$N1:$N100,"Non"&amp;"*",G1:G100,"&lt;&gt;0")),IF(N31='Suppl'!$E$67,1/(_xlfn.COUNTIFS($D1:$D100,D31,$N1:$N100,"Exigences"&amp;"*",G1:G100,"&lt;&gt;0")+_xlfn.COUNTIFS($D1:$D100,D31,$N1:$N100,"Non"&amp;"*",G1:G100,"&lt;&gt;0")),0)))</f>
        <v>0</v>
      </c>
      <c r="T31" s="787"/>
      <c r="U31" s="787"/>
      <c r="V31" s="788"/>
      <c r="W31" s="789">
        <f>_xlfn.IFERROR(IF(N31='Suppl'!$E$65,0,IF(N31='Suppl'!$E$66,1/2/(_xlfn.COUNTIFS($N1:$N100,"Exigences"&amp;"*")+_xlfn.COUNTIFS($N1:$N100,"Non"&amp;"*")),IF(N31='Suppl'!$E$67,1/(_xlfn.COUNTIFS($N1:$N100,"Exigences"&amp;"*")+_xlfn.COUNTIFS($N1:$N100,"Non"&amp;"*")),0))),0)</f>
        <v>0</v>
      </c>
      <c r="X31" s="586"/>
      <c r="Y31" s="586"/>
      <c r="Z31" s="586"/>
      <c r="AA31" s="586"/>
      <c r="AB31" s="586"/>
      <c r="AC31" s="586"/>
      <c r="AD31" s="586"/>
      <c r="AE31" s="586"/>
      <c r="AF31" s="586"/>
      <c r="AG31" s="586"/>
      <c r="AH31" s="888"/>
      <c r="AI31" s="585"/>
    </row>
    <row r="32" ht="30" customHeight="1">
      <c r="A32" s="887"/>
      <c r="B32" s="753"/>
      <c r="C32" t="s" s="754">
        <f>IF(LEFT(RIGHT($B$1,2),1)=" ",RIGHT($B$1,1),RIGHT($B$1,2))</f>
        <v>2235</v>
      </c>
      <c r="D32" s="755">
        <f>IF(LEFT(F32,5)="Bonne",D30+1,D31)</f>
        <v>2</v>
      </c>
      <c r="E32" t="s" s="778">
        <f>C32&amp;D32&amp;RIGHT(F32,1)</f>
        <v>2244</v>
      </c>
      <c r="F32" t="s" s="790">
        <v>1837</v>
      </c>
      <c r="G32" t="s" s="791">
        <f>VLOOKUP(E32,'BDD'!$A$2:$N$567,MATCH(G$24,'BDD'!$A$1:$P$1,0),FALSE)</f>
        <v>1110</v>
      </c>
      <c r="H32" t="s" s="799">
        <v>283</v>
      </c>
      <c r="I32" s="782"/>
      <c r="J32" s="782"/>
      <c r="K32" s="782"/>
      <c r="L32" s="793"/>
      <c r="M32" s="794">
        <f>IF(N32="Exigences partiellement respectées",1,IF(N32="Exigences respectées",2,0))</f>
        <v>0</v>
      </c>
      <c r="N32" t="s" s="791">
        <f>VLOOKUP(VLOOKUP(E32,'BDD'!$A$2:$P$428,15,FALSE),'Suppl'!$D$64:$E$68,2,FALSE)</f>
        <v>1751</v>
      </c>
      <c r="O32" s="795"/>
      <c r="P32" s="796"/>
      <c r="Q32" s="796"/>
      <c r="R32" s="796"/>
      <c r="S32" s="797">
        <f>IF(N32='Suppl'!$E$65,0,IF(N32='Suppl'!$E$66,1/2/(_xlfn.COUNTIFS($D1:$D100,D32,$N1:$N100,"Exigences"&amp;"*",G1:G100,"&lt;&gt;0")+_xlfn.COUNTIFS($D1:$D100,D32,$N1:$N100,"Non"&amp;"*",G1:G100,"&lt;&gt;0")),IF(N32='Suppl'!$E$67,1/(_xlfn.COUNTIFS($D1:$D100,D32,$N1:$N100,"Exigences"&amp;"*",G1:G100,"&lt;&gt;0")+_xlfn.COUNTIFS($D1:$D100,D32,$N1:$N100,"Non"&amp;"*",G1:G100,"&lt;&gt;0")),0)))</f>
        <v>0</v>
      </c>
      <c r="T32" s="797"/>
      <c r="U32" s="797"/>
      <c r="V32" s="798"/>
      <c r="W32" s="789">
        <f>_xlfn.IFERROR(IF(N32='Suppl'!$E$65,0,IF(N32='Suppl'!$E$66,1/2/(_xlfn.COUNTIFS($N1:$N100,"Exigences"&amp;"*")+_xlfn.COUNTIFS($N1:$N100,"Non"&amp;"*")),IF(N32='Suppl'!$E$67,1/(_xlfn.COUNTIFS($N1:$N100,"Exigences"&amp;"*")+_xlfn.COUNTIFS($N1:$N100,"Non"&amp;"*")),0))),0)</f>
        <v>0</v>
      </c>
      <c r="X32" s="586"/>
      <c r="Y32" s="586"/>
      <c r="Z32" s="586"/>
      <c r="AA32" s="586"/>
      <c r="AB32" s="586"/>
      <c r="AC32" s="586"/>
      <c r="AD32" s="586"/>
      <c r="AE32" s="586"/>
      <c r="AF32" s="586"/>
      <c r="AG32" s="586"/>
      <c r="AH32" s="888"/>
      <c r="AI32" s="585"/>
    </row>
    <row r="33" ht="41.4" customHeight="1">
      <c r="A33" s="887"/>
      <c r="B33" s="753"/>
      <c r="C33" t="s" s="754">
        <f>IF(LEFT(RIGHT($B$1,2),1)=" ",RIGHT($B$1,1),RIGHT($B$1,2))</f>
        <v>2235</v>
      </c>
      <c r="D33" s="755">
        <f>IF(LEFT(F33,5)="Bonne",D31+1,D32)</f>
        <v>2</v>
      </c>
      <c r="E33" t="s" s="778">
        <f>C33&amp;D33&amp;RIGHT(F33,1)</f>
        <v>2247</v>
      </c>
      <c r="F33" t="s" s="779">
        <v>1774</v>
      </c>
      <c r="G33" t="s" s="780">
        <f>VLOOKUP(E33,'BDD'!$A$2:$N$567,MATCH(G$24,'BDD'!$A$1:$P$1,0),FALSE)</f>
        <v>1113</v>
      </c>
      <c r="H33" s="781"/>
      <c r="I33" t="s" s="792">
        <v>263</v>
      </c>
      <c r="J33" s="782"/>
      <c r="K33" s="782"/>
      <c r="L33" s="793"/>
      <c r="M33" s="794">
        <f>IF(N33="Exigences partiellement respectées",1,IF(N33="Exigences respectées",2,0))</f>
        <v>0</v>
      </c>
      <c r="N33" t="s" s="780">
        <f>VLOOKUP(VLOOKUP(E33,'BDD'!$A$2:$P$428,15,FALSE),'Suppl'!$D$64:$E$68,2,FALSE)</f>
        <v>1751</v>
      </c>
      <c r="O33" s="795"/>
      <c r="P33" s="796"/>
      <c r="Q33" s="796"/>
      <c r="R33" s="796"/>
      <c r="S33" s="797">
        <f>IF(N33='Suppl'!$E$65,0,IF(N33='Suppl'!$E$66,1/2/(_xlfn.COUNTIFS($D1:$D100,D33,$N1:$N100,"Exigences"&amp;"*",G1:G100,"&lt;&gt;0")+_xlfn.COUNTIFS($D1:$D100,D33,$N1:$N100,"Non"&amp;"*",G1:G100,"&lt;&gt;0")),IF(N33='Suppl'!$E$67,1/(_xlfn.COUNTIFS($D1:$D100,D33,$N1:$N100,"Exigences"&amp;"*",G1:G100,"&lt;&gt;0")+_xlfn.COUNTIFS($D1:$D100,D33,$N1:$N100,"Non"&amp;"*",G1:G100,"&lt;&gt;0")),0)))</f>
        <v>0</v>
      </c>
      <c r="T33" s="797"/>
      <c r="U33" s="797"/>
      <c r="V33" s="798"/>
      <c r="W33" s="789">
        <f>_xlfn.IFERROR(IF(N33='Suppl'!$E$65,0,IF(N33='Suppl'!$E$66,1/2/(_xlfn.COUNTIFS($N1:$N100,"Exigences"&amp;"*")+_xlfn.COUNTIFS($N1:$N100,"Non"&amp;"*")),IF(N33='Suppl'!$E$67,1/(_xlfn.COUNTIFS($N1:$N100,"Exigences"&amp;"*")+_xlfn.COUNTIFS($N1:$N100,"Non"&amp;"*")),0))),0)</f>
        <v>0</v>
      </c>
      <c r="X33" s="586"/>
      <c r="Y33" s="586"/>
      <c r="Z33" s="586"/>
      <c r="AA33" s="586"/>
      <c r="AB33" s="586"/>
      <c r="AC33" s="586"/>
      <c r="AD33" s="586"/>
      <c r="AE33" s="586"/>
      <c r="AF33" s="586"/>
      <c r="AG33" s="586"/>
      <c r="AH33" s="888"/>
      <c r="AI33" s="585"/>
    </row>
    <row r="34" ht="41.4" customHeight="1">
      <c r="A34" s="887"/>
      <c r="B34" s="753"/>
      <c r="C34" t="s" s="754">
        <f>IF(LEFT(RIGHT($B$1,2),1)=" ",RIGHT($B$1,1),RIGHT($B$1,2))</f>
        <v>2235</v>
      </c>
      <c r="D34" s="755">
        <f>IF(LEFT(F34,5)="Bonne",D32+1,D33)</f>
        <v>2</v>
      </c>
      <c r="E34" t="s" s="778">
        <f>C34&amp;D34&amp;RIGHT(F34,1)</f>
        <v>2248</v>
      </c>
      <c r="F34" t="s" s="790">
        <v>1776</v>
      </c>
      <c r="G34" t="s" s="791">
        <f>VLOOKUP(E34,'BDD'!$A$2:$N$567,MATCH(G$24,'BDD'!$A$1:$P$1,0),FALSE)</f>
        <v>1116</v>
      </c>
      <c r="H34" s="781"/>
      <c r="I34" t="s" s="792">
        <v>263</v>
      </c>
      <c r="J34" s="782"/>
      <c r="K34" s="782"/>
      <c r="L34" s="793"/>
      <c r="M34" s="794">
        <f>IF(N34="Exigences partiellement respectées",1,IF(N34="Exigences respectées",2,0))</f>
        <v>0</v>
      </c>
      <c r="N34" t="s" s="791">
        <f>VLOOKUP(VLOOKUP(E34,'BDD'!$A$2:$P$428,15,FALSE),'Suppl'!$D$64:$E$68,2,FALSE)</f>
        <v>1751</v>
      </c>
      <c r="O34" s="795"/>
      <c r="P34" s="796"/>
      <c r="Q34" s="796"/>
      <c r="R34" s="796"/>
      <c r="S34" s="797">
        <f>IF(N34='Suppl'!$E$65,0,IF(N34='Suppl'!$E$66,1/2/(_xlfn.COUNTIFS($D1:$D100,D34,$N1:$N100,"Exigences"&amp;"*",G1:G100,"&lt;&gt;0")+_xlfn.COUNTIFS($D1:$D100,D34,$N1:$N100,"Non"&amp;"*",G1:G100,"&lt;&gt;0")),IF(N34='Suppl'!$E$67,1/(_xlfn.COUNTIFS($D1:$D100,D34,$N1:$N100,"Exigences"&amp;"*",G1:G100,"&lt;&gt;0")+_xlfn.COUNTIFS($D1:$D100,D34,$N1:$N100,"Non"&amp;"*",G1:G100,"&lt;&gt;0")),0)))</f>
        <v>0</v>
      </c>
      <c r="T34" s="797"/>
      <c r="U34" s="797"/>
      <c r="V34" s="798"/>
      <c r="W34" s="789">
        <f>_xlfn.IFERROR(IF(N34='Suppl'!$E$65,0,IF(N34='Suppl'!$E$66,1/2/(_xlfn.COUNTIFS($N1:$N100,"Exigences"&amp;"*")+_xlfn.COUNTIFS($N1:$N100,"Non"&amp;"*")),IF(N34='Suppl'!$E$67,1/(_xlfn.COUNTIFS($N1:$N100,"Exigences"&amp;"*")+_xlfn.COUNTIFS($N1:$N100,"Non"&amp;"*")),0))),0)</f>
        <v>0</v>
      </c>
      <c r="X34" s="586"/>
      <c r="Y34" s="586"/>
      <c r="Z34" s="586"/>
      <c r="AA34" s="586"/>
      <c r="AB34" s="586"/>
      <c r="AC34" s="586"/>
      <c r="AD34" s="586"/>
      <c r="AE34" s="586"/>
      <c r="AF34" s="586"/>
      <c r="AG34" s="586"/>
      <c r="AH34" s="888"/>
      <c r="AI34" s="585"/>
    </row>
    <row r="35" ht="55.2" customHeight="1">
      <c r="A35" s="887"/>
      <c r="B35" s="753"/>
      <c r="C35" t="s" s="754">
        <f>IF(LEFT(RIGHT($B$1,2),1)=" ",RIGHT($B$1,1),RIGHT($B$1,2))</f>
        <v>2235</v>
      </c>
      <c r="D35" s="755">
        <f>IF(LEFT(F35,5)="Bonne",D33+1,D34)</f>
        <v>2</v>
      </c>
      <c r="E35" t="s" s="778">
        <f>C35&amp;D35&amp;RIGHT(F35,1)</f>
        <v>2249</v>
      </c>
      <c r="F35" t="s" s="779">
        <v>1778</v>
      </c>
      <c r="G35" t="s" s="780">
        <f>VLOOKUP(E35,'BDD'!$A$2:$N$567,MATCH(G$24,'BDD'!$A$1:$P$1,0),FALSE)</f>
        <v>1119</v>
      </c>
      <c r="H35" s="781"/>
      <c r="I35" t="s" s="792">
        <v>263</v>
      </c>
      <c r="J35" s="782"/>
      <c r="K35" s="782"/>
      <c r="L35" s="793"/>
      <c r="M35" s="794">
        <f>IF(N35="Exigences partiellement respectées",1,IF(N35="Exigences respectées",2,0))</f>
        <v>0</v>
      </c>
      <c r="N35" t="s" s="780">
        <f>VLOOKUP(VLOOKUP(E35,'BDD'!$A$2:$P$428,15,FALSE),'Suppl'!$D$64:$E$68,2,FALSE)</f>
        <v>1751</v>
      </c>
      <c r="O35" s="795"/>
      <c r="P35" s="796"/>
      <c r="Q35" s="796"/>
      <c r="R35" s="796"/>
      <c r="S35" s="797">
        <f>IF(N35='Suppl'!$E$65,0,IF(N35='Suppl'!$E$66,1/2/(_xlfn.COUNTIFS($D1:$D100,D35,$N1:$N100,"Exigences"&amp;"*",G1:G100,"&lt;&gt;0")+_xlfn.COUNTIFS($D1:$D100,D35,$N1:$N100,"Non"&amp;"*",G1:G100,"&lt;&gt;0")),IF(N35='Suppl'!$E$67,1/(_xlfn.COUNTIFS($D1:$D100,D35,$N1:$N100,"Exigences"&amp;"*",G1:G100,"&lt;&gt;0")+_xlfn.COUNTIFS($D1:$D100,D35,$N1:$N100,"Non"&amp;"*",G1:G100,"&lt;&gt;0")),0)))</f>
        <v>0</v>
      </c>
      <c r="T35" s="797"/>
      <c r="U35" s="797"/>
      <c r="V35" s="798"/>
      <c r="W35" s="789">
        <f>_xlfn.IFERROR(IF(N35='Suppl'!$E$65,0,IF(N35='Suppl'!$E$66,1/2/(_xlfn.COUNTIFS($N1:$N100,"Exigences"&amp;"*")+_xlfn.COUNTIFS($N1:$N100,"Non"&amp;"*")),IF(N35='Suppl'!$E$67,1/(_xlfn.COUNTIFS($N1:$N100,"Exigences"&amp;"*")+_xlfn.COUNTIFS($N1:$N100,"Non"&amp;"*")),0))),0)</f>
        <v>0</v>
      </c>
      <c r="X35" s="586"/>
      <c r="Y35" s="586"/>
      <c r="Z35" s="586"/>
      <c r="AA35" s="586"/>
      <c r="AB35" s="586"/>
      <c r="AC35" s="586"/>
      <c r="AD35" s="586"/>
      <c r="AE35" s="586"/>
      <c r="AF35" s="586"/>
      <c r="AG35" s="586"/>
      <c r="AH35" s="888"/>
      <c r="AI35" s="585"/>
    </row>
    <row r="36" ht="55.2" customHeight="1">
      <c r="A36" s="887"/>
      <c r="B36" s="753"/>
      <c r="C36" t="s" s="754">
        <f>IF(LEFT(RIGHT($B$1,2),1)=" ",RIGHT($B$1,1),RIGHT($B$1,2))</f>
        <v>2235</v>
      </c>
      <c r="D36" s="755">
        <f>IF(LEFT(F36,5)="Bonne",D34+1,D35)</f>
        <v>2</v>
      </c>
      <c r="E36" t="s" s="778">
        <f>C36&amp;D36&amp;RIGHT(F36,1)</f>
        <v>2250</v>
      </c>
      <c r="F36" t="s" s="790">
        <v>1780</v>
      </c>
      <c r="G36" t="s" s="791">
        <f>VLOOKUP(E36,'BDD'!$A$2:$N$567,MATCH(G$24,'BDD'!$A$1:$P$1,0),FALSE)</f>
        <v>1122</v>
      </c>
      <c r="H36" s="781"/>
      <c r="I36" s="782"/>
      <c r="J36" s="782"/>
      <c r="K36" t="s" s="792">
        <v>291</v>
      </c>
      <c r="L36" s="793"/>
      <c r="M36" s="800">
        <f>IF(N36="Exigences partiellement respectées",1,IF(N36="Exigences respectées",2,0))</f>
        <v>0</v>
      </c>
      <c r="N36" t="s" s="791">
        <f>VLOOKUP(VLOOKUP(E36,'BDD'!$A$2:$P$428,15,FALSE),'Suppl'!$D$64:$E$68,2,FALSE)</f>
        <v>1751</v>
      </c>
      <c r="O36" s="801"/>
      <c r="P36" s="802"/>
      <c r="Q36" s="802"/>
      <c r="R36" s="802"/>
      <c r="S36" s="803">
        <f>IF(N36='Suppl'!$E$65,0,IF(N36='Suppl'!$E$66,1/2/(_xlfn.COUNTIFS($D1:$D100,D36,$N1:$N100,"Exigences"&amp;"*",G1:G100,"&lt;&gt;0")+_xlfn.COUNTIFS($D1:$D100,D36,$N1:$N100,"Non"&amp;"*",G1:G100,"&lt;&gt;0")),IF(N36='Suppl'!$E$67,1/(_xlfn.COUNTIFS($D1:$D100,D36,$N1:$N100,"Exigences"&amp;"*",G1:G100,"&lt;&gt;0")+_xlfn.COUNTIFS($D1:$D100,D36,$N1:$N100,"Non"&amp;"*",G1:G100,"&lt;&gt;0")),0)))</f>
        <v>0</v>
      </c>
      <c r="T36" s="803"/>
      <c r="U36" s="803"/>
      <c r="V36" s="804"/>
      <c r="W36" s="789">
        <f>_xlfn.IFERROR(IF(N36='Suppl'!$E$65,0,IF(N36='Suppl'!$E$66,1/2/(_xlfn.COUNTIFS($N1:$N100,"Exigences"&amp;"*")+_xlfn.COUNTIFS($N1:$N100,"Non"&amp;"*")),IF(N36='Suppl'!$E$67,1/(_xlfn.COUNTIFS($N1:$N100,"Exigences"&amp;"*")+_xlfn.COUNTIFS($N1:$N100,"Non"&amp;"*")),0))),0)</f>
        <v>0</v>
      </c>
      <c r="X36" s="586"/>
      <c r="Y36" s="586"/>
      <c r="Z36" s="586"/>
      <c r="AA36" s="586"/>
      <c r="AB36" s="586"/>
      <c r="AC36" s="586"/>
      <c r="AD36" s="586"/>
      <c r="AE36" s="586"/>
      <c r="AF36" s="586"/>
      <c r="AG36" s="586"/>
      <c r="AH36" s="888"/>
      <c r="AI36" s="585"/>
    </row>
    <row r="37" ht="30" customHeight="1">
      <c r="A37" s="887"/>
      <c r="B37" s="753"/>
      <c r="C37" t="s" s="754">
        <f>IF(LEFT(RIGHT($B$1,2),1)=" ",RIGHT($B$1,1),RIGHT($B$1,2))</f>
        <v>2235</v>
      </c>
      <c r="D37" s="755">
        <f>IF(LEFT(F37,5)="Bonne",D35+1,D36)</f>
        <v>3</v>
      </c>
      <c r="E37" t="s" s="778">
        <f>C37&amp;D37&amp;RIGHT(F37,1)</f>
        <v>2252</v>
      </c>
      <c r="F37" t="s" s="757">
        <v>1797</v>
      </c>
      <c r="G37" t="s" s="758">
        <f>VLOOKUP(E39,'BDD'!$A$2:$N$567,6,FALSE)</f>
        <v>1125</v>
      </c>
      <c r="H37" s="759"/>
      <c r="I37" s="760"/>
      <c r="J37" s="760"/>
      <c r="K37" s="760"/>
      <c r="L37" s="761"/>
      <c r="M37" s="762"/>
      <c r="N37" s="763"/>
      <c r="O37" s="764">
        <v>0</v>
      </c>
      <c r="P37" s="764"/>
      <c r="Q37" s="764"/>
      <c r="R37" s="764"/>
      <c r="S37" s="765">
        <f>_xlfn.SUMIFS(S1:S100,$D1:$D100,D37,$N1:$N100,"Exigences"&amp;"*")</f>
      </c>
      <c r="T37" s="765"/>
      <c r="U37" s="765"/>
      <c r="V37" s="766"/>
      <c r="W37" s="789">
        <f>_xlfn.IFERROR(IF(N37='Suppl'!$E$65,0,IF(N37='Suppl'!$E$66,1/2/(_xlfn.COUNTIFS($N1:$N100,"Exigences"&amp;"*")+_xlfn.COUNTIFS($N1:$N100,"Non"&amp;"*")),IF(N37='Suppl'!$E$67,1/(_xlfn.COUNTIFS($N1:$N100,"Exigences"&amp;"*")+_xlfn.COUNTIFS($N1:$N100,"Non"&amp;"*")),0))),0)</f>
        <v>0</v>
      </c>
      <c r="X37" s="586"/>
      <c r="Y37" s="586"/>
      <c r="Z37" s="586"/>
      <c r="AA37" s="586"/>
      <c r="AB37" s="586"/>
      <c r="AC37" s="586"/>
      <c r="AD37" s="586"/>
      <c r="AE37" s="586"/>
      <c r="AF37" s="586"/>
      <c r="AG37" s="586"/>
      <c r="AH37" s="888"/>
      <c r="AI37" s="585"/>
    </row>
    <row r="38" ht="30" customHeight="1">
      <c r="A38" s="887"/>
      <c r="B38" s="753"/>
      <c r="C38" t="s" s="754">
        <f>IF(LEFT(RIGHT($B$1,2),1)=" ",RIGHT($B$1,1),RIGHT($B$1,2))</f>
        <v>2235</v>
      </c>
      <c r="D38" s="755">
        <f>IF(LEFT(F38,5)="Bonne",D36+1,D37)</f>
        <v>3</v>
      </c>
      <c r="E38" t="s" s="778">
        <f>C38&amp;D38&amp;RIGHT(F38,1)</f>
        <v>2254</v>
      </c>
      <c r="F38" t="s" s="769">
        <v>1835</v>
      </c>
      <c r="G38" t="s" s="770">
        <f>VLOOKUP(E40,'BDD'!$A$2:$N$567,7,FALSE)</f>
        <v>2277</v>
      </c>
      <c r="H38" s="771"/>
      <c r="I38" s="771"/>
      <c r="J38" s="771"/>
      <c r="K38" s="771"/>
      <c r="L38" s="772"/>
      <c r="M38" s="773"/>
      <c r="N38" s="774"/>
      <c r="O38" s="775"/>
      <c r="P38" s="775"/>
      <c r="Q38" s="775"/>
      <c r="R38" s="775"/>
      <c r="S38" s="776"/>
      <c r="T38" s="776"/>
      <c r="U38" s="776"/>
      <c r="V38" s="777"/>
      <c r="W38" s="789">
        <f>_xlfn.IFERROR(IF(N38='Suppl'!$E$65,0,IF(N38='Suppl'!$E$66,1/2/(_xlfn.COUNTIFS($N1:$N100,"Exigences"&amp;"*")+_xlfn.COUNTIFS($N1:$N100,"Non"&amp;"*")),IF(N38='Suppl'!$E$67,1/(_xlfn.COUNTIFS($N1:$N100,"Exigences"&amp;"*")+_xlfn.COUNTIFS($N1:$N100,"Non"&amp;"*")),0))),0)</f>
        <v>0</v>
      </c>
      <c r="X38" s="586"/>
      <c r="Y38" s="586"/>
      <c r="Z38" s="586"/>
      <c r="AA38" s="586"/>
      <c r="AB38" s="586"/>
      <c r="AC38" s="586"/>
      <c r="AD38" s="586"/>
      <c r="AE38" s="586"/>
      <c r="AF38" s="586"/>
      <c r="AG38" s="586"/>
      <c r="AH38" s="888"/>
      <c r="AI38" s="585"/>
    </row>
    <row r="39" ht="30" customHeight="1">
      <c r="A39" s="887"/>
      <c r="B39" s="753"/>
      <c r="C39" t="s" s="754">
        <f>IF(LEFT(RIGHT($B$1,2),1)=" ",RIGHT($B$1,1),RIGHT($B$1,2))</f>
        <v>2235</v>
      </c>
      <c r="D39" s="755">
        <f>IF(LEFT(F39,5)="Bonne",D37+1,D38)</f>
        <v>3</v>
      </c>
      <c r="E39" t="s" s="778">
        <f>C39&amp;D39&amp;RIGHT(F39,1)</f>
        <v>2254</v>
      </c>
      <c r="F39" t="s" s="779">
        <v>1769</v>
      </c>
      <c r="G39" t="s" s="780">
        <f>VLOOKUP(E39,'BDD'!$A$2:$N$567,MATCH(G$24,'BDD'!$A$1:$P$1,0),FALSE)</f>
        <v>1127</v>
      </c>
      <c r="H39" s="781"/>
      <c r="I39" t="s" s="792">
        <v>263</v>
      </c>
      <c r="J39" s="782"/>
      <c r="K39" s="782"/>
      <c r="L39" s="793"/>
      <c r="M39" s="784">
        <f>IF(N39="Exigences partiellement respectées",1,IF(N39="Exigences respectées",2,0))</f>
        <v>0</v>
      </c>
      <c r="N39" t="s" s="780">
        <f>VLOOKUP(VLOOKUP(E39,'BDD'!$A$2:$P$428,15,FALSE),'Suppl'!$D$64:$E$68,2,FALSE)</f>
        <v>1751</v>
      </c>
      <c r="O39" s="785"/>
      <c r="P39" s="786"/>
      <c r="Q39" s="786"/>
      <c r="R39" s="786"/>
      <c r="S39" s="787">
        <f>IF(N39='Suppl'!$E$65,0,IF(N39='Suppl'!$E$66,1/2/(_xlfn.COUNTIFS($D1:$D100,D39,$N1:$N100,"Exigences"&amp;"*",G1:G100,"&lt;&gt;0")+_xlfn.COUNTIFS($D1:$D100,D39,$N1:$N100,"Non"&amp;"*",G1:G100,"&lt;&gt;0")),IF(N39='Suppl'!$E$67,1/(_xlfn.COUNTIFS($D1:$D100,D39,$N1:$N100,"Exigences"&amp;"*",G1:G100,"&lt;&gt;0")+_xlfn.COUNTIFS($D1:$D100,D39,$N1:$N100,"Non"&amp;"*",G1:G100,"&lt;&gt;0")),0)))</f>
        <v>0</v>
      </c>
      <c r="T39" s="787"/>
      <c r="U39" s="787"/>
      <c r="V39" s="788"/>
      <c r="W39" s="789">
        <f>_xlfn.IFERROR(IF(N39='Suppl'!$E$65,0,IF(N39='Suppl'!$E$66,1/2/(_xlfn.COUNTIFS($N1:$N100,"Exigences"&amp;"*")+_xlfn.COUNTIFS($N1:$N100,"Non"&amp;"*")),IF(N39='Suppl'!$E$67,1/(_xlfn.COUNTIFS($N1:$N100,"Exigences"&amp;"*")+_xlfn.COUNTIFS($N1:$N100,"Non"&amp;"*")),0))),0)</f>
        <v>0</v>
      </c>
      <c r="X39" s="586"/>
      <c r="Y39" s="586"/>
      <c r="Z39" s="586"/>
      <c r="AA39" s="586"/>
      <c r="AB39" s="586"/>
      <c r="AC39" s="586"/>
      <c r="AD39" s="586"/>
      <c r="AE39" s="586"/>
      <c r="AF39" s="586"/>
      <c r="AG39" s="586"/>
      <c r="AH39" s="888"/>
      <c r="AI39" s="585"/>
    </row>
    <row r="40" ht="30" customHeight="1">
      <c r="A40" s="887"/>
      <c r="B40" s="753"/>
      <c r="C40" t="s" s="754">
        <f>IF(LEFT(RIGHT($B$1,2),1)=" ",RIGHT($B$1,1),RIGHT($B$1,2))</f>
        <v>2235</v>
      </c>
      <c r="D40" s="755">
        <f>IF(LEFT(F40,5)="Bonne",D38+1,D39)</f>
        <v>3</v>
      </c>
      <c r="E40" t="s" s="778">
        <f>C40&amp;D40&amp;RIGHT(F40,1)</f>
        <v>2255</v>
      </c>
      <c r="F40" t="s" s="790">
        <v>1837</v>
      </c>
      <c r="G40" t="s" s="791">
        <f>VLOOKUP(E40,'BDD'!$A$2:$N$567,MATCH(G$24,'BDD'!$A$1:$P$1,0),FALSE)</f>
        <v>1130</v>
      </c>
      <c r="H40" t="s" s="799">
        <v>283</v>
      </c>
      <c r="I40" s="782"/>
      <c r="J40" s="782"/>
      <c r="K40" s="782"/>
      <c r="L40" s="793"/>
      <c r="M40" s="794">
        <f>IF(N40="Exigences partiellement respectées",1,IF(N40="Exigences respectées",2,0))</f>
        <v>0</v>
      </c>
      <c r="N40" t="s" s="791">
        <f>VLOOKUP(VLOOKUP(E40,'BDD'!$A$2:$P$428,15,FALSE),'Suppl'!$D$64:$E$68,2,FALSE)</f>
        <v>1751</v>
      </c>
      <c r="O40" s="795"/>
      <c r="P40" s="796"/>
      <c r="Q40" s="796"/>
      <c r="R40" s="796"/>
      <c r="S40" s="797">
        <f>IF(N40='Suppl'!$E$65,0,IF(N40='Suppl'!$E$66,1/2/(_xlfn.COUNTIFS($D1:$D100,D40,$N1:$N100,"Exigences"&amp;"*",G1:G100,"&lt;&gt;0")+_xlfn.COUNTIFS($D1:$D100,D40,$N1:$N100,"Non"&amp;"*",G1:G100,"&lt;&gt;0")),IF(N40='Suppl'!$E$67,1/(_xlfn.COUNTIFS($D1:$D100,D40,$N1:$N100,"Exigences"&amp;"*",G1:G100,"&lt;&gt;0")+_xlfn.COUNTIFS($D1:$D100,D40,$N1:$N100,"Non"&amp;"*",G1:G100,"&lt;&gt;0")),0)))</f>
        <v>0</v>
      </c>
      <c r="T40" s="797"/>
      <c r="U40" s="797"/>
      <c r="V40" s="798"/>
      <c r="W40" s="789">
        <f>_xlfn.IFERROR(IF(N40='Suppl'!$E$65,0,IF(N40='Suppl'!$E$66,1/2/(_xlfn.COUNTIFS($N1:$N100,"Exigences"&amp;"*")+_xlfn.COUNTIFS($N1:$N100,"Non"&amp;"*")),IF(N40='Suppl'!$E$67,1/(_xlfn.COUNTIFS($N1:$N100,"Exigences"&amp;"*")+_xlfn.COUNTIFS($N1:$N100,"Non"&amp;"*")),0))),0)</f>
        <v>0</v>
      </c>
      <c r="X40" s="586"/>
      <c r="Y40" s="586"/>
      <c r="Z40" s="586"/>
      <c r="AA40" s="586"/>
      <c r="AB40" s="586"/>
      <c r="AC40" s="586"/>
      <c r="AD40" s="586"/>
      <c r="AE40" s="586"/>
      <c r="AF40" s="586"/>
      <c r="AG40" s="586"/>
      <c r="AH40" s="888"/>
      <c r="AI40" s="585"/>
    </row>
    <row r="41" ht="30" customHeight="1">
      <c r="A41" s="887"/>
      <c r="B41" s="753"/>
      <c r="C41" t="s" s="754">
        <f>IF(LEFT(RIGHT($B$1,2),1)=" ",RIGHT($B$1,1),RIGHT($B$1,2))</f>
        <v>2235</v>
      </c>
      <c r="D41" s="755">
        <f>IF(LEFT(F41,5)="Bonne",D39+1,D40)</f>
        <v>3</v>
      </c>
      <c r="E41" t="s" s="778">
        <f>C41&amp;D41&amp;RIGHT(F41,1)</f>
        <v>2252</v>
      </c>
      <c r="F41" t="s" s="779">
        <v>1774</v>
      </c>
      <c r="G41" t="s" s="780">
        <f>VLOOKUP(E41,'BDD'!$A$2:$N$567,MATCH(G$24,'BDD'!$A$1:$P$1,0),FALSE)</f>
        <v>1133</v>
      </c>
      <c r="H41" s="781"/>
      <c r="I41" s="782"/>
      <c r="J41" t="s" s="792">
        <v>271</v>
      </c>
      <c r="K41" s="782"/>
      <c r="L41" s="793"/>
      <c r="M41" s="794">
        <f>IF(N41="Exigences partiellement respectées",1,IF(N41="Exigences respectées",2,0))</f>
        <v>0</v>
      </c>
      <c r="N41" t="s" s="780">
        <f>VLOOKUP(VLOOKUP(E41,'BDD'!$A$2:$P$428,15,FALSE),'Suppl'!$D$64:$E$68,2,FALSE)</f>
        <v>1751</v>
      </c>
      <c r="O41" s="795"/>
      <c r="P41" s="796"/>
      <c r="Q41" s="796"/>
      <c r="R41" s="796"/>
      <c r="S41" s="797">
        <f>IF(N41='Suppl'!$E$65,0,IF(N41='Suppl'!$E$66,1/2/(_xlfn.COUNTIFS($D1:$D100,D41,$N1:$N100,"Exigences"&amp;"*",G1:G100,"&lt;&gt;0")+_xlfn.COUNTIFS($D1:$D100,D41,$N1:$N100,"Non"&amp;"*",G1:G100,"&lt;&gt;0")),IF(N41='Suppl'!$E$67,1/(_xlfn.COUNTIFS($D1:$D100,D41,$N1:$N100,"Exigences"&amp;"*",G1:G100,"&lt;&gt;0")+_xlfn.COUNTIFS($D1:$D100,D41,$N1:$N100,"Non"&amp;"*",G1:G100,"&lt;&gt;0")),0)))</f>
        <v>0</v>
      </c>
      <c r="T41" s="797"/>
      <c r="U41" s="797"/>
      <c r="V41" s="798"/>
      <c r="W41" s="789">
        <f>_xlfn.IFERROR(IF(N41='Suppl'!$E$65,0,IF(N41='Suppl'!$E$66,1/2/(_xlfn.COUNTIFS($N1:$N100,"Exigences"&amp;"*")+_xlfn.COUNTIFS($N1:$N100,"Non"&amp;"*")),IF(N41='Suppl'!$E$67,1/(_xlfn.COUNTIFS($N1:$N100,"Exigences"&amp;"*")+_xlfn.COUNTIFS($N1:$N100,"Non"&amp;"*")),0))),0)</f>
        <v>0</v>
      </c>
      <c r="X41" s="586"/>
      <c r="Y41" s="586"/>
      <c r="Z41" s="586"/>
      <c r="AA41" s="586"/>
      <c r="AB41" s="586"/>
      <c r="AC41" s="586"/>
      <c r="AD41" s="586"/>
      <c r="AE41" s="586"/>
      <c r="AF41" s="586"/>
      <c r="AG41" s="586"/>
      <c r="AH41" s="888"/>
      <c r="AI41" s="585"/>
    </row>
    <row r="42" ht="30" customHeight="1">
      <c r="A42" s="887"/>
      <c r="B42" s="753"/>
      <c r="C42" t="s" s="754">
        <f>IF(LEFT(RIGHT($B$1,2),1)=" ",RIGHT($B$1,1),RIGHT($B$1,2))</f>
        <v>2235</v>
      </c>
      <c r="D42" s="755">
        <f>IF(LEFT(F42,5)="Bonne",D40+1,D41)</f>
        <v>3</v>
      </c>
      <c r="E42" t="s" s="778">
        <f>C42&amp;D42&amp;RIGHT(F42,1)</f>
        <v>2256</v>
      </c>
      <c r="F42" t="s" s="790">
        <v>1776</v>
      </c>
      <c r="G42" t="s" s="791">
        <f>VLOOKUP(E42,'BDD'!$A$2:$N$567,MATCH(G$24,'BDD'!$A$1:$P$1,0),FALSE)</f>
        <v>1136</v>
      </c>
      <c r="H42" s="781"/>
      <c r="I42" t="s" s="792">
        <v>263</v>
      </c>
      <c r="J42" s="782"/>
      <c r="K42" s="782"/>
      <c r="L42" s="793"/>
      <c r="M42" s="794">
        <f>IF(N42="Exigences partiellement respectées",1,IF(N42="Exigences respectées",2,0))</f>
        <v>0</v>
      </c>
      <c r="N42" t="s" s="791">
        <f>VLOOKUP(VLOOKUP(E42,'BDD'!$A$2:$P$428,15,FALSE),'Suppl'!$D$64:$E$68,2,FALSE)</f>
        <v>1751</v>
      </c>
      <c r="O42" s="795"/>
      <c r="P42" s="796"/>
      <c r="Q42" s="796"/>
      <c r="R42" s="796"/>
      <c r="S42" s="797">
        <f>IF(N42='Suppl'!$E$65,0,IF(N42='Suppl'!$E$66,1/2/(_xlfn.COUNTIFS($D1:$D100,D42,$N1:$N100,"Exigences"&amp;"*",G1:G100,"&lt;&gt;0")+_xlfn.COUNTIFS($D1:$D100,D42,$N1:$N100,"Non"&amp;"*",G1:G100,"&lt;&gt;0")),IF(N42='Suppl'!$E$67,1/(_xlfn.COUNTIFS($D1:$D100,D42,$N1:$N100,"Exigences"&amp;"*",G1:G100,"&lt;&gt;0")+_xlfn.COUNTIFS($D1:$D100,D42,$N1:$N100,"Non"&amp;"*",G1:G100,"&lt;&gt;0")),0)))</f>
        <v>0</v>
      </c>
      <c r="T42" s="797"/>
      <c r="U42" s="797"/>
      <c r="V42" s="798"/>
      <c r="W42" s="789">
        <f>_xlfn.IFERROR(IF(N42='Suppl'!$E$65,0,IF(N42='Suppl'!$E$66,1/2/(_xlfn.COUNTIFS($N1:$N100,"Exigences"&amp;"*")+_xlfn.COUNTIFS($N1:$N100,"Non"&amp;"*")),IF(N42='Suppl'!$E$67,1/(_xlfn.COUNTIFS($N1:$N100,"Exigences"&amp;"*")+_xlfn.COUNTIFS($N1:$N100,"Non"&amp;"*")),0))),0)</f>
        <v>0</v>
      </c>
      <c r="X42" s="586"/>
      <c r="Y42" s="586"/>
      <c r="Z42" s="586"/>
      <c r="AA42" s="586"/>
      <c r="AB42" s="586"/>
      <c r="AC42" s="586"/>
      <c r="AD42" s="586"/>
      <c r="AE42" s="586"/>
      <c r="AF42" s="586"/>
      <c r="AG42" s="586"/>
      <c r="AH42" s="888"/>
      <c r="AI42" s="585"/>
    </row>
    <row r="43" ht="41.4" customHeight="1">
      <c r="A43" s="887"/>
      <c r="B43" s="753"/>
      <c r="C43" t="s" s="754">
        <f>IF(LEFT(RIGHT($B$1,2),1)=" ",RIGHT($B$1,1),RIGHT($B$1,2))</f>
        <v>2235</v>
      </c>
      <c r="D43" s="755">
        <f>IF(LEFT(F43,5)="Bonne",D41+1,D42)</f>
        <v>3</v>
      </c>
      <c r="E43" t="s" s="778">
        <f>C43&amp;D43&amp;RIGHT(F43,1)</f>
        <v>2257</v>
      </c>
      <c r="F43" t="s" s="779">
        <v>1778</v>
      </c>
      <c r="G43" t="s" s="780">
        <f>VLOOKUP(E43,'BDD'!$A$2:$N$567,MATCH(G$24,'BDD'!$A$1:$P$1,0),FALSE)</f>
        <v>1139</v>
      </c>
      <c r="H43" s="781"/>
      <c r="I43" s="782"/>
      <c r="J43" t="s" s="792">
        <v>271</v>
      </c>
      <c r="K43" s="782"/>
      <c r="L43" s="793"/>
      <c r="M43" s="800">
        <f>IF(N43="Exigences partiellement respectées",1,IF(N43="Exigences respectées",2,0))</f>
        <v>0</v>
      </c>
      <c r="N43" t="s" s="780">
        <f>VLOOKUP(VLOOKUP(E43,'BDD'!$A$2:$P$428,15,FALSE),'Suppl'!$D$64:$E$68,2,FALSE)</f>
        <v>1751</v>
      </c>
      <c r="O43" s="801"/>
      <c r="P43" s="802"/>
      <c r="Q43" s="802"/>
      <c r="R43" s="802"/>
      <c r="S43" s="803">
        <f>IF(N43='Suppl'!$E$65,0,IF(N43='Suppl'!$E$66,1/2/(_xlfn.COUNTIFS($D1:$D100,D43,$N1:$N100,"Exigences"&amp;"*",G1:G100,"&lt;&gt;0")+_xlfn.COUNTIFS($D1:$D100,D43,$N1:$N100,"Non"&amp;"*",G1:G100,"&lt;&gt;0")),IF(N43='Suppl'!$E$67,1/(_xlfn.COUNTIFS($D1:$D100,D43,$N1:$N100,"Exigences"&amp;"*",G1:G100,"&lt;&gt;0")+_xlfn.COUNTIFS($D1:$D100,D43,$N1:$N100,"Non"&amp;"*",G1:G100,"&lt;&gt;0")),0)))</f>
        <v>0</v>
      </c>
      <c r="T43" s="803"/>
      <c r="U43" s="803"/>
      <c r="V43" s="804"/>
      <c r="W43" s="789">
        <f>_xlfn.IFERROR(IF(N43='Suppl'!$E$65,0,IF(N43='Suppl'!$E$66,1/2/(_xlfn.COUNTIFS($N1:$N100,"Exigences"&amp;"*")+_xlfn.COUNTIFS($N1:$N100,"Non"&amp;"*")),IF(N43='Suppl'!$E$67,1/(_xlfn.COUNTIFS($N1:$N100,"Exigences"&amp;"*")+_xlfn.COUNTIFS($N1:$N100,"Non"&amp;"*")),0))),0)</f>
        <v>0</v>
      </c>
      <c r="X43" s="586"/>
      <c r="Y43" s="586"/>
      <c r="Z43" s="586"/>
      <c r="AA43" s="586"/>
      <c r="AB43" s="586"/>
      <c r="AC43" s="586"/>
      <c r="AD43" s="586"/>
      <c r="AE43" s="586"/>
      <c r="AF43" s="586"/>
      <c r="AG43" s="586"/>
      <c r="AH43" s="888"/>
      <c r="AI43" s="585"/>
    </row>
    <row r="44" ht="30" customHeight="1">
      <c r="A44" s="887"/>
      <c r="B44" s="753"/>
      <c r="C44" t="s" s="754">
        <f>IF(LEFT(RIGHT($B$1,2),1)=" ",RIGHT($B$1,1),RIGHT($B$1,2))</f>
        <v>2235</v>
      </c>
      <c r="D44" s="755">
        <f>IF(LEFT(F44,5)="Bonne",D42+1,D43)</f>
        <v>4</v>
      </c>
      <c r="E44" t="s" s="778">
        <f>C44&amp;D44&amp;RIGHT(F44,1)</f>
        <v>2260</v>
      </c>
      <c r="F44" t="s" s="757">
        <v>1806</v>
      </c>
      <c r="G44" t="s" s="758">
        <f>VLOOKUP(E46,'BDD'!$A$2:$N$567,6,FALSE)</f>
        <v>1143</v>
      </c>
      <c r="H44" s="759"/>
      <c r="I44" s="760"/>
      <c r="J44" s="760"/>
      <c r="K44" s="760"/>
      <c r="L44" s="761"/>
      <c r="M44" s="762"/>
      <c r="N44" s="763"/>
      <c r="O44" s="764">
        <v>0</v>
      </c>
      <c r="P44" s="764"/>
      <c r="Q44" s="764"/>
      <c r="R44" s="764"/>
      <c r="S44" s="765">
        <f>_xlfn.SUMIFS(S1:S100,$D1:$D100,D44,$N1:$N100,"Exigences"&amp;"*")</f>
      </c>
      <c r="T44" s="765"/>
      <c r="U44" s="765"/>
      <c r="V44" s="766"/>
      <c r="W44" s="789">
        <f>_xlfn.IFERROR(IF(N44='Suppl'!$E$65,0,IF(N44='Suppl'!$E$66,1/2/(_xlfn.COUNTIFS($N1:$N100,"Exigences"&amp;"*")+_xlfn.COUNTIFS($N1:$N100,"Non"&amp;"*")),IF(N44='Suppl'!$E$67,1/(_xlfn.COUNTIFS($N1:$N100,"Exigences"&amp;"*")+_xlfn.COUNTIFS($N1:$N100,"Non"&amp;"*")),0))),0)</f>
        <v>0</v>
      </c>
      <c r="X44" s="586"/>
      <c r="Y44" s="586"/>
      <c r="Z44" s="586"/>
      <c r="AA44" s="586"/>
      <c r="AB44" s="586"/>
      <c r="AC44" s="586"/>
      <c r="AD44" s="586"/>
      <c r="AE44" s="586"/>
      <c r="AF44" s="586"/>
      <c r="AG44" s="586"/>
      <c r="AH44" s="888"/>
      <c r="AI44" s="585"/>
    </row>
    <row r="45" ht="30" customHeight="1">
      <c r="A45" s="887"/>
      <c r="B45" s="753"/>
      <c r="C45" t="s" s="754">
        <f>IF(LEFT(RIGHT($B$1,2),1)=" ",RIGHT($B$1,1),RIGHT($B$1,2))</f>
        <v>2235</v>
      </c>
      <c r="D45" s="755">
        <f>IF(LEFT(F45,5)="Bonne",D43+1,D44)</f>
        <v>4</v>
      </c>
      <c r="E45" t="s" s="778">
        <f>C45&amp;D45&amp;RIGHT(F45,1)</f>
        <v>2262</v>
      </c>
      <c r="F45" t="s" s="769">
        <v>1835</v>
      </c>
      <c r="G45" t="s" s="809">
        <f>VLOOKUP(E47,'BDD'!$A$2:$N$567,7,FALSE)</f>
        <v>2278</v>
      </c>
      <c r="H45" s="810"/>
      <c r="I45" s="810"/>
      <c r="J45" s="810"/>
      <c r="K45" s="810"/>
      <c r="L45" s="810"/>
      <c r="M45" s="810"/>
      <c r="N45" s="811"/>
      <c r="O45" s="775"/>
      <c r="P45" s="775"/>
      <c r="Q45" s="775"/>
      <c r="R45" s="775"/>
      <c r="S45" s="776"/>
      <c r="T45" s="776"/>
      <c r="U45" s="776"/>
      <c r="V45" s="777"/>
      <c r="W45" s="789">
        <f>_xlfn.IFERROR(IF(N45='Suppl'!$E$65,0,IF(N45='Suppl'!$E$66,1/2/(_xlfn.COUNTIFS($N1:$N100,"Exigences"&amp;"*")+_xlfn.COUNTIFS($N1:$N100,"Non"&amp;"*")),IF(N45='Suppl'!$E$67,1/(_xlfn.COUNTIFS($N1:$N100,"Exigences"&amp;"*")+_xlfn.COUNTIFS($N1:$N100,"Non"&amp;"*")),0))),0)</f>
        <v>0</v>
      </c>
      <c r="X45" s="586"/>
      <c r="Y45" s="586"/>
      <c r="Z45" s="586"/>
      <c r="AA45" s="586"/>
      <c r="AB45" s="586"/>
      <c r="AC45" s="586"/>
      <c r="AD45" s="586"/>
      <c r="AE45" s="586"/>
      <c r="AF45" s="586"/>
      <c r="AG45" s="586"/>
      <c r="AH45" s="888"/>
      <c r="AI45" s="585"/>
    </row>
    <row r="46" ht="30" customHeight="1">
      <c r="A46" s="887"/>
      <c r="B46" s="753"/>
      <c r="C46" t="s" s="754">
        <f>IF(LEFT(RIGHT($B$1,2),1)=" ",RIGHT($B$1,1),RIGHT($B$1,2))</f>
        <v>2235</v>
      </c>
      <c r="D46" s="755">
        <f>IF(LEFT(F46,5)="Bonne",D44+1,D45)</f>
        <v>4</v>
      </c>
      <c r="E46" t="s" s="778">
        <f>C46&amp;D46&amp;RIGHT(F46,1)</f>
        <v>2262</v>
      </c>
      <c r="F46" t="s" s="779">
        <v>1769</v>
      </c>
      <c r="G46" t="s" s="780">
        <f>VLOOKUP(E46,'BDD'!$A$2:$N$567,MATCH(G$24,'BDD'!$A$1:$P$1,0),FALSE)</f>
        <v>1146</v>
      </c>
      <c r="H46" s="781"/>
      <c r="I46" s="782"/>
      <c r="J46" t="s" s="792">
        <v>271</v>
      </c>
      <c r="K46" s="782"/>
      <c r="L46" s="793"/>
      <c r="M46" s="784">
        <f>IF(N46="Exigences partiellement respectées",1,IF(N46="Exigences respectées",2,0))</f>
        <v>0</v>
      </c>
      <c r="N46" t="s" s="780">
        <f>VLOOKUP(VLOOKUP(E46,'BDD'!$A$2:$P$428,15,FALSE),'Suppl'!$D$64:$E$68,2,FALSE)</f>
        <v>1751</v>
      </c>
      <c r="O46" s="785"/>
      <c r="P46" s="786"/>
      <c r="Q46" s="786"/>
      <c r="R46" s="786"/>
      <c r="S46" s="787">
        <f>IF(N46='Suppl'!$E$65,0,IF(N46='Suppl'!$E$66,1/2/(_xlfn.COUNTIFS($D1:$D100,D46,$N1:$N100,"Exigences"&amp;"*",G1:G100,"&lt;&gt;0")+_xlfn.COUNTIFS($D1:$D100,D46,$N1:$N100,"Non"&amp;"*",G1:G100,"&lt;&gt;0")),IF(N46='Suppl'!$E$67,1/(_xlfn.COUNTIFS($D1:$D100,D46,$N1:$N100,"Exigences"&amp;"*",G1:G100,"&lt;&gt;0")+_xlfn.COUNTIFS($D1:$D100,D46,$N1:$N100,"Non"&amp;"*",G1:G100,"&lt;&gt;0")),0)))</f>
        <v>0</v>
      </c>
      <c r="T46" s="787"/>
      <c r="U46" s="787"/>
      <c r="V46" s="788"/>
      <c r="W46" s="789">
        <f>_xlfn.IFERROR(IF(N46='Suppl'!$E$65,0,IF(N46='Suppl'!$E$66,1/2/(_xlfn.COUNTIFS($N1:$N100,"Exigences"&amp;"*")+_xlfn.COUNTIFS($N1:$N100,"Non"&amp;"*")),IF(N46='Suppl'!$E$67,1/(_xlfn.COUNTIFS($N1:$N100,"Exigences"&amp;"*")+_xlfn.COUNTIFS($N1:$N100,"Non"&amp;"*")),0))),0)</f>
        <v>0</v>
      </c>
      <c r="X46" s="586"/>
      <c r="Y46" s="586"/>
      <c r="Z46" s="586"/>
      <c r="AA46" s="586"/>
      <c r="AB46" s="586"/>
      <c r="AC46" s="586"/>
      <c r="AD46" s="586"/>
      <c r="AE46" s="586"/>
      <c r="AF46" s="586"/>
      <c r="AG46" s="586"/>
      <c r="AH46" s="888"/>
      <c r="AI46" s="585"/>
    </row>
    <row r="47" ht="27.6" customHeight="1">
      <c r="A47" s="887"/>
      <c r="B47" s="753"/>
      <c r="C47" t="s" s="754">
        <f>IF(LEFT(RIGHT($B$1,2),1)=" ",RIGHT($B$1,1),RIGHT($B$1,2))</f>
        <v>2235</v>
      </c>
      <c r="D47" s="755">
        <f>IF(LEFT(F47,5)="Bonne",D45+1,D46)</f>
        <v>4</v>
      </c>
      <c r="E47" t="s" s="778">
        <f>C47&amp;D47&amp;RIGHT(F47,1)</f>
        <v>2263</v>
      </c>
      <c r="F47" t="s" s="790">
        <v>1837</v>
      </c>
      <c r="G47" t="s" s="791">
        <f>VLOOKUP(E47,'BDD'!$A$2:$N$567,MATCH(G$24,'BDD'!$A$1:$P$1,0),FALSE)</f>
        <v>1149</v>
      </c>
      <c r="H47" s="781"/>
      <c r="I47" s="782"/>
      <c r="J47" t="s" s="792">
        <v>271</v>
      </c>
      <c r="K47" s="782"/>
      <c r="L47" s="793"/>
      <c r="M47" s="794">
        <f>IF(N47="Exigences partiellement respectées",1,IF(N47="Exigences respectées",2,0))</f>
        <v>0</v>
      </c>
      <c r="N47" t="s" s="791">
        <f>VLOOKUP(VLOOKUP(E47,'BDD'!$A$2:$P$428,15,FALSE),'Suppl'!$D$64:$E$68,2,FALSE)</f>
        <v>1751</v>
      </c>
      <c r="O47" s="795"/>
      <c r="P47" s="796"/>
      <c r="Q47" s="796"/>
      <c r="R47" s="796"/>
      <c r="S47" s="797">
        <f>IF(N47='Suppl'!$E$65,0,IF(N47='Suppl'!$E$66,1/2/(_xlfn.COUNTIFS($D1:$D100,D47,$N1:$N100,"Exigences"&amp;"*",G1:G100,"&lt;&gt;0")+_xlfn.COUNTIFS($D1:$D100,D47,$N1:$N100,"Non"&amp;"*",G1:G100,"&lt;&gt;0")),IF(N47='Suppl'!$E$67,1/(_xlfn.COUNTIFS($D1:$D100,D47,$N1:$N100,"Exigences"&amp;"*",G1:G100,"&lt;&gt;0")+_xlfn.COUNTIFS($D1:$D100,D47,$N1:$N100,"Non"&amp;"*",G1:G100,"&lt;&gt;0")),0)))</f>
        <v>0</v>
      </c>
      <c r="T47" s="797"/>
      <c r="U47" s="797"/>
      <c r="V47" s="798"/>
      <c r="W47" s="789">
        <f>_xlfn.IFERROR(IF(N47='Suppl'!$E$65,0,IF(N47='Suppl'!$E$66,1/2/(_xlfn.COUNTIFS($N1:$N100,"Exigences"&amp;"*")+_xlfn.COUNTIFS($N1:$N100,"Non"&amp;"*")),IF(N47='Suppl'!$E$67,1/(_xlfn.COUNTIFS($N1:$N100,"Exigences"&amp;"*")+_xlfn.COUNTIFS($N1:$N100,"Non"&amp;"*")),0))),0)</f>
        <v>0</v>
      </c>
      <c r="X47" s="586"/>
      <c r="Y47" s="586"/>
      <c r="Z47" s="586"/>
      <c r="AA47" s="586"/>
      <c r="AB47" s="586"/>
      <c r="AC47" s="586"/>
      <c r="AD47" s="586"/>
      <c r="AE47" s="586"/>
      <c r="AF47" s="586"/>
      <c r="AG47" s="586"/>
      <c r="AH47" s="888"/>
      <c r="AI47" s="585"/>
    </row>
    <row r="48" ht="30" customHeight="1">
      <c r="A48" s="887"/>
      <c r="B48" s="753"/>
      <c r="C48" t="s" s="754">
        <f>IF(LEFT(RIGHT($B$1,2),1)=" ",RIGHT($B$1,1),RIGHT($B$1,2))</f>
        <v>2235</v>
      </c>
      <c r="D48" s="755">
        <f>IF(LEFT(F48,5)="Bonne",D46+1,D47)</f>
        <v>4</v>
      </c>
      <c r="E48" t="s" s="778">
        <f>C48&amp;D48&amp;RIGHT(F48,1)</f>
        <v>2264</v>
      </c>
      <c r="F48" t="s" s="779">
        <v>1774</v>
      </c>
      <c r="G48" t="s" s="780">
        <f>VLOOKUP(E48,'BDD'!$A$2:$N$567,MATCH(G$24,'BDD'!$A$1:$P$1,0),FALSE)</f>
        <v>1152</v>
      </c>
      <c r="H48" s="781"/>
      <c r="I48" s="782"/>
      <c r="J48" t="s" s="792">
        <v>271</v>
      </c>
      <c r="K48" s="782"/>
      <c r="L48" s="793"/>
      <c r="M48" s="794">
        <f>IF(N48="Exigences partiellement respectées",1,IF(N48="Exigences respectées",2,0))</f>
        <v>0</v>
      </c>
      <c r="N48" t="s" s="780">
        <f>VLOOKUP(VLOOKUP(E48,'BDD'!$A$2:$P$428,15,FALSE),'Suppl'!$D$64:$E$68,2,FALSE)</f>
        <v>1751</v>
      </c>
      <c r="O48" s="795"/>
      <c r="P48" s="796"/>
      <c r="Q48" s="796"/>
      <c r="R48" s="796"/>
      <c r="S48" s="797">
        <f>IF(N48='Suppl'!$E$65,0,IF(N48='Suppl'!$E$66,1/2/(_xlfn.COUNTIFS($D1:$D100,D48,$N1:$N100,"Exigences"&amp;"*",G1:G100,"&lt;&gt;0")+_xlfn.COUNTIFS($D1:$D100,D48,$N1:$N100,"Non"&amp;"*",G1:G100,"&lt;&gt;0")),IF(N48='Suppl'!$E$67,1/(_xlfn.COUNTIFS($D1:$D100,D48,$N1:$N100,"Exigences"&amp;"*",G1:G100,"&lt;&gt;0")+_xlfn.COUNTIFS($D1:$D100,D48,$N1:$N100,"Non"&amp;"*",G1:G100,"&lt;&gt;0")),0)))</f>
        <v>0</v>
      </c>
      <c r="T48" s="797"/>
      <c r="U48" s="797"/>
      <c r="V48" s="798"/>
      <c r="W48" s="789">
        <f>_xlfn.IFERROR(IF(N48='Suppl'!$E$65,0,IF(N48='Suppl'!$E$66,1/2/(_xlfn.COUNTIFS($N1:$N100,"Exigences"&amp;"*")+_xlfn.COUNTIFS($N1:$N100,"Non"&amp;"*")),IF(N48='Suppl'!$E$67,1/(_xlfn.COUNTIFS($N1:$N100,"Exigences"&amp;"*")+_xlfn.COUNTIFS($N1:$N100,"Non"&amp;"*")),0))),0)</f>
        <v>0</v>
      </c>
      <c r="X48" s="586"/>
      <c r="Y48" s="586"/>
      <c r="Z48" s="586"/>
      <c r="AA48" s="586"/>
      <c r="AB48" s="586"/>
      <c r="AC48" s="586"/>
      <c r="AD48" s="586"/>
      <c r="AE48" s="586"/>
      <c r="AF48" s="586"/>
      <c r="AG48" s="586"/>
      <c r="AH48" s="888"/>
      <c r="AI48" s="585"/>
    </row>
    <row r="49" ht="41.4" customHeight="1">
      <c r="A49" s="887"/>
      <c r="B49" s="753"/>
      <c r="C49" t="s" s="754">
        <f>IF(LEFT(RIGHT($B$1,2),1)=" ",RIGHT($B$1,1),RIGHT($B$1,2))</f>
        <v>2235</v>
      </c>
      <c r="D49" s="755">
        <f>IF(LEFT(F49,5)="Bonne",D47+1,D48)</f>
        <v>4</v>
      </c>
      <c r="E49" t="s" s="778">
        <f>C49&amp;D49&amp;RIGHT(F49,1)</f>
        <v>2260</v>
      </c>
      <c r="F49" t="s" s="790">
        <v>1776</v>
      </c>
      <c r="G49" t="s" s="791">
        <f>VLOOKUP(E49,'BDD'!$A$2:$N$567,MATCH(G$24,'BDD'!$A$1:$P$1,0),FALSE)</f>
        <v>1155</v>
      </c>
      <c r="H49" s="781"/>
      <c r="I49" s="782"/>
      <c r="J49" s="782"/>
      <c r="K49" t="s" s="792">
        <v>291</v>
      </c>
      <c r="L49" s="793"/>
      <c r="M49" s="800">
        <f>IF(N49="Exigences partiellement respectées",1,IF(N49="Exigences respectées",2,0))</f>
        <v>0</v>
      </c>
      <c r="N49" t="s" s="791">
        <f>VLOOKUP(VLOOKUP(E49,'BDD'!$A$2:$P$428,15,FALSE),'Suppl'!$D$64:$E$68,2,FALSE)</f>
        <v>1751</v>
      </c>
      <c r="O49" s="801"/>
      <c r="P49" s="802"/>
      <c r="Q49" s="802"/>
      <c r="R49" s="802"/>
      <c r="S49" s="803">
        <f>IF(N49='Suppl'!$E$65,0,IF(N49='Suppl'!$E$66,1/2/(_xlfn.COUNTIFS($D1:$D100,D49,$N1:$N100,"Exigences"&amp;"*",G1:G100,"&lt;&gt;0")+_xlfn.COUNTIFS($D1:$D100,D49,$N1:$N100,"Non"&amp;"*",G1:G100,"&lt;&gt;0")),IF(N49='Suppl'!$E$67,1/(_xlfn.COUNTIFS($D1:$D100,D49,$N1:$N100,"Exigences"&amp;"*",G1:G100,"&lt;&gt;0")+_xlfn.COUNTIFS($D1:$D100,D49,$N1:$N100,"Non"&amp;"*",G1:G100,"&lt;&gt;0")),0)))</f>
        <v>0</v>
      </c>
      <c r="T49" s="803"/>
      <c r="U49" s="803"/>
      <c r="V49" s="804"/>
      <c r="W49" s="789">
        <f>_xlfn.IFERROR(IF(N49='Suppl'!$E$65,0,IF(N49='Suppl'!$E$66,1/2/(_xlfn.COUNTIFS($N1:$N100,"Exigences"&amp;"*")+_xlfn.COUNTIFS($N1:$N100,"Non"&amp;"*")),IF(N49='Suppl'!$E$67,1/(_xlfn.COUNTIFS($N1:$N100,"Exigences"&amp;"*")+_xlfn.COUNTIFS($N1:$N100,"Non"&amp;"*")),0))),0)</f>
        <v>0</v>
      </c>
      <c r="X49" s="586"/>
      <c r="Y49" s="586"/>
      <c r="Z49" s="586"/>
      <c r="AA49" s="586"/>
      <c r="AB49" s="586"/>
      <c r="AC49" s="586"/>
      <c r="AD49" s="586"/>
      <c r="AE49" s="586"/>
      <c r="AF49" s="586"/>
      <c r="AG49" s="586"/>
      <c r="AH49" s="888"/>
      <c r="AI49" s="585"/>
    </row>
    <row r="50" ht="30" customHeight="1">
      <c r="A50" s="887"/>
      <c r="B50" s="753"/>
      <c r="C50" t="s" s="754">
        <f>IF(LEFT(RIGHT($B$1,2),1)=" ",RIGHT($B$1,1),RIGHT($B$1,2))</f>
        <v>2235</v>
      </c>
      <c r="D50" s="755">
        <f>IF(LEFT(F50,5)="Bonne",D48+1,D49)</f>
        <v>5</v>
      </c>
      <c r="E50" t="s" s="778">
        <f>C50&amp;D50&amp;RIGHT(F50,1)</f>
        <v>2279</v>
      </c>
      <c r="F50" t="s" s="757">
        <v>1814</v>
      </c>
      <c r="G50" t="s" s="758">
        <f>VLOOKUP(E52,'BDD'!$A$2:$N$567,6,FALSE)</f>
        <v>1160</v>
      </c>
      <c r="H50" s="759"/>
      <c r="I50" s="760"/>
      <c r="J50" s="760"/>
      <c r="K50" s="760"/>
      <c r="L50" s="761"/>
      <c r="M50" s="762"/>
      <c r="N50" s="763"/>
      <c r="O50" s="764">
        <v>0</v>
      </c>
      <c r="P50" s="764"/>
      <c r="Q50" s="764"/>
      <c r="R50" s="764"/>
      <c r="S50" s="765">
        <f>_xlfn.SUMIFS(S1:S100,$D1:$D100,D50,$N1:$N100,"Exigences"&amp;"*")</f>
      </c>
      <c r="T50" s="765"/>
      <c r="U50" s="765"/>
      <c r="V50" s="766"/>
      <c r="W50" s="789">
        <f>_xlfn.IFERROR(IF(N50='Suppl'!$E$65,0,IF(N50='Suppl'!$E$66,1/2/(_xlfn.COUNTIFS($N1:$N100,"Exigences"&amp;"*")+_xlfn.COUNTIFS($N1:$N100,"Non"&amp;"*")),IF(N50='Suppl'!$E$67,1/(_xlfn.COUNTIFS($N1:$N100,"Exigences"&amp;"*")+_xlfn.COUNTIFS($N1:$N100,"Non"&amp;"*")),0))),0)</f>
        <v>0</v>
      </c>
      <c r="X50" s="586"/>
      <c r="Y50" s="586"/>
      <c r="Z50" s="586"/>
      <c r="AA50" s="586"/>
      <c r="AB50" s="586"/>
      <c r="AC50" s="586"/>
      <c r="AD50" s="586"/>
      <c r="AE50" s="586"/>
      <c r="AF50" s="586"/>
      <c r="AG50" s="586"/>
      <c r="AH50" s="888"/>
      <c r="AI50" s="585"/>
    </row>
    <row r="51" ht="30" customHeight="1">
      <c r="A51" s="887"/>
      <c r="B51" s="753"/>
      <c r="C51" t="s" s="754">
        <f>IF(LEFT(RIGHT($B$1,2),1)=" ",RIGHT($B$1,1),RIGHT($B$1,2))</f>
        <v>2235</v>
      </c>
      <c r="D51" s="755">
        <f>IF(LEFT(F51,5)="Bonne",D49+1,D50)</f>
        <v>5</v>
      </c>
      <c r="E51" t="s" s="778">
        <f>C51&amp;D51&amp;RIGHT(F51,1)</f>
        <v>2280</v>
      </c>
      <c r="F51" t="s" s="769">
        <v>1835</v>
      </c>
      <c r="G51" t="s" s="809">
        <f>VLOOKUP(E53,'BDD'!$A$2:$N$567,7,FALSE)</f>
        <v>2281</v>
      </c>
      <c r="H51" s="810"/>
      <c r="I51" s="810"/>
      <c r="J51" s="810"/>
      <c r="K51" s="810"/>
      <c r="L51" s="810"/>
      <c r="M51" s="810"/>
      <c r="N51" s="811"/>
      <c r="O51" s="775"/>
      <c r="P51" s="775"/>
      <c r="Q51" s="775"/>
      <c r="R51" s="775"/>
      <c r="S51" s="776"/>
      <c r="T51" s="776"/>
      <c r="U51" s="776"/>
      <c r="V51" s="777"/>
      <c r="W51" s="789">
        <f>_xlfn.IFERROR(IF(N51='Suppl'!$E$65,0,IF(N51='Suppl'!$E$66,1/2/(_xlfn.COUNTIFS($N1:$N100,"Exigences"&amp;"*")+_xlfn.COUNTIFS($N1:$N100,"Non"&amp;"*")),IF(N51='Suppl'!$E$67,1/(_xlfn.COUNTIFS($N1:$N100,"Exigences"&amp;"*")+_xlfn.COUNTIFS($N1:$N100,"Non"&amp;"*")),0))),0)</f>
        <v>0</v>
      </c>
      <c r="X51" s="586"/>
      <c r="Y51" s="586"/>
      <c r="Z51" s="586"/>
      <c r="AA51" s="586"/>
      <c r="AB51" s="586"/>
      <c r="AC51" s="586"/>
      <c r="AD51" s="586"/>
      <c r="AE51" s="586"/>
      <c r="AF51" s="586"/>
      <c r="AG51" s="586"/>
      <c r="AH51" s="888"/>
      <c r="AI51" s="585"/>
    </row>
    <row r="52" ht="41.4" customHeight="1">
      <c r="A52" s="887"/>
      <c r="B52" s="753"/>
      <c r="C52" t="s" s="754">
        <f>IF(LEFT(RIGHT($B$1,2),1)=" ",RIGHT($B$1,1),RIGHT($B$1,2))</f>
        <v>2235</v>
      </c>
      <c r="D52" s="755">
        <f>IF(LEFT(F52,5)="Bonne",D50+1,D51)</f>
        <v>5</v>
      </c>
      <c r="E52" t="s" s="778">
        <f>C52&amp;D52&amp;RIGHT(F52,1)</f>
        <v>2280</v>
      </c>
      <c r="F52" t="s" s="779">
        <v>1769</v>
      </c>
      <c r="G52" t="s" s="780">
        <f>VLOOKUP(E52,'BDD'!$A$2:$N$567,MATCH(G$24,'BDD'!$A$1:$P$1,0),FALSE)</f>
        <v>1163</v>
      </c>
      <c r="H52" t="s" s="799">
        <v>283</v>
      </c>
      <c r="I52" s="782"/>
      <c r="J52" s="782"/>
      <c r="K52" s="782"/>
      <c r="L52" s="793"/>
      <c r="M52" s="784">
        <f>IF(N52="Exigences partiellement respectées",1,IF(N52="Exigences respectées",2,0))</f>
        <v>0</v>
      </c>
      <c r="N52" t="s" s="780">
        <f>VLOOKUP(VLOOKUP(E52,'BDD'!$A$2:$P$428,15,FALSE),'Suppl'!$D$64:$E$68,2,FALSE)</f>
        <v>1751</v>
      </c>
      <c r="O52" s="785"/>
      <c r="P52" s="786"/>
      <c r="Q52" s="786"/>
      <c r="R52" s="786"/>
      <c r="S52" s="787">
        <f>IF(N52='Suppl'!$E$65,0,IF(N52='Suppl'!$E$66,1/2/(_xlfn.COUNTIFS($D1:$D100,D52,$N1:$N100,"Exigences"&amp;"*",G1:G100,"&lt;&gt;0")+_xlfn.COUNTIFS($D1:$D100,D52,$N1:$N100,"Non"&amp;"*",G1:G100,"&lt;&gt;0")),IF(N52='Suppl'!$E$67,1/(_xlfn.COUNTIFS($D1:$D100,D52,$N1:$N100,"Exigences"&amp;"*",G1:G100,"&lt;&gt;0")+_xlfn.COUNTIFS($D1:$D100,D52,$N1:$N100,"Non"&amp;"*",G1:G100,"&lt;&gt;0")),0)))</f>
        <v>0</v>
      </c>
      <c r="T52" s="787"/>
      <c r="U52" s="787"/>
      <c r="V52" s="788"/>
      <c r="W52" s="789">
        <f>_xlfn.IFERROR(IF(N52='Suppl'!$E$65,0,IF(N52='Suppl'!$E$66,1/2/(_xlfn.COUNTIFS($N1:$N100,"Exigences"&amp;"*")+_xlfn.COUNTIFS($N1:$N100,"Non"&amp;"*")),IF(N52='Suppl'!$E$67,1/(_xlfn.COUNTIFS($N1:$N100,"Exigences"&amp;"*")+_xlfn.COUNTIFS($N1:$N100,"Non"&amp;"*")),0))),0)</f>
        <v>0</v>
      </c>
      <c r="X52" s="586"/>
      <c r="Y52" s="586"/>
      <c r="Z52" s="586"/>
      <c r="AA52" s="586"/>
      <c r="AB52" s="586"/>
      <c r="AC52" s="586"/>
      <c r="AD52" s="586"/>
      <c r="AE52" s="586"/>
      <c r="AF52" s="586"/>
      <c r="AG52" s="586"/>
      <c r="AH52" s="888"/>
      <c r="AI52" s="585"/>
    </row>
    <row r="53" ht="41.4" customHeight="1">
      <c r="A53" s="887"/>
      <c r="B53" s="753"/>
      <c r="C53" t="s" s="754">
        <f>IF(LEFT(RIGHT($B$1,2),1)=" ",RIGHT($B$1,1),RIGHT($B$1,2))</f>
        <v>2235</v>
      </c>
      <c r="D53" s="755">
        <f>IF(LEFT(F53,5)="Bonne",D51+1,D52)</f>
        <v>5</v>
      </c>
      <c r="E53" t="s" s="778">
        <f>C53&amp;D53&amp;RIGHT(F53,1)</f>
        <v>2282</v>
      </c>
      <c r="F53" t="s" s="790">
        <v>1837</v>
      </c>
      <c r="G53" t="s" s="791">
        <f>VLOOKUP(E53,'BDD'!$A$2:$N$567,MATCH(G$24,'BDD'!$A$1:$P$1,0),FALSE)</f>
        <v>1166</v>
      </c>
      <c r="H53" t="s" s="799">
        <v>283</v>
      </c>
      <c r="I53" s="782"/>
      <c r="J53" s="782"/>
      <c r="K53" s="782"/>
      <c r="L53" s="793"/>
      <c r="M53" s="794">
        <f>IF(N53="Exigences partiellement respectées",1,IF(N53="Exigences respectées",2,0))</f>
        <v>0</v>
      </c>
      <c r="N53" t="s" s="791">
        <f>VLOOKUP(VLOOKUP(E53,'BDD'!$A$2:$P$428,15,FALSE),'Suppl'!$D$64:$E$68,2,FALSE)</f>
        <v>1751</v>
      </c>
      <c r="O53" s="795"/>
      <c r="P53" s="796"/>
      <c r="Q53" s="796"/>
      <c r="R53" s="796"/>
      <c r="S53" s="797">
        <f>IF(N53='Suppl'!$E$65,0,IF(N53='Suppl'!$E$66,1/2/(_xlfn.COUNTIFS($D1:$D100,D53,$N1:$N100,"Exigences"&amp;"*",G1:G100,"&lt;&gt;0")+_xlfn.COUNTIFS($D1:$D100,D53,$N1:$N100,"Non"&amp;"*",G1:G100,"&lt;&gt;0")),IF(N53='Suppl'!$E$67,1/(_xlfn.COUNTIFS($D1:$D100,D53,$N1:$N100,"Exigences"&amp;"*",G1:G100,"&lt;&gt;0")+_xlfn.COUNTIFS($D1:$D100,D53,$N1:$N100,"Non"&amp;"*",G1:G100,"&lt;&gt;0")),0)))</f>
        <v>0</v>
      </c>
      <c r="T53" s="797"/>
      <c r="U53" s="797"/>
      <c r="V53" s="798"/>
      <c r="W53" s="789">
        <f>_xlfn.IFERROR(IF(N53='Suppl'!$E$65,0,IF(N53='Suppl'!$E$66,1/2/(_xlfn.COUNTIFS($N1:$N100,"Exigences"&amp;"*")+_xlfn.COUNTIFS($N1:$N100,"Non"&amp;"*")),IF(N53='Suppl'!$E$67,1/(_xlfn.COUNTIFS($N1:$N100,"Exigences"&amp;"*")+_xlfn.COUNTIFS($N1:$N100,"Non"&amp;"*")),0))),0)</f>
        <v>0</v>
      </c>
      <c r="X53" s="586"/>
      <c r="Y53" s="586"/>
      <c r="Z53" s="586"/>
      <c r="AA53" s="586"/>
      <c r="AB53" s="586"/>
      <c r="AC53" s="586"/>
      <c r="AD53" s="586"/>
      <c r="AE53" s="586"/>
      <c r="AF53" s="586"/>
      <c r="AG53" s="586"/>
      <c r="AH53" s="888"/>
      <c r="AI53" s="585"/>
    </row>
    <row r="54" ht="30" customHeight="1">
      <c r="A54" s="887"/>
      <c r="B54" s="753"/>
      <c r="C54" t="s" s="754">
        <f>IF(LEFT(RIGHT($B$1,2),1)=" ",RIGHT($B$1,1),RIGHT($B$1,2))</f>
        <v>2235</v>
      </c>
      <c r="D54" s="755">
        <f>IF(LEFT(F54,5)="Bonne",D52+1,D53)</f>
        <v>5</v>
      </c>
      <c r="E54" t="s" s="778">
        <f>C54&amp;D54&amp;RIGHT(F54,1)</f>
        <v>2283</v>
      </c>
      <c r="F54" t="s" s="779">
        <v>1774</v>
      </c>
      <c r="G54" t="s" s="780">
        <f>VLOOKUP(E54,'BDD'!$A$2:$N$567,MATCH(G$24,'BDD'!$A$1:$P$1,0),FALSE)</f>
        <v>1169</v>
      </c>
      <c r="H54" s="781"/>
      <c r="I54" t="s" s="792">
        <v>263</v>
      </c>
      <c r="J54" s="782"/>
      <c r="K54" s="782"/>
      <c r="L54" s="793"/>
      <c r="M54" s="794">
        <f>IF(N54="Exigences partiellement respectées",1,IF(N54="Exigences respectées",2,0))</f>
        <v>0</v>
      </c>
      <c r="N54" t="s" s="780">
        <f>VLOOKUP(VLOOKUP(E54,'BDD'!$A$2:$P$428,15,FALSE),'Suppl'!$D$64:$E$68,2,FALSE)</f>
        <v>1751</v>
      </c>
      <c r="O54" s="795"/>
      <c r="P54" s="796"/>
      <c r="Q54" s="796"/>
      <c r="R54" s="796"/>
      <c r="S54" s="797">
        <f>IF(N54='Suppl'!$E$65,0,IF(N54='Suppl'!$E$66,1/2/(_xlfn.COUNTIFS($D1:$D100,D54,$N1:$N100,"Exigences"&amp;"*",G1:G100,"&lt;&gt;0")+_xlfn.COUNTIFS($D1:$D100,D54,$N1:$N100,"Non"&amp;"*",G1:G100,"&lt;&gt;0")),IF(N54='Suppl'!$E$67,1/(_xlfn.COUNTIFS($D1:$D100,D54,$N1:$N100,"Exigences"&amp;"*",G1:G100,"&lt;&gt;0")+_xlfn.COUNTIFS($D1:$D100,D54,$N1:$N100,"Non"&amp;"*",G1:G100,"&lt;&gt;0")),0)))</f>
        <v>0</v>
      </c>
      <c r="T54" s="797"/>
      <c r="U54" s="797"/>
      <c r="V54" s="798"/>
      <c r="W54" s="789">
        <f>_xlfn.IFERROR(IF(N54='Suppl'!$E$65,0,IF(N54='Suppl'!$E$66,1/2/(_xlfn.COUNTIFS($N1:$N100,"Exigences"&amp;"*")+_xlfn.COUNTIFS($N1:$N100,"Non"&amp;"*")),IF(N54='Suppl'!$E$67,1/(_xlfn.COUNTIFS($N1:$N100,"Exigences"&amp;"*")+_xlfn.COUNTIFS($N1:$N100,"Non"&amp;"*")),0))),0)</f>
        <v>0</v>
      </c>
      <c r="X54" s="586"/>
      <c r="Y54" s="586"/>
      <c r="Z54" s="586"/>
      <c r="AA54" s="586"/>
      <c r="AB54" s="586"/>
      <c r="AC54" s="586"/>
      <c r="AD54" s="586"/>
      <c r="AE54" s="586"/>
      <c r="AF54" s="586"/>
      <c r="AG54" s="586"/>
      <c r="AH54" s="888"/>
      <c r="AI54" s="585"/>
    </row>
    <row r="55" ht="41.4" customHeight="1">
      <c r="A55" s="887"/>
      <c r="B55" s="753"/>
      <c r="C55" t="s" s="754">
        <f>IF(LEFT(RIGHT($B$1,2),1)=" ",RIGHT($B$1,1),RIGHT($B$1,2))</f>
        <v>2235</v>
      </c>
      <c r="D55" s="755">
        <f>IF(LEFT(F55,5)="Bonne",D53+1,D54)</f>
        <v>5</v>
      </c>
      <c r="E55" t="s" s="778">
        <f>C55&amp;D55&amp;RIGHT(F55,1)</f>
        <v>2284</v>
      </c>
      <c r="F55" t="s" s="790">
        <v>1776</v>
      </c>
      <c r="G55" t="s" s="791">
        <f>VLOOKUP(E55,'BDD'!$A$2:$N$567,MATCH(G$24,'BDD'!$A$1:$P$1,0),FALSE)</f>
        <v>1171</v>
      </c>
      <c r="H55" s="781"/>
      <c r="I55" s="782"/>
      <c r="J55" t="s" s="792">
        <v>271</v>
      </c>
      <c r="K55" s="782"/>
      <c r="L55" s="793"/>
      <c r="M55" s="794">
        <f>IF(N55="Exigences partiellement respectées",1,IF(N55="Exigences respectées",2,0))</f>
        <v>0</v>
      </c>
      <c r="N55" t="s" s="791">
        <f>VLOOKUP(VLOOKUP(E55,'BDD'!$A$2:$P$428,15,FALSE),'Suppl'!$D$64:$E$68,2,FALSE)</f>
        <v>1751</v>
      </c>
      <c r="O55" s="795"/>
      <c r="P55" s="796"/>
      <c r="Q55" s="796"/>
      <c r="R55" s="796"/>
      <c r="S55" s="797">
        <f>IF(N55='Suppl'!$E$65,0,IF(N55='Suppl'!$E$66,1/2/(_xlfn.COUNTIFS($D1:$D100,D55,$N1:$N100,"Exigences"&amp;"*",G1:G100,"&lt;&gt;0")+_xlfn.COUNTIFS($D1:$D100,D55,$N1:$N100,"Non"&amp;"*",G1:G100,"&lt;&gt;0")),IF(N55='Suppl'!$E$67,1/(_xlfn.COUNTIFS($D1:$D100,D55,$N1:$N100,"Exigences"&amp;"*",G1:G100,"&lt;&gt;0")+_xlfn.COUNTIFS($D1:$D100,D55,$N1:$N100,"Non"&amp;"*",G1:G100,"&lt;&gt;0")),0)))</f>
        <v>0</v>
      </c>
      <c r="T55" s="797"/>
      <c r="U55" s="797"/>
      <c r="V55" s="798"/>
      <c r="W55" s="789">
        <f>_xlfn.IFERROR(IF(N55='Suppl'!$E$65,0,IF(N55='Suppl'!$E$66,1/2/(_xlfn.COUNTIFS($N1:$N100,"Exigences"&amp;"*")+_xlfn.COUNTIFS($N1:$N100,"Non"&amp;"*")),IF(N55='Suppl'!$E$67,1/(_xlfn.COUNTIFS($N1:$N100,"Exigences"&amp;"*")+_xlfn.COUNTIFS($N1:$N100,"Non"&amp;"*")),0))),0)</f>
        <v>0</v>
      </c>
      <c r="X55" s="586"/>
      <c r="Y55" s="586"/>
      <c r="Z55" s="586"/>
      <c r="AA55" s="586"/>
      <c r="AB55" s="586"/>
      <c r="AC55" s="586"/>
      <c r="AD55" s="586"/>
      <c r="AE55" s="586"/>
      <c r="AF55" s="586"/>
      <c r="AG55" s="586"/>
      <c r="AH55" s="888"/>
      <c r="AI55" s="585"/>
    </row>
    <row r="56" ht="30" customHeight="1">
      <c r="A56" s="887"/>
      <c r="B56" s="753"/>
      <c r="C56" t="s" s="754">
        <f>IF(LEFT(RIGHT($B$1,2),1)=" ",RIGHT($B$1,1),RIGHT($B$1,2))</f>
        <v>2235</v>
      </c>
      <c r="D56" s="755">
        <f>IF(LEFT(F56,5)="Bonne",D54+1,D55)</f>
        <v>5</v>
      </c>
      <c r="E56" t="s" s="778">
        <f>C56&amp;D56&amp;RIGHT(F56,1)</f>
        <v>2279</v>
      </c>
      <c r="F56" t="s" s="779">
        <v>1778</v>
      </c>
      <c r="G56" t="s" s="780">
        <f>VLOOKUP(E56,'BDD'!$A$2:$N$567,MATCH(G$24,'BDD'!$A$1:$P$1,0),FALSE)</f>
        <v>1174</v>
      </c>
      <c r="H56" s="781"/>
      <c r="I56" t="s" s="792">
        <v>263</v>
      </c>
      <c r="J56" s="782"/>
      <c r="K56" s="782"/>
      <c r="L56" s="793"/>
      <c r="M56" s="800">
        <f>IF(N56="Exigences partiellement respectées",1,IF(N56="Exigences respectées",2,0))</f>
        <v>0</v>
      </c>
      <c r="N56" t="s" s="780">
        <f>VLOOKUP(VLOOKUP(E56,'BDD'!$A$2:$P$428,15,FALSE),'Suppl'!$D$64:$E$68,2,FALSE)</f>
        <v>1751</v>
      </c>
      <c r="O56" s="801"/>
      <c r="P56" s="802"/>
      <c r="Q56" s="802"/>
      <c r="R56" s="802"/>
      <c r="S56" s="803">
        <f>IF(N56='Suppl'!$E$65,0,IF(N56='Suppl'!$E$66,1/2/(_xlfn.COUNTIFS($D1:$D100,D56,$N1:$N100,"Exigences"&amp;"*",G1:G100,"&lt;&gt;0")+_xlfn.COUNTIFS($D1:$D100,D56,$N1:$N100,"Non"&amp;"*",G1:G100,"&lt;&gt;0")),IF(N56='Suppl'!$E$67,1/(_xlfn.COUNTIFS($D1:$D100,D56,$N1:$N100,"Exigences"&amp;"*",G1:G100,"&lt;&gt;0")+_xlfn.COUNTIFS($D1:$D100,D56,$N1:$N100,"Non"&amp;"*",G1:G100,"&lt;&gt;0")),0)))</f>
        <v>0</v>
      </c>
      <c r="T56" s="803"/>
      <c r="U56" s="803"/>
      <c r="V56" s="804"/>
      <c r="W56" s="789">
        <f>_xlfn.IFERROR(IF(N56='Suppl'!$E$65,0,IF(N56='Suppl'!$E$66,1/2/(_xlfn.COUNTIFS($N1:$N100,"Exigences"&amp;"*")+_xlfn.COUNTIFS($N1:$N100,"Non"&amp;"*")),IF(N56='Suppl'!$E$67,1/(_xlfn.COUNTIFS($N1:$N100,"Exigences"&amp;"*")+_xlfn.COUNTIFS($N1:$N100,"Non"&amp;"*")),0))),0)</f>
        <v>0</v>
      </c>
      <c r="X56" s="586"/>
      <c r="Y56" s="586"/>
      <c r="Z56" s="586"/>
      <c r="AA56" s="586"/>
      <c r="AB56" s="586"/>
      <c r="AC56" s="586"/>
      <c r="AD56" s="586"/>
      <c r="AE56" s="586"/>
      <c r="AF56" s="586"/>
      <c r="AG56" s="586"/>
      <c r="AH56" s="888"/>
      <c r="AI56" s="585"/>
    </row>
    <row r="57" ht="30" customHeight="1">
      <c r="A57" s="887"/>
      <c r="B57" s="753"/>
      <c r="C57" t="s" s="754">
        <f>IF(LEFT(RIGHT($B$1,2),1)=" ",RIGHT($B$1,1),RIGHT($B$1,2))</f>
        <v>2235</v>
      </c>
      <c r="D57" s="755">
        <f>IF(LEFT(F57,5)="Bonne",D55+1,D56)</f>
        <v>6</v>
      </c>
      <c r="E57" t="s" s="778">
        <f>C57&amp;D57&amp;RIGHT(F57,1)</f>
        <v>2285</v>
      </c>
      <c r="F57" t="s" s="757">
        <v>1887</v>
      </c>
      <c r="G57" t="s" s="758">
        <f>VLOOKUP(E59,'BDD'!$A$2:$N$567,6,FALSE)</f>
        <v>1178</v>
      </c>
      <c r="H57" s="759"/>
      <c r="I57" s="760"/>
      <c r="J57" s="760"/>
      <c r="K57" s="760"/>
      <c r="L57" s="761"/>
      <c r="M57" s="762"/>
      <c r="N57" s="763"/>
      <c r="O57" s="764">
        <v>0</v>
      </c>
      <c r="P57" s="764"/>
      <c r="Q57" s="764"/>
      <c r="R57" s="764"/>
      <c r="S57" s="765">
        <f>_xlfn.SUMIFS(S1:S100,$D1:$D100,D57,$N1:$N100,"Exigences"&amp;"*")</f>
      </c>
      <c r="T57" s="765"/>
      <c r="U57" s="765"/>
      <c r="V57" s="766"/>
      <c r="W57" s="789">
        <f>_xlfn.IFERROR(IF(N57='Suppl'!$E$65,0,IF(N57='Suppl'!$E$66,1/2/(_xlfn.COUNTIFS($N1:$N100,"Exigences"&amp;"*")+_xlfn.COUNTIFS($N1:$N100,"Non"&amp;"*")),IF(N57='Suppl'!$E$67,1/(_xlfn.COUNTIFS($N1:$N100,"Exigences"&amp;"*")+_xlfn.COUNTIFS($N1:$N100,"Non"&amp;"*")),0))),0)</f>
        <v>0</v>
      </c>
      <c r="X57" s="586"/>
      <c r="Y57" s="586"/>
      <c r="Z57" s="586"/>
      <c r="AA57" s="586"/>
      <c r="AB57" s="586"/>
      <c r="AC57" s="586"/>
      <c r="AD57" s="586"/>
      <c r="AE57" s="586"/>
      <c r="AF57" s="586"/>
      <c r="AG57" s="586"/>
      <c r="AH57" s="888"/>
      <c r="AI57" s="585"/>
    </row>
    <row r="58" ht="30" customHeight="1">
      <c r="A58" s="887"/>
      <c r="B58" s="753"/>
      <c r="C58" t="s" s="754">
        <f>IF(LEFT(RIGHT($B$1,2),1)=" ",RIGHT($B$1,1),RIGHT($B$1,2))</f>
        <v>2235</v>
      </c>
      <c r="D58" s="755">
        <f>IF(LEFT(F58,5)="Bonne",D56+1,D57)</f>
        <v>6</v>
      </c>
      <c r="E58" t="s" s="778">
        <f>C58&amp;D58&amp;RIGHT(F58,1)</f>
        <v>2286</v>
      </c>
      <c r="F58" t="s" s="769">
        <v>1835</v>
      </c>
      <c r="G58" t="s" s="770">
        <f>VLOOKUP(E60,'BDD'!$A$2:$N$567,7,FALSE)</f>
        <v>2287</v>
      </c>
      <c r="H58" s="771"/>
      <c r="I58" s="771"/>
      <c r="J58" s="771"/>
      <c r="K58" s="771"/>
      <c r="L58" s="772"/>
      <c r="M58" s="773"/>
      <c r="N58" s="774"/>
      <c r="O58" s="775"/>
      <c r="P58" s="775"/>
      <c r="Q58" s="775"/>
      <c r="R58" s="775"/>
      <c r="S58" s="776"/>
      <c r="T58" s="776"/>
      <c r="U58" s="776"/>
      <c r="V58" s="777"/>
      <c r="W58" s="789">
        <f>_xlfn.IFERROR(IF(N58='Suppl'!$E$65,0,IF(N58='Suppl'!$E$66,1/2/(_xlfn.COUNTIFS($N1:$N100,"Exigences"&amp;"*")+_xlfn.COUNTIFS($N1:$N100,"Non"&amp;"*")),IF(N58='Suppl'!$E$67,1/(_xlfn.COUNTIFS($N1:$N100,"Exigences"&amp;"*")+_xlfn.COUNTIFS($N1:$N100,"Non"&amp;"*")),0))),0)</f>
        <v>0</v>
      </c>
      <c r="X58" s="586"/>
      <c r="Y58" s="586"/>
      <c r="Z58" s="586"/>
      <c r="AA58" s="586"/>
      <c r="AB58" s="586"/>
      <c r="AC58" s="586"/>
      <c r="AD58" s="586"/>
      <c r="AE58" s="586"/>
      <c r="AF58" s="586"/>
      <c r="AG58" s="586"/>
      <c r="AH58" s="888"/>
      <c r="AI58" s="585"/>
    </row>
    <row r="59" ht="30" customHeight="1">
      <c r="A59" s="887"/>
      <c r="B59" s="753"/>
      <c r="C59" t="s" s="754">
        <f>IF(LEFT(RIGHT($B$1,2),1)=" ",RIGHT($B$1,1),RIGHT($B$1,2))</f>
        <v>2235</v>
      </c>
      <c r="D59" s="755">
        <f>IF(LEFT(F59,5)="Bonne",D57+1,D58)</f>
        <v>6</v>
      </c>
      <c r="E59" t="s" s="778">
        <f>C59&amp;D59&amp;RIGHT(F59,1)</f>
        <v>2286</v>
      </c>
      <c r="F59" t="s" s="779">
        <v>1769</v>
      </c>
      <c r="G59" t="s" s="780">
        <f>VLOOKUP(E59,'BDD'!$A$2:$N$567,MATCH(G$24,'BDD'!$A$1:$P$1,0),FALSE)</f>
        <v>1180</v>
      </c>
      <c r="H59" t="s" s="799">
        <v>283</v>
      </c>
      <c r="I59" s="782"/>
      <c r="J59" s="782"/>
      <c r="K59" s="782"/>
      <c r="L59" s="793"/>
      <c r="M59" s="784">
        <f>IF(N59="Exigences partiellement respectées",1,IF(N59="Exigences respectées",2,0))</f>
        <v>0</v>
      </c>
      <c r="N59" t="s" s="780">
        <f>VLOOKUP(VLOOKUP(E59,'BDD'!$A$2:$P$428,15,FALSE),'Suppl'!$D$64:$E$68,2,FALSE)</f>
        <v>1751</v>
      </c>
      <c r="O59" s="785"/>
      <c r="P59" s="786"/>
      <c r="Q59" s="786"/>
      <c r="R59" s="786"/>
      <c r="S59" s="787">
        <f>IF(N59='Suppl'!$E$65,0,IF(N59='Suppl'!$E$66,1/2/(_xlfn.COUNTIFS($D1:$D100,D59,$N1:$N100,"Exigences"&amp;"*",G1:G100,"&lt;&gt;0")+_xlfn.COUNTIFS($D1:$D100,D59,$N1:$N100,"Non"&amp;"*",G1:G100,"&lt;&gt;0")),IF(N59='Suppl'!$E$67,1/(_xlfn.COUNTIFS($D1:$D100,D59,$N1:$N100,"Exigences"&amp;"*",G1:G100,"&lt;&gt;0")+_xlfn.COUNTIFS($D1:$D100,D59,$N1:$N100,"Non"&amp;"*",G1:G100,"&lt;&gt;0")),0)))</f>
        <v>0</v>
      </c>
      <c r="T59" s="787"/>
      <c r="U59" s="787"/>
      <c r="V59" s="788"/>
      <c r="W59" s="789">
        <f>_xlfn.IFERROR(IF(N59='Suppl'!$E$65,0,IF(N59='Suppl'!$E$66,1/2/(_xlfn.COUNTIFS($N1:$N100,"Exigences"&amp;"*")+_xlfn.COUNTIFS($N1:$N100,"Non"&amp;"*")),IF(N59='Suppl'!$E$67,1/(_xlfn.COUNTIFS($N1:$N100,"Exigences"&amp;"*")+_xlfn.COUNTIFS($N1:$N100,"Non"&amp;"*")),0))),0)</f>
        <v>0</v>
      </c>
      <c r="X59" s="586"/>
      <c r="Y59" s="586"/>
      <c r="Z59" s="586"/>
      <c r="AA59" s="586"/>
      <c r="AB59" s="586"/>
      <c r="AC59" s="586"/>
      <c r="AD59" s="586"/>
      <c r="AE59" s="586"/>
      <c r="AF59" s="586"/>
      <c r="AG59" s="586"/>
      <c r="AH59" s="888"/>
      <c r="AI59" s="585"/>
    </row>
    <row r="60" ht="30" customHeight="1">
      <c r="A60" s="887"/>
      <c r="B60" s="753"/>
      <c r="C60" t="s" s="754">
        <f>IF(LEFT(RIGHT($B$1,2),1)=" ",RIGHT($B$1,1),RIGHT($B$1,2))</f>
        <v>2235</v>
      </c>
      <c r="D60" s="755">
        <f>IF(LEFT(F60,5)="Bonne",D58+1,D59)</f>
        <v>6</v>
      </c>
      <c r="E60" t="s" s="778">
        <f>C60&amp;D60&amp;RIGHT(F60,1)</f>
        <v>2288</v>
      </c>
      <c r="F60" t="s" s="790">
        <v>1837</v>
      </c>
      <c r="G60" t="s" s="791">
        <f>VLOOKUP(E60,'BDD'!$A$2:$N$567,MATCH(G$24,'BDD'!$A$1:$P$1,0),FALSE)</f>
        <v>1183</v>
      </c>
      <c r="H60" s="781"/>
      <c r="I60" t="s" s="792">
        <v>263</v>
      </c>
      <c r="J60" s="782"/>
      <c r="K60" s="782"/>
      <c r="L60" s="793"/>
      <c r="M60" s="794">
        <f>IF(N60="Exigences partiellement respectées",1,IF(N60="Exigences respectées",2,0))</f>
        <v>0</v>
      </c>
      <c r="N60" t="s" s="791">
        <f>VLOOKUP(VLOOKUP(E60,'BDD'!$A$2:$P$428,15,FALSE),'Suppl'!$D$64:$E$68,2,FALSE)</f>
        <v>1751</v>
      </c>
      <c r="O60" s="795"/>
      <c r="P60" s="796"/>
      <c r="Q60" s="796"/>
      <c r="R60" s="796"/>
      <c r="S60" s="797">
        <f>IF(N60='Suppl'!$E$65,0,IF(N60='Suppl'!$E$66,1/2/(_xlfn.COUNTIFS($D1:$D100,D60,$N1:$N100,"Exigences"&amp;"*",G1:G100,"&lt;&gt;0")+_xlfn.COUNTIFS($D1:$D100,D60,$N1:$N100,"Non"&amp;"*",G1:G100,"&lt;&gt;0")),IF(N60='Suppl'!$E$67,1/(_xlfn.COUNTIFS($D1:$D100,D60,$N1:$N100,"Exigences"&amp;"*",G1:G100,"&lt;&gt;0")+_xlfn.COUNTIFS($D1:$D100,D60,$N1:$N100,"Non"&amp;"*",G1:G100,"&lt;&gt;0")),0)))</f>
        <v>0</v>
      </c>
      <c r="T60" s="797"/>
      <c r="U60" s="797"/>
      <c r="V60" s="798"/>
      <c r="W60" s="789">
        <f>_xlfn.IFERROR(IF(N60='Suppl'!$E$65,0,IF(N60='Suppl'!$E$66,1/2/(_xlfn.COUNTIFS($N1:$N100,"Exigences"&amp;"*")+_xlfn.COUNTIFS($N1:$N100,"Non"&amp;"*")),IF(N60='Suppl'!$E$67,1/(_xlfn.COUNTIFS($N1:$N100,"Exigences"&amp;"*")+_xlfn.COUNTIFS($N1:$N100,"Non"&amp;"*")),0))),0)</f>
        <v>0</v>
      </c>
      <c r="X60" s="586"/>
      <c r="Y60" s="586"/>
      <c r="Z60" s="586"/>
      <c r="AA60" s="586"/>
      <c r="AB60" s="586"/>
      <c r="AC60" s="586"/>
      <c r="AD60" s="586"/>
      <c r="AE60" s="586"/>
      <c r="AF60" s="586"/>
      <c r="AG60" s="586"/>
      <c r="AH60" s="888"/>
      <c r="AI60" s="585"/>
    </row>
    <row r="61" ht="41.4" customHeight="1">
      <c r="A61" s="887"/>
      <c r="B61" s="753"/>
      <c r="C61" t="s" s="754">
        <f>IF(LEFT(RIGHT($B$1,2),1)=" ",RIGHT($B$1,1),RIGHT($B$1,2))</f>
        <v>2235</v>
      </c>
      <c r="D61" s="755">
        <f>IF(LEFT(F61,5)="Bonne",D59+1,D60)</f>
        <v>6</v>
      </c>
      <c r="E61" t="s" s="778">
        <f>C61&amp;D61&amp;RIGHT(F61,1)</f>
        <v>2289</v>
      </c>
      <c r="F61" t="s" s="779">
        <v>1774</v>
      </c>
      <c r="G61" t="s" s="780">
        <f>VLOOKUP(E61,'BDD'!$A$2:$N$567,MATCH(G$24,'BDD'!$A$1:$P$1,0),FALSE)</f>
        <v>1186</v>
      </c>
      <c r="H61" s="781"/>
      <c r="I61" t="s" s="792">
        <v>263</v>
      </c>
      <c r="J61" s="782"/>
      <c r="K61" s="782"/>
      <c r="L61" s="793"/>
      <c r="M61" s="794">
        <f>IF(N61="Exigences partiellement respectées",1,IF(N61="Exigences respectées",2,0))</f>
        <v>0</v>
      </c>
      <c r="N61" t="s" s="780">
        <f>VLOOKUP(VLOOKUP(E61,'BDD'!$A$2:$P$428,15,FALSE),'Suppl'!$D$64:$E$68,2,FALSE)</f>
        <v>1751</v>
      </c>
      <c r="O61" s="795"/>
      <c r="P61" s="796"/>
      <c r="Q61" s="796"/>
      <c r="R61" s="796"/>
      <c r="S61" s="797">
        <f>IF(N61='Suppl'!$E$65,0,IF(N61='Suppl'!$E$66,1/2/(_xlfn.COUNTIFS($D1:$D100,D61,$N1:$N100,"Exigences"&amp;"*",G1:G100,"&lt;&gt;0")+_xlfn.COUNTIFS($D1:$D100,D61,$N1:$N100,"Non"&amp;"*",G1:G100,"&lt;&gt;0")),IF(N61='Suppl'!$E$67,1/(_xlfn.COUNTIFS($D1:$D100,D61,$N1:$N100,"Exigences"&amp;"*",G1:G100,"&lt;&gt;0")+_xlfn.COUNTIFS($D1:$D100,D61,$N1:$N100,"Non"&amp;"*",G1:G100,"&lt;&gt;0")),0)))</f>
        <v>0</v>
      </c>
      <c r="T61" s="797"/>
      <c r="U61" s="797"/>
      <c r="V61" s="798"/>
      <c r="W61" s="789">
        <f>_xlfn.IFERROR(IF(N61='Suppl'!$E$65,0,IF(N61='Suppl'!$E$66,1/2/(_xlfn.COUNTIFS($N1:$N100,"Exigences"&amp;"*")+_xlfn.COUNTIFS($N1:$N100,"Non"&amp;"*")),IF(N61='Suppl'!$E$67,1/(_xlfn.COUNTIFS($N1:$N100,"Exigences"&amp;"*")+_xlfn.COUNTIFS($N1:$N100,"Non"&amp;"*")),0))),0)</f>
        <v>0</v>
      </c>
      <c r="X61" s="586"/>
      <c r="Y61" s="586"/>
      <c r="Z61" s="586"/>
      <c r="AA61" s="586"/>
      <c r="AB61" s="586"/>
      <c r="AC61" s="586"/>
      <c r="AD61" s="586"/>
      <c r="AE61" s="586"/>
      <c r="AF61" s="586"/>
      <c r="AG61" s="586"/>
      <c r="AH61" s="888"/>
      <c r="AI61" s="585"/>
    </row>
    <row r="62" ht="30" customHeight="1">
      <c r="A62" s="887"/>
      <c r="B62" s="753"/>
      <c r="C62" t="s" s="754">
        <f>IF(LEFT(RIGHT($B$1,2),1)=" ",RIGHT($B$1,1),RIGHT($B$1,2))</f>
        <v>2235</v>
      </c>
      <c r="D62" s="755">
        <f>IF(LEFT(F62,5)="Bonne",D60+1,D61)</f>
        <v>6</v>
      </c>
      <c r="E62" t="s" s="778">
        <f>C62&amp;D62&amp;RIGHT(F62,1)</f>
        <v>2290</v>
      </c>
      <c r="F62" t="s" s="790">
        <v>1776</v>
      </c>
      <c r="G62" t="s" s="791">
        <f>VLOOKUP(E62,'BDD'!$A$2:$N$567,MATCH(G$24,'BDD'!$A$1:$P$1,0),FALSE)</f>
        <v>1189</v>
      </c>
      <c r="H62" s="781"/>
      <c r="I62" s="782"/>
      <c r="J62" t="s" s="792">
        <v>271</v>
      </c>
      <c r="K62" s="782"/>
      <c r="L62" s="793"/>
      <c r="M62" s="794">
        <f>IF(N62="Exigences partiellement respectées",1,IF(N62="Exigences respectées",2,0))</f>
        <v>0</v>
      </c>
      <c r="N62" t="s" s="791">
        <f>VLOOKUP(VLOOKUP(E62,'BDD'!$A$2:$P$428,15,FALSE),'Suppl'!$D$64:$E$68,2,FALSE)</f>
        <v>1751</v>
      </c>
      <c r="O62" s="795"/>
      <c r="P62" s="796"/>
      <c r="Q62" s="796"/>
      <c r="R62" s="796"/>
      <c r="S62" s="797">
        <f>IF(N62='Suppl'!$E$65,0,IF(N62='Suppl'!$E$66,1/2/(_xlfn.COUNTIFS($D1:$D100,D62,$N1:$N100,"Exigences"&amp;"*",G1:G100,"&lt;&gt;0")+_xlfn.COUNTIFS($D1:$D100,D62,$N1:$N100,"Non"&amp;"*",G1:G100,"&lt;&gt;0")),IF(N62='Suppl'!$E$67,1/(_xlfn.COUNTIFS($D1:$D100,D62,$N1:$N100,"Exigences"&amp;"*",G1:G100,"&lt;&gt;0")+_xlfn.COUNTIFS($D1:$D100,D62,$N1:$N100,"Non"&amp;"*",G1:G100,"&lt;&gt;0")),0)))</f>
        <v>0</v>
      </c>
      <c r="T62" s="797"/>
      <c r="U62" s="797"/>
      <c r="V62" s="798"/>
      <c r="W62" s="789">
        <f>_xlfn.IFERROR(IF(N62='Suppl'!$E$65,0,IF(N62='Suppl'!$E$66,1/2/(_xlfn.COUNTIFS($N1:$N100,"Exigences"&amp;"*")+_xlfn.COUNTIFS($N1:$N100,"Non"&amp;"*")),IF(N62='Suppl'!$E$67,1/(_xlfn.COUNTIFS($N1:$N100,"Exigences"&amp;"*")+_xlfn.COUNTIFS($N1:$N100,"Non"&amp;"*")),0))),0)</f>
        <v>0</v>
      </c>
      <c r="X62" s="586"/>
      <c r="Y62" s="586"/>
      <c r="Z62" s="586"/>
      <c r="AA62" s="586"/>
      <c r="AB62" s="586"/>
      <c r="AC62" s="586"/>
      <c r="AD62" s="586"/>
      <c r="AE62" s="586"/>
      <c r="AF62" s="586"/>
      <c r="AG62" s="586"/>
      <c r="AH62" s="888"/>
      <c r="AI62" s="585"/>
    </row>
    <row r="63" ht="30" customHeight="1">
      <c r="A63" s="887"/>
      <c r="B63" s="753"/>
      <c r="C63" t="s" s="754">
        <f>IF(LEFT(RIGHT($B$1,2),1)=" ",RIGHT($B$1,1),RIGHT($B$1,2))</f>
        <v>2235</v>
      </c>
      <c r="D63" s="755">
        <f>IF(LEFT(F63,5)="Bonne",D61+1,D62)</f>
        <v>6</v>
      </c>
      <c r="E63" t="s" s="778">
        <f>C63&amp;D63&amp;RIGHT(F63,1)</f>
        <v>2291</v>
      </c>
      <c r="F63" t="s" s="779">
        <v>1778</v>
      </c>
      <c r="G63" t="s" s="780">
        <f>VLOOKUP(E63,'BDD'!$A$2:$N$567,MATCH(G$24,'BDD'!$A$1:$P$1,0),FALSE)</f>
        <v>1192</v>
      </c>
      <c r="H63" s="781"/>
      <c r="I63" s="782"/>
      <c r="J63" t="s" s="792">
        <v>271</v>
      </c>
      <c r="K63" s="782"/>
      <c r="L63" s="793"/>
      <c r="M63" s="800">
        <f>IF(N63="Exigences partiellement respectées",1,IF(N63="Exigences respectées",2,0))</f>
        <v>0</v>
      </c>
      <c r="N63" t="s" s="780">
        <f>VLOOKUP(VLOOKUP(E63,'BDD'!$A$2:$P$428,15,FALSE),'Suppl'!$D$64:$E$68,2,FALSE)</f>
        <v>1751</v>
      </c>
      <c r="O63" s="801"/>
      <c r="P63" s="802"/>
      <c r="Q63" s="802"/>
      <c r="R63" s="802"/>
      <c r="S63" s="803">
        <f>IF(N63='Suppl'!$E$65,0,IF(N63='Suppl'!$E$66,1/2/(_xlfn.COUNTIFS($D1:$D100,D63,$N1:$N100,"Exigences"&amp;"*",G1:G100,"&lt;&gt;0")+_xlfn.COUNTIFS($D1:$D100,D63,$N1:$N100,"Non"&amp;"*",G1:G100,"&lt;&gt;0")),IF(N63='Suppl'!$E$67,1/(_xlfn.COUNTIFS($D1:$D100,D63,$N1:$N100,"Exigences"&amp;"*",G1:G100,"&lt;&gt;0")+_xlfn.COUNTIFS($D1:$D100,D63,$N1:$N100,"Non"&amp;"*",G1:G100,"&lt;&gt;0")),0)))</f>
        <v>0</v>
      </c>
      <c r="T63" s="803"/>
      <c r="U63" s="803"/>
      <c r="V63" s="804"/>
      <c r="W63" s="789">
        <f>_xlfn.IFERROR(IF(N63='Suppl'!$E$65,0,IF(N63='Suppl'!$E$66,1/2/(_xlfn.COUNTIFS($N1:$N100,"Exigences"&amp;"*")+_xlfn.COUNTIFS($N1:$N100,"Non"&amp;"*")),IF(N63='Suppl'!$E$67,1/(_xlfn.COUNTIFS($N1:$N100,"Exigences"&amp;"*")+_xlfn.COUNTIFS($N1:$N100,"Non"&amp;"*")),0))),0)</f>
        <v>0</v>
      </c>
      <c r="X63" s="586"/>
      <c r="Y63" s="586"/>
      <c r="Z63" s="586"/>
      <c r="AA63" s="586"/>
      <c r="AB63" s="586"/>
      <c r="AC63" s="586"/>
      <c r="AD63" s="586"/>
      <c r="AE63" s="586"/>
      <c r="AF63" s="586"/>
      <c r="AG63" s="586"/>
      <c r="AH63" s="888"/>
      <c r="AI63" s="585"/>
    </row>
    <row r="64" ht="30" customHeight="1">
      <c r="A64" s="887"/>
      <c r="B64" s="753"/>
      <c r="C64" t="s" s="754">
        <f>IF(LEFT(RIGHT($B$1,2),1)=" ",RIGHT($B$1,1),RIGHT($B$1,2))</f>
        <v>2235</v>
      </c>
      <c r="D64" s="755">
        <f>IF(LEFT(F64,5)="Bonne",D62+1,D63)</f>
        <v>7</v>
      </c>
      <c r="E64" t="s" s="778">
        <f>C64&amp;D64&amp;RIGHT(F64,1)</f>
        <v>2292</v>
      </c>
      <c r="F64" t="s" s="757">
        <v>1888</v>
      </c>
      <c r="G64" t="s" s="758">
        <f>VLOOKUP(E66,'BDD'!$A$2:$N$567,6,FALSE)</f>
        <v>1196</v>
      </c>
      <c r="H64" s="759"/>
      <c r="I64" s="760"/>
      <c r="J64" s="760"/>
      <c r="K64" s="760"/>
      <c r="L64" s="761"/>
      <c r="M64" s="762"/>
      <c r="N64" s="763"/>
      <c r="O64" s="764">
        <v>0</v>
      </c>
      <c r="P64" s="764"/>
      <c r="Q64" s="764"/>
      <c r="R64" s="764"/>
      <c r="S64" s="765">
        <f>_xlfn.SUMIFS(S1:S100,$D1:$D100,D64,$N1:$N100,"Exigences"&amp;"*")</f>
      </c>
      <c r="T64" s="765"/>
      <c r="U64" s="765"/>
      <c r="V64" s="766"/>
      <c r="W64" s="789">
        <f>_xlfn.IFERROR(IF(N64='Suppl'!$E$65,0,IF(N64='Suppl'!$E$66,1/2/(_xlfn.COUNTIFS($N1:$N100,"Exigences"&amp;"*")+_xlfn.COUNTIFS($N1:$N100,"Non"&amp;"*")),IF(N64='Suppl'!$E$67,1/(_xlfn.COUNTIFS($N1:$N100,"Exigences"&amp;"*")+_xlfn.COUNTIFS($N1:$N100,"Non"&amp;"*")),0))),0)</f>
        <v>0</v>
      </c>
      <c r="X64" s="586"/>
      <c r="Y64" s="586"/>
      <c r="Z64" s="586"/>
      <c r="AA64" s="586"/>
      <c r="AB64" s="586"/>
      <c r="AC64" s="586"/>
      <c r="AD64" s="586"/>
      <c r="AE64" s="586"/>
      <c r="AF64" s="586"/>
      <c r="AG64" s="586"/>
      <c r="AH64" s="888"/>
      <c r="AI64" s="585"/>
    </row>
    <row r="65" ht="30" customHeight="1">
      <c r="A65" s="887"/>
      <c r="B65" s="753"/>
      <c r="C65" t="s" s="754">
        <f>IF(LEFT(RIGHT($B$1,2),1)=" ",RIGHT($B$1,1),RIGHT($B$1,2))</f>
        <v>2235</v>
      </c>
      <c r="D65" s="755">
        <f>IF(LEFT(F65,5)="Bonne",D63+1,D64)</f>
        <v>7</v>
      </c>
      <c r="E65" t="s" s="778">
        <f>C65&amp;D65&amp;RIGHT(F65,1)</f>
        <v>2293</v>
      </c>
      <c r="F65" t="s" s="769">
        <v>1835</v>
      </c>
      <c r="G65" t="s" s="770">
        <f>VLOOKUP(E67,'BDD'!$A$2:$N$567,7,FALSE)</f>
        <v>2294</v>
      </c>
      <c r="H65" s="771"/>
      <c r="I65" s="771"/>
      <c r="J65" s="771"/>
      <c r="K65" s="771"/>
      <c r="L65" s="772"/>
      <c r="M65" s="773"/>
      <c r="N65" s="774"/>
      <c r="O65" s="775"/>
      <c r="P65" s="775"/>
      <c r="Q65" s="775"/>
      <c r="R65" s="775"/>
      <c r="S65" s="776"/>
      <c r="T65" s="776"/>
      <c r="U65" s="776"/>
      <c r="V65" s="777"/>
      <c r="W65" s="789">
        <f>_xlfn.IFERROR(IF(N65='Suppl'!$E$65,0,IF(N65='Suppl'!$E$66,1/2/(_xlfn.COUNTIFS($N1:$N100,"Exigences"&amp;"*")+_xlfn.COUNTIFS($N1:$N100,"Non"&amp;"*")),IF(N65='Suppl'!$E$67,1/(_xlfn.COUNTIFS($N1:$N100,"Exigences"&amp;"*")+_xlfn.COUNTIFS($N1:$N100,"Non"&amp;"*")),0))),0)</f>
        <v>0</v>
      </c>
      <c r="X65" s="586"/>
      <c r="Y65" s="586"/>
      <c r="Z65" s="586"/>
      <c r="AA65" s="586"/>
      <c r="AB65" s="586"/>
      <c r="AC65" s="586"/>
      <c r="AD65" s="586"/>
      <c r="AE65" s="586"/>
      <c r="AF65" s="586"/>
      <c r="AG65" s="586"/>
      <c r="AH65" s="888"/>
      <c r="AI65" s="585"/>
    </row>
    <row r="66" ht="41.4" customHeight="1">
      <c r="A66" s="887"/>
      <c r="B66" s="753"/>
      <c r="C66" t="s" s="754">
        <f>IF(LEFT(RIGHT($B$1,2),1)=" ",RIGHT($B$1,1),RIGHT($B$1,2))</f>
        <v>2235</v>
      </c>
      <c r="D66" s="755">
        <f>IF(LEFT(F66,5)="Bonne",D64+1,D65)</f>
        <v>7</v>
      </c>
      <c r="E66" t="s" s="778">
        <f>C66&amp;D66&amp;RIGHT(F66,1)</f>
        <v>2293</v>
      </c>
      <c r="F66" t="s" s="779">
        <v>1769</v>
      </c>
      <c r="G66" t="s" s="780">
        <f>VLOOKUP(E66,'BDD'!$A$2:$N$567,MATCH(G$24,'BDD'!$A$1:$P$1,0),FALSE)</f>
        <v>1198</v>
      </c>
      <c r="H66" s="781"/>
      <c r="I66" t="s" s="792">
        <v>263</v>
      </c>
      <c r="J66" s="782"/>
      <c r="K66" s="782"/>
      <c r="L66" s="793"/>
      <c r="M66" s="784">
        <f>IF(N66="Exigences partiellement respectées",1,IF(N66="Exigences respectées",2,0))</f>
        <v>0</v>
      </c>
      <c r="N66" t="s" s="780">
        <f>VLOOKUP(VLOOKUP(E66,'BDD'!$A$2:$P$428,15,FALSE),'Suppl'!$D$64:$E$68,2,FALSE)</f>
        <v>1751</v>
      </c>
      <c r="O66" s="785"/>
      <c r="P66" s="786"/>
      <c r="Q66" s="786"/>
      <c r="R66" s="786"/>
      <c r="S66" s="787">
        <f>IF(N66='Suppl'!$E$65,0,IF(N66='Suppl'!$E$66,1/2/(_xlfn.COUNTIFS($D1:$D100,D66,$N1:$N100,"Exigences"&amp;"*",G1:G100,"&lt;&gt;0")+_xlfn.COUNTIFS($D1:$D100,D66,$N1:$N100,"Non"&amp;"*",G1:G100,"&lt;&gt;0")),IF(N66='Suppl'!$E$67,1/(_xlfn.COUNTIFS($D1:$D100,D66,$N1:$N100,"Exigences"&amp;"*",G1:G100,"&lt;&gt;0")+_xlfn.COUNTIFS($D1:$D100,D66,$N1:$N100,"Non"&amp;"*",G1:G100,"&lt;&gt;0")),0)))</f>
        <v>0</v>
      </c>
      <c r="T66" s="787"/>
      <c r="U66" s="787"/>
      <c r="V66" s="788"/>
      <c r="W66" s="789">
        <f>_xlfn.IFERROR(IF(N66='Suppl'!$E$65,0,IF(N66='Suppl'!$E$66,1/2/(_xlfn.COUNTIFS($N1:$N100,"Exigences"&amp;"*")+_xlfn.COUNTIFS($N1:$N100,"Non"&amp;"*")),IF(N66='Suppl'!$E$67,1/(_xlfn.COUNTIFS($N1:$N100,"Exigences"&amp;"*")+_xlfn.COUNTIFS($N1:$N100,"Non"&amp;"*")),0))),0)</f>
        <v>0</v>
      </c>
      <c r="X66" s="586"/>
      <c r="Y66" s="586"/>
      <c r="Z66" s="586"/>
      <c r="AA66" s="586"/>
      <c r="AB66" s="586"/>
      <c r="AC66" s="586"/>
      <c r="AD66" s="586"/>
      <c r="AE66" s="586"/>
      <c r="AF66" s="586"/>
      <c r="AG66" s="586"/>
      <c r="AH66" s="888"/>
      <c r="AI66" s="585"/>
    </row>
    <row r="67" ht="41.4" customHeight="1">
      <c r="A67" s="887"/>
      <c r="B67" s="753"/>
      <c r="C67" t="s" s="754">
        <f>IF(LEFT(RIGHT($B$1,2),1)=" ",RIGHT($B$1,1),RIGHT($B$1,2))</f>
        <v>2235</v>
      </c>
      <c r="D67" s="755">
        <f>IF(LEFT(F67,5)="Bonne",D65+1,D66)</f>
        <v>7</v>
      </c>
      <c r="E67" t="s" s="778">
        <f>C67&amp;D67&amp;RIGHT(F67,1)</f>
        <v>2295</v>
      </c>
      <c r="F67" t="s" s="790">
        <v>1837</v>
      </c>
      <c r="G67" t="s" s="791">
        <f>VLOOKUP(E67,'BDD'!$A$2:$N$567,MATCH(G$24,'BDD'!$A$1:$P$1,0),FALSE)</f>
        <v>1201</v>
      </c>
      <c r="H67" s="781"/>
      <c r="I67" t="s" s="792">
        <v>263</v>
      </c>
      <c r="J67" s="782"/>
      <c r="K67" s="782"/>
      <c r="L67" s="793"/>
      <c r="M67" s="794">
        <f>IF(N67="Exigences partiellement respectées",1,IF(N67="Exigences respectées",2,0))</f>
        <v>0</v>
      </c>
      <c r="N67" t="s" s="791">
        <f>VLOOKUP(VLOOKUP(E67,'BDD'!$A$2:$P$428,15,FALSE),'Suppl'!$D$64:$E$68,2,FALSE)</f>
        <v>1751</v>
      </c>
      <c r="O67" s="795"/>
      <c r="P67" s="796"/>
      <c r="Q67" s="796"/>
      <c r="R67" s="796"/>
      <c r="S67" s="797">
        <f>IF(N67='Suppl'!$E$65,0,IF(N67='Suppl'!$E$66,1/2/(_xlfn.COUNTIFS($D1:$D100,D67,$N1:$N100,"Exigences"&amp;"*",G1:G100,"&lt;&gt;0")+_xlfn.COUNTIFS($D1:$D100,D67,$N1:$N100,"Non"&amp;"*",G1:G100,"&lt;&gt;0")),IF(N67='Suppl'!$E$67,1/(_xlfn.COUNTIFS($D1:$D100,D67,$N1:$N100,"Exigences"&amp;"*",G1:G100,"&lt;&gt;0")+_xlfn.COUNTIFS($D1:$D100,D67,$N1:$N100,"Non"&amp;"*",G1:G100,"&lt;&gt;0")),0)))</f>
        <v>0</v>
      </c>
      <c r="T67" s="797"/>
      <c r="U67" s="797"/>
      <c r="V67" s="798"/>
      <c r="W67" s="789">
        <f>_xlfn.IFERROR(IF(N67='Suppl'!$E$65,0,IF(N67='Suppl'!$E$66,1/2/(_xlfn.COUNTIFS($N1:$N100,"Exigences"&amp;"*")+_xlfn.COUNTIFS($N1:$N100,"Non"&amp;"*")),IF(N67='Suppl'!$E$67,1/(_xlfn.COUNTIFS($N1:$N100,"Exigences"&amp;"*")+_xlfn.COUNTIFS($N1:$N100,"Non"&amp;"*")),0))),0)</f>
        <v>0</v>
      </c>
      <c r="X67" s="586"/>
      <c r="Y67" s="586"/>
      <c r="Z67" s="586"/>
      <c r="AA67" s="586"/>
      <c r="AB67" s="586"/>
      <c r="AC67" s="586"/>
      <c r="AD67" s="586"/>
      <c r="AE67" s="586"/>
      <c r="AF67" s="586"/>
      <c r="AG67" s="586"/>
      <c r="AH67" s="888"/>
      <c r="AI67" s="585"/>
    </row>
    <row r="68" ht="30" customHeight="1">
      <c r="A68" s="887"/>
      <c r="B68" s="753"/>
      <c r="C68" t="s" s="754">
        <f>IF(LEFT(RIGHT($B$1,2),1)=" ",RIGHT($B$1,1),RIGHT($B$1,2))</f>
        <v>2235</v>
      </c>
      <c r="D68" s="755">
        <f>IF(LEFT(F68,5)="Bonne",D66+1,D67)</f>
        <v>7</v>
      </c>
      <c r="E68" t="s" s="778">
        <f>C68&amp;D68&amp;RIGHT(F68,1)</f>
        <v>2296</v>
      </c>
      <c r="F68" t="s" s="779">
        <v>1774</v>
      </c>
      <c r="G68" t="s" s="780">
        <f>VLOOKUP(E68,'BDD'!$A$2:$N$567,MATCH(G$24,'BDD'!$A$1:$P$1,0),FALSE)</f>
        <v>1204</v>
      </c>
      <c r="H68" s="781"/>
      <c r="I68" s="782"/>
      <c r="J68" s="782"/>
      <c r="K68" t="s" s="792">
        <v>291</v>
      </c>
      <c r="L68" s="793"/>
      <c r="M68" s="794">
        <f>IF(N68="Exigences partiellement respectées",1,IF(N68="Exigences respectées",2,0))</f>
        <v>0</v>
      </c>
      <c r="N68" t="s" s="780">
        <f>VLOOKUP(VLOOKUP(E68,'BDD'!$A$2:$P$428,15,FALSE),'Suppl'!$D$64:$E$68,2,FALSE)</f>
        <v>1751</v>
      </c>
      <c r="O68" s="863"/>
      <c r="P68" s="864"/>
      <c r="Q68" s="864"/>
      <c r="R68" s="864"/>
      <c r="S68" s="815">
        <f>IF(N68='Suppl'!$E$65,0,IF(N68='Suppl'!$E$66,1/2/(_xlfn.COUNTIFS($D1:$D100,D68,$N1:$N100,"Exigences"&amp;"*",G1:G100,"&lt;&gt;0")+_xlfn.COUNTIFS($D1:$D100,D68,$N1:$N100,"Non"&amp;"*",G1:G100,"&lt;&gt;0")),IF(N68='Suppl'!$E$67,1/(_xlfn.COUNTIFS($D1:$D100,D68,$N1:$N100,"Exigences"&amp;"*",G1:G100,"&lt;&gt;0")+_xlfn.COUNTIFS($D1:$D100,D68,$N1:$N100,"Non"&amp;"*",G1:G100,"&lt;&gt;0")),0)))</f>
        <v>0</v>
      </c>
      <c r="T68" s="815"/>
      <c r="U68" s="815"/>
      <c r="V68" s="816"/>
      <c r="W68" s="789">
        <f>_xlfn.IFERROR(IF(N68='Suppl'!$E$65,0,IF(N68='Suppl'!$E$66,1/2/(_xlfn.COUNTIFS($N1:$N100,"Exigences"&amp;"*")+_xlfn.COUNTIFS($N1:$N100,"Non"&amp;"*")),IF(N68='Suppl'!$E$67,1/(_xlfn.COUNTIFS($N1:$N100,"Exigences"&amp;"*")+_xlfn.COUNTIFS($N1:$N100,"Non"&amp;"*")),0))),0)</f>
        <v>0</v>
      </c>
      <c r="X68" s="586"/>
      <c r="Y68" s="586"/>
      <c r="Z68" s="586"/>
      <c r="AA68" s="586"/>
      <c r="AB68" s="586"/>
      <c r="AC68" s="586"/>
      <c r="AD68" s="586"/>
      <c r="AE68" s="586"/>
      <c r="AF68" s="586"/>
      <c r="AG68" s="586"/>
      <c r="AH68" s="888"/>
      <c r="AI68" s="585"/>
    </row>
    <row r="69" ht="30" customHeight="1">
      <c r="A69" s="887"/>
      <c r="B69" s="586"/>
      <c r="C69" s="586"/>
      <c r="D69" s="587"/>
      <c r="E69" s="587"/>
      <c r="F69" s="1012"/>
      <c r="G69" s="1013"/>
      <c r="H69" s="818"/>
      <c r="I69" s="818"/>
      <c r="J69" s="818"/>
      <c r="K69" s="818"/>
      <c r="L69" s="818"/>
      <c r="M69" s="102"/>
      <c r="N69" s="1013"/>
      <c r="O69" s="786"/>
      <c r="P69" s="786"/>
      <c r="Q69" s="786"/>
      <c r="R69" s="786"/>
      <c r="S69" s="1014"/>
      <c r="T69" s="1014"/>
      <c r="U69" s="1014"/>
      <c r="V69" s="1014"/>
      <c r="W69" s="586"/>
      <c r="X69" s="586"/>
      <c r="Y69" s="586"/>
      <c r="Z69" s="586"/>
      <c r="AA69" s="586"/>
      <c r="AB69" s="586"/>
      <c r="AC69" s="586"/>
      <c r="AD69" s="586"/>
      <c r="AE69" s="586"/>
      <c r="AF69" s="586"/>
      <c r="AG69" s="586"/>
      <c r="AH69" s="888"/>
      <c r="AI69" s="585"/>
    </row>
    <row r="70" ht="30" customHeight="1">
      <c r="A70" t="s" s="981">
        <v>171</v>
      </c>
      <c r="B70" s="888"/>
      <c r="C70" s="888"/>
      <c r="D70" s="888"/>
      <c r="E70" s="888"/>
      <c r="F70" s="888"/>
      <c r="G70" s="923"/>
      <c r="H70" s="923"/>
      <c r="I70" s="923"/>
      <c r="J70" s="923"/>
      <c r="K70" s="923"/>
      <c r="L70" s="923"/>
      <c r="M70" s="923"/>
      <c r="N70" s="888"/>
      <c r="O70" s="888"/>
      <c r="P70" s="888"/>
      <c r="Q70" s="888"/>
      <c r="R70" s="888"/>
      <c r="S70" s="888"/>
      <c r="T70" s="888"/>
      <c r="U70" s="888"/>
      <c r="V70" s="888"/>
      <c r="W70" s="982"/>
      <c r="X70" s="888"/>
      <c r="Y70" s="888"/>
      <c r="Z70" s="888"/>
      <c r="AA70" s="888"/>
      <c r="AB70" s="888"/>
      <c r="AC70" s="888"/>
      <c r="AD70" s="888"/>
      <c r="AE70" s="888"/>
      <c r="AF70" s="888"/>
      <c r="AG70" s="888"/>
      <c r="AH70" t="s" s="983">
        <v>171</v>
      </c>
      <c r="AI70" s="585"/>
    </row>
    <row r="71" ht="14.4" customHeight="1">
      <c r="A71" s="822"/>
      <c r="B71" s="25"/>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823"/>
    </row>
    <row r="72" ht="14.4" customHeight="1">
      <c r="A72" s="822"/>
      <c r="B72" s="25"/>
      <c r="C72" s="25"/>
      <c r="D72" s="25"/>
      <c r="E72" s="25"/>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823"/>
    </row>
    <row r="73" ht="14.4" customHeight="1">
      <c r="A73" s="822"/>
      <c r="B73" s="25"/>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823"/>
    </row>
    <row r="74" ht="14.4" customHeight="1">
      <c r="A74" s="822"/>
      <c r="B74" s="25"/>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823"/>
    </row>
    <row r="75" ht="14.4" customHeight="1">
      <c r="A75" s="822"/>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823"/>
    </row>
    <row r="76" ht="14.4" customHeight="1">
      <c r="A76" s="822"/>
      <c r="B76" s="25"/>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823"/>
    </row>
    <row r="77" ht="14.4" customHeight="1">
      <c r="A77" s="822"/>
      <c r="B77" s="25"/>
      <c r="C77" s="25"/>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823"/>
    </row>
    <row r="78" ht="14.4" customHeight="1">
      <c r="A78" s="822"/>
      <c r="B78" s="25"/>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823"/>
    </row>
    <row r="79" ht="14.4" customHeight="1">
      <c r="A79" s="822"/>
      <c r="B79" s="25"/>
      <c r="C79" s="25"/>
      <c r="D79" s="25"/>
      <c r="E79" s="25"/>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823"/>
    </row>
    <row r="80" ht="14.4" customHeight="1">
      <c r="A80" s="822"/>
      <c r="B80" s="25"/>
      <c r="C80" s="25"/>
      <c r="D80" s="25"/>
      <c r="E80" s="25"/>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823"/>
    </row>
    <row r="81" ht="14.4" customHeight="1">
      <c r="A81" s="822"/>
      <c r="B81" s="25"/>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823"/>
    </row>
    <row r="82" ht="14.4" customHeight="1">
      <c r="A82" s="822"/>
      <c r="B82" s="25"/>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823"/>
    </row>
    <row r="83" ht="14.4" customHeight="1">
      <c r="A83" s="822"/>
      <c r="B83" s="25"/>
      <c r="C83" s="25"/>
      <c r="D83" s="25"/>
      <c r="E83" s="25"/>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c r="AH83" s="25"/>
      <c r="AI83" s="823"/>
    </row>
    <row r="84" ht="14.4" customHeight="1">
      <c r="A84" s="822"/>
      <c r="B84" s="25"/>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823"/>
    </row>
    <row r="85" ht="14.4" customHeight="1">
      <c r="A85" s="822"/>
      <c r="B85" s="25"/>
      <c r="C85" s="25"/>
      <c r="D85" s="25"/>
      <c r="E85" s="25"/>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823"/>
    </row>
    <row r="86" ht="14.4" customHeight="1">
      <c r="A86" s="822"/>
      <c r="B86" s="25"/>
      <c r="C86" s="25"/>
      <c r="D86" s="25"/>
      <c r="E86" s="25"/>
      <c r="F86" s="2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823"/>
    </row>
    <row r="87" ht="14.4" customHeight="1">
      <c r="A87" s="822"/>
      <c r="B87" s="25"/>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823"/>
    </row>
    <row r="88" ht="14.4" customHeight="1">
      <c r="A88" s="822"/>
      <c r="B88" s="25"/>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823"/>
    </row>
    <row r="89" ht="14.4" customHeight="1">
      <c r="A89" s="822"/>
      <c r="B89" s="25"/>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823"/>
    </row>
    <row r="90" ht="14.4" customHeight="1">
      <c r="A90" s="822"/>
      <c r="B90" s="25"/>
      <c r="C90" s="25"/>
      <c r="D90" s="25"/>
      <c r="E90" s="25"/>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823"/>
    </row>
    <row r="91" ht="14.4" customHeight="1">
      <c r="A91" s="822"/>
      <c r="B91" s="25"/>
      <c r="C91" s="25"/>
      <c r="D91" s="25"/>
      <c r="E91" s="25"/>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823"/>
    </row>
    <row r="92" ht="14.4" customHeight="1">
      <c r="A92" s="822"/>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823"/>
    </row>
    <row r="93" ht="14.4" customHeight="1">
      <c r="A93" s="822"/>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823"/>
    </row>
    <row r="94" ht="14.4" customHeight="1">
      <c r="A94" s="822"/>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823"/>
    </row>
    <row r="95" ht="14.4" customHeight="1">
      <c r="A95" s="822"/>
      <c r="B95" s="25"/>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823"/>
    </row>
    <row r="96" ht="14.4" customHeight="1">
      <c r="A96" s="822"/>
      <c r="B96" s="25"/>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823"/>
    </row>
    <row r="97" ht="14.4" customHeight="1">
      <c r="A97" s="822"/>
      <c r="B97" s="25"/>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823"/>
    </row>
    <row r="98" ht="14.4" customHeight="1">
      <c r="A98" s="822"/>
      <c r="B98" s="25"/>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823"/>
    </row>
    <row r="99" ht="14.4" customHeight="1">
      <c r="A99" s="822"/>
      <c r="B99" s="25"/>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823"/>
    </row>
    <row r="100" ht="14.4" customHeight="1">
      <c r="A100" s="824"/>
      <c r="B100" s="825"/>
      <c r="C100" s="825"/>
      <c r="D100" s="825"/>
      <c r="E100" s="825"/>
      <c r="F100" s="825"/>
      <c r="G100" s="825"/>
      <c r="H100" s="825"/>
      <c r="I100" s="825"/>
      <c r="J100" s="825"/>
      <c r="K100" s="825"/>
      <c r="L100" s="825"/>
      <c r="M100" s="825"/>
      <c r="N100" s="825"/>
      <c r="O100" s="825"/>
      <c r="P100" s="825"/>
      <c r="Q100" s="825"/>
      <c r="R100" s="825"/>
      <c r="S100" s="825"/>
      <c r="T100" s="825"/>
      <c r="U100" s="825"/>
      <c r="V100" s="825"/>
      <c r="W100" s="825"/>
      <c r="X100" s="825"/>
      <c r="Y100" s="825"/>
      <c r="Z100" s="825"/>
      <c r="AA100" s="825"/>
      <c r="AB100" s="825"/>
      <c r="AC100" s="825"/>
      <c r="AD100" s="825"/>
      <c r="AE100" s="825"/>
      <c r="AF100" s="825"/>
      <c r="AG100" s="825"/>
      <c r="AH100" s="825"/>
      <c r="AI100" s="826"/>
    </row>
  </sheetData>
  <mergeCells count="82">
    <mergeCell ref="G45:N45"/>
    <mergeCell ref="G51:N51"/>
    <mergeCell ref="O66:R66"/>
    <mergeCell ref="S66:V66"/>
    <mergeCell ref="O67:R67"/>
    <mergeCell ref="S67:V67"/>
    <mergeCell ref="O59:R59"/>
    <mergeCell ref="S59:V59"/>
    <mergeCell ref="O60:R60"/>
    <mergeCell ref="S60:V60"/>
    <mergeCell ref="O56:R56"/>
    <mergeCell ref="S56:V56"/>
    <mergeCell ref="O50:R51"/>
    <mergeCell ref="S50:V51"/>
    <mergeCell ref="O52:R52"/>
    <mergeCell ref="S52:V52"/>
    <mergeCell ref="O68:R68"/>
    <mergeCell ref="S68:V68"/>
    <mergeCell ref="O64:R65"/>
    <mergeCell ref="S64:V65"/>
    <mergeCell ref="O61:R61"/>
    <mergeCell ref="S61:V61"/>
    <mergeCell ref="O62:R62"/>
    <mergeCell ref="S62:V62"/>
    <mergeCell ref="O63:R63"/>
    <mergeCell ref="S63:V63"/>
    <mergeCell ref="O57:R58"/>
    <mergeCell ref="S57:V58"/>
    <mergeCell ref="O53:R53"/>
    <mergeCell ref="S53:V53"/>
    <mergeCell ref="O54:R54"/>
    <mergeCell ref="S54:V54"/>
    <mergeCell ref="O55:R55"/>
    <mergeCell ref="S55:V55"/>
    <mergeCell ref="O49:R49"/>
    <mergeCell ref="S49:V49"/>
    <mergeCell ref="O46:R46"/>
    <mergeCell ref="S46:V46"/>
    <mergeCell ref="O47:R47"/>
    <mergeCell ref="S47:V47"/>
    <mergeCell ref="O48:R48"/>
    <mergeCell ref="S48:V48"/>
    <mergeCell ref="O44:R45"/>
    <mergeCell ref="S44:V45"/>
    <mergeCell ref="O41:R41"/>
    <mergeCell ref="S41:V41"/>
    <mergeCell ref="O42:R42"/>
    <mergeCell ref="S42:V42"/>
    <mergeCell ref="O43:R43"/>
    <mergeCell ref="S43:V43"/>
    <mergeCell ref="O39:R39"/>
    <mergeCell ref="S39:V39"/>
    <mergeCell ref="O40:R40"/>
    <mergeCell ref="S40:V40"/>
    <mergeCell ref="O35:R35"/>
    <mergeCell ref="S35:V35"/>
    <mergeCell ref="O36:R36"/>
    <mergeCell ref="S36:V36"/>
    <mergeCell ref="O29:R30"/>
    <mergeCell ref="S29:V30"/>
    <mergeCell ref="O31:R31"/>
    <mergeCell ref="S31:V31"/>
    <mergeCell ref="O37:R38"/>
    <mergeCell ref="S37:V38"/>
    <mergeCell ref="O32:R32"/>
    <mergeCell ref="S32:V32"/>
    <mergeCell ref="O33:R33"/>
    <mergeCell ref="S33:V33"/>
    <mergeCell ref="O34:R34"/>
    <mergeCell ref="S34:V34"/>
    <mergeCell ref="O25:R26"/>
    <mergeCell ref="S25:V26"/>
    <mergeCell ref="O27:R27"/>
    <mergeCell ref="S27:V27"/>
    <mergeCell ref="O28:R28"/>
    <mergeCell ref="S28:V28"/>
    <mergeCell ref="AD7:AD10"/>
    <mergeCell ref="O21:R21"/>
    <mergeCell ref="O22:R22"/>
    <mergeCell ref="O24:R24"/>
    <mergeCell ref="S24:V24"/>
    <mergeCell ref="O20:R20"/>
  </mergeCells>
  <conditionalFormatting sqref="O8:U14">
    <cfRule type="cellIs" dxfId="24" priority="1" operator="equal" stopIfTrue="1">
      <formula>3</formula>
    </cfRule>
    <cfRule type="cellIs" dxfId="25" priority="2" operator="equal" stopIfTrue="1">
      <formula>2</formula>
    </cfRule>
    <cfRule type="cellIs" dxfId="26" priority="3" operator="equal" stopIfTrue="1">
      <formula>1</formula>
    </cfRule>
  </conditionalFormatting>
  <dataValidations count="1">
    <dataValidation type="list" allowBlank="1" showInputMessage="1" showErrorMessage="1" sqref="W8:W14 W17">
      <formula1>"Exigences non respectées,Exigences partiellement respectées,Exigences respectées,Non évalué,N/A"</formula1>
    </dataValidation>
  </dataValidations>
  <pageMargins left="0.7" right="0.7" top="0.75" bottom="0.75" header="0.3" footer="0.3"/>
  <pageSetup firstPageNumber="1" fitToHeight="1" fitToWidth="1" scale="100" useFirstPageNumber="0" orientation="portrait" pageOrder="downThenOver"/>
  <headerFooter>
    <oddFooter>&amp;C&amp;"Helvetica Neue,Regular"&amp;12&amp;K000000&amp;P</oddFooter>
  </headerFooter>
  <drawing r:id="rId1"/>
</worksheet>
</file>

<file path=xl/worksheets/sheet24.xml><?xml version="1.0" encoding="utf-8"?>
<worksheet xmlns:r="http://schemas.openxmlformats.org/officeDocument/2006/relationships" xmlns="http://schemas.openxmlformats.org/spreadsheetml/2006/main">
  <dimension ref="A1:P118"/>
  <sheetViews>
    <sheetView workbookViewId="0" showGridLines="0" defaultGridColor="1"/>
  </sheetViews>
  <sheetFormatPr defaultColWidth="10.8333" defaultRowHeight="14.4" customHeight="1" outlineLevelRow="0" outlineLevelCol="0"/>
  <cols>
    <col min="1" max="1" width="2.85156" style="1015" customWidth="1"/>
    <col min="2" max="2" width="4" style="1015" customWidth="1"/>
    <col min="3" max="5" hidden="1" width="10.8333" style="1015" customWidth="1"/>
    <col min="6" max="6" width="10.8516" style="1015" customWidth="1"/>
    <col min="7" max="7" width="36.1719" style="1015" customWidth="1"/>
    <col min="8" max="8" width="28.5" style="1015" customWidth="1"/>
    <col min="9" max="9" width="17.6719" style="1015" customWidth="1"/>
    <col min="10" max="10" width="66.8516" style="1015" customWidth="1"/>
    <col min="11" max="11" width="80.8516" style="1015" customWidth="1"/>
    <col min="12" max="12" width="10.8516" style="1015" customWidth="1"/>
    <col min="13" max="13" width="28" style="1015" customWidth="1"/>
    <col min="14" max="14" width="16.5" style="1015" customWidth="1"/>
    <col min="15" max="16" width="4" style="1015" customWidth="1"/>
    <col min="17" max="16384" width="10.8516" style="1015" customWidth="1"/>
  </cols>
  <sheetData>
    <row r="1" ht="45" customHeight="1">
      <c r="A1" s="880"/>
      <c r="B1" t="s" s="881">
        <v>2297</v>
      </c>
      <c r="C1" s="882"/>
      <c r="D1" s="882"/>
      <c r="E1" s="882"/>
      <c r="F1" s="882"/>
      <c r="G1" s="883"/>
      <c r="H1" s="884"/>
      <c r="I1" s="884"/>
      <c r="J1" t="s" s="885">
        <f>VLOOKUP($E$12,'BDD'!$A$2:$N$567,3,FALSE)</f>
        <v>232</v>
      </c>
      <c r="K1" s="884"/>
      <c r="L1" s="883"/>
      <c r="M1" s="883"/>
      <c r="N1" s="883"/>
      <c r="O1" s="883"/>
      <c r="P1" s="886"/>
    </row>
    <row r="2" ht="45" customHeight="1">
      <c r="A2" s="887"/>
      <c r="B2" s="888"/>
      <c r="C2" s="888"/>
      <c r="D2" s="888"/>
      <c r="E2" s="888"/>
      <c r="F2" s="888"/>
      <c r="G2" s="888"/>
      <c r="H2" s="888"/>
      <c r="I2" s="888"/>
      <c r="J2" t="s" s="889">
        <f>VLOOKUP($E$12,'BDD'!$A$2:$N$567,4,FALSE)</f>
        <v>1454</v>
      </c>
      <c r="K2" s="888"/>
      <c r="L2" s="888"/>
      <c r="M2" s="888"/>
      <c r="N2" s="888"/>
      <c r="O2" s="888"/>
      <c r="P2" s="890"/>
    </row>
    <row r="3" ht="18" customHeight="1">
      <c r="A3" s="887"/>
      <c r="B3" s="61"/>
      <c r="C3" s="61"/>
      <c r="D3" s="61"/>
      <c r="E3" s="61"/>
      <c r="F3" s="61"/>
      <c r="G3" t="s" s="508">
        <f>IF('Suppl'!B64=2,"Le vecteur n'est pas utilisé","")</f>
      </c>
      <c r="H3" s="509"/>
      <c r="I3" s="509"/>
      <c r="J3" s="509"/>
      <c r="K3" s="509"/>
      <c r="L3" s="510"/>
      <c r="M3" s="61"/>
      <c r="N3" s="61"/>
      <c r="O3" s="61"/>
      <c r="P3" s="890"/>
    </row>
    <row r="4" ht="14.4" customHeight="1">
      <c r="A4" s="887"/>
      <c r="B4" s="61"/>
      <c r="C4" s="61"/>
      <c r="D4" s="61"/>
      <c r="E4" s="61"/>
      <c r="F4" s="61"/>
      <c r="G4" s="61"/>
      <c r="H4" s="61"/>
      <c r="I4" s="61"/>
      <c r="J4" s="61"/>
      <c r="K4" s="61"/>
      <c r="L4" s="61"/>
      <c r="M4" s="61"/>
      <c r="N4" s="61"/>
      <c r="O4" s="61"/>
      <c r="P4" s="890"/>
    </row>
    <row r="5" ht="25.8" customHeight="1">
      <c r="A5" s="891"/>
      <c r="B5" s="512"/>
      <c r="C5" t="s" s="513">
        <f>IF(LEFT(RIGHT($B$1,2),1)=" ",RIGHT($B$1,1),RIGHT($B$1,2))</f>
        <v>2298</v>
      </c>
      <c r="D5" s="514">
        <f>IF(LEFT(F5,14)="Bonne pratique",D4+1,D4)</f>
        <v>1</v>
      </c>
      <c r="E5" s="515"/>
      <c r="F5" t="s" s="516">
        <v>1762</v>
      </c>
      <c r="G5" s="517"/>
      <c r="H5" s="518"/>
      <c r="I5" s="519"/>
      <c r="J5" t="s" s="520">
        <f>VLOOKUP(E12,'BDD'!$A$2:$N$567,6,FALSE)</f>
        <v>1455</v>
      </c>
      <c r="K5" s="521"/>
      <c r="L5" s="517"/>
      <c r="M5" s="517"/>
      <c r="N5" s="517"/>
      <c r="O5" s="512"/>
      <c r="P5" s="892"/>
    </row>
    <row r="6" ht="14.4" customHeight="1">
      <c r="A6" s="887"/>
      <c r="B6" s="61"/>
      <c r="C6" t="s" s="513">
        <f>IF(LEFT(RIGHT($B$1,2),1)=" ",RIGHT($B$1,1),RIGHT($B$1,2))</f>
        <v>2298</v>
      </c>
      <c r="D6" s="514">
        <f>IF(LEFT(F6,14)="Bonne pratique",D5+1,D5)</f>
        <v>1</v>
      </c>
      <c r="E6" s="61"/>
      <c r="F6" s="61"/>
      <c r="G6" s="61"/>
      <c r="H6" s="61"/>
      <c r="I6" s="61"/>
      <c r="J6" s="61"/>
      <c r="K6" s="61"/>
      <c r="L6" s="61"/>
      <c r="M6" s="61"/>
      <c r="N6" s="61"/>
      <c r="O6" s="61"/>
      <c r="P6" s="890"/>
    </row>
    <row r="7" ht="23.4" customHeight="1">
      <c r="A7" s="893"/>
      <c r="B7" s="524"/>
      <c r="C7" t="s" s="513">
        <f>IF(LEFT(RIGHT($B$1,2),1)=" ",RIGHT($B$1,1),RIGHT($B$1,2))</f>
        <v>2298</v>
      </c>
      <c r="D7" s="514">
        <f>IF(LEFT(F7,14)="Bonne pratique",D6+1,D6)</f>
        <v>1</v>
      </c>
      <c r="E7" s="524"/>
      <c r="F7" s="524"/>
      <c r="G7" s="524"/>
      <c r="H7" s="524"/>
      <c r="I7" s="525"/>
      <c r="J7" t="s" s="526">
        <v>1456</v>
      </c>
      <c r="K7" s="525"/>
      <c r="L7" s="524"/>
      <c r="M7" s="524"/>
      <c r="N7" s="524"/>
      <c r="O7" s="524"/>
      <c r="P7" s="894"/>
    </row>
    <row r="8" ht="18" customHeight="1">
      <c r="A8" s="887"/>
      <c r="B8" s="61"/>
      <c r="C8" t="s" s="513">
        <f>IF(LEFT(RIGHT($B$1,2),1)=" ",RIGHT($B$1,1),RIGHT($B$1,2))</f>
        <v>2298</v>
      </c>
      <c r="D8" s="514">
        <f>IF(LEFT(F8,14)="Bonne pratique",D7+1,D7)</f>
        <v>1</v>
      </c>
      <c r="E8" s="61"/>
      <c r="F8" s="61"/>
      <c r="G8" s="61"/>
      <c r="H8" s="61"/>
      <c r="I8" s="61"/>
      <c r="J8" s="528"/>
      <c r="K8" s="61"/>
      <c r="L8" s="61"/>
      <c r="M8" s="529"/>
      <c r="N8" s="529"/>
      <c r="O8" s="61"/>
      <c r="P8" s="890"/>
    </row>
    <row r="9" ht="14.4" customHeight="1">
      <c r="A9" s="887"/>
      <c r="B9" s="61"/>
      <c r="C9" t="s" s="513">
        <f>IF(LEFT(RIGHT($B$1,2),1)=" ",RIGHT($B$1,1),RIGHT($B$1,2))</f>
        <v>2298</v>
      </c>
      <c r="D9" s="514">
        <f>IF(LEFT(F9,14)="Bonne pratique",D8+1,D8)</f>
        <v>1</v>
      </c>
      <c r="E9" s="61"/>
      <c r="F9" s="61"/>
      <c r="G9" s="530"/>
      <c r="H9" s="530"/>
      <c r="I9" s="530"/>
      <c r="J9" s="530"/>
      <c r="K9" s="530"/>
      <c r="L9" s="531"/>
      <c r="M9" t="s" s="532">
        <v>1763</v>
      </c>
      <c r="N9" s="533"/>
      <c r="O9" s="534"/>
      <c r="P9" s="890"/>
    </row>
    <row r="10" ht="33" customHeight="1">
      <c r="A10" s="887"/>
      <c r="B10" s="61"/>
      <c r="C10" t="s" s="513">
        <f>IF(LEFT(RIGHT($B$1,2),1)=" ",RIGHT($B$1,1),RIGHT($B$1,2))</f>
        <v>2298</v>
      </c>
      <c r="D10" s="514">
        <f>IF(LEFT(F10,14)="Bonne pratique",D9+1,D9)</f>
        <v>1</v>
      </c>
      <c r="E10" s="61"/>
      <c r="F10" s="535"/>
      <c r="G10" t="s" s="536">
        <v>244</v>
      </c>
      <c r="H10" t="s" s="536">
        <v>1764</v>
      </c>
      <c r="I10" t="s" s="537">
        <v>245</v>
      </c>
      <c r="J10" t="s" s="536">
        <v>1765</v>
      </c>
      <c r="K10" t="s" s="536">
        <v>246</v>
      </c>
      <c r="L10" s="538"/>
      <c r="M10" t="s" s="539">
        <v>1766</v>
      </c>
      <c r="N10" t="s" s="540">
        <v>1767</v>
      </c>
      <c r="O10" s="534"/>
      <c r="P10" s="890"/>
    </row>
    <row r="11" ht="14.4" customHeight="1">
      <c r="A11" s="887"/>
      <c r="B11" s="61"/>
      <c r="C11" t="s" s="513">
        <f>IF(LEFT(RIGHT($B$1,2),1)=" ",RIGHT($B$1,1),RIGHT($B$1,2))</f>
        <v>2298</v>
      </c>
      <c r="D11" s="514">
        <f>IF(LEFT(F11,14)="Bonne pratique",D10+1,D10)</f>
        <v>1</v>
      </c>
      <c r="E11" s="61"/>
      <c r="F11" s="529"/>
      <c r="G11" s="541"/>
      <c r="H11" s="541"/>
      <c r="I11" s="541"/>
      <c r="J11" s="541"/>
      <c r="K11" s="541"/>
      <c r="L11" s="61"/>
      <c r="M11" s="541"/>
      <c r="N11" s="541"/>
      <c r="O11" s="61"/>
      <c r="P11" s="890"/>
    </row>
    <row r="12" ht="130.05" customHeight="1">
      <c r="A12" s="887"/>
      <c r="B12" s="542"/>
      <c r="C12" t="s" s="543">
        <f>IF(LEFT(RIGHT($B$1,2),1)=" ",RIGHT($B$1,1),RIGHT($B$1,2))</f>
        <v>2298</v>
      </c>
      <c r="D12" s="544">
        <f>IF(LEFT(F12,14)="Bonne pratique",D11+1,D11)</f>
        <v>1</v>
      </c>
      <c r="E12" t="s" s="545">
        <f>C12&amp;D12&amp;RIGHT(F12,1)</f>
        <v>2299</v>
      </c>
      <c r="F12" t="s" s="546">
        <v>1769</v>
      </c>
      <c r="G12" t="s" s="547">
        <f>_xlfn.IFERROR(IF(VLOOKUP($E12,'BDD'!$A$1:$S$567,MATCH(G$10,'BDD'!$A$1:$P$1,0),FALSE)=0,"",VLOOKUP($E12,'BDD'!$A$1:$S$567,MATCH(G$10,'BDD'!$A$1:$P$1,0),FALSE)),"")</f>
        <v>1457</v>
      </c>
      <c r="H12" t="s" s="548">
        <f>IF(VLOOKUP(E12,'BDD'!$A$1:$S$567,15,FALSE)=0,"Critère non évalué","")</f>
        <v>1770</v>
      </c>
      <c r="I12" t="s" s="546">
        <f>_xlfn.IFERROR(IF(VLOOKUP($E12,'BDD'!$A$1:$S$567,MATCH(I$10,'BDD'!$A$1:$P$1,0),FALSE)=0,"",VLOOKUP($E12,'BDD'!$A$1:$S$567,MATCH(I$10,'BDD'!$A$1:$P$1,0),FALSE)),"")</f>
        <v>283</v>
      </c>
      <c r="J12" s="549"/>
      <c r="K12" t="s" s="547">
        <f>_xlfn.IFERROR(IF(VLOOKUP($E12,'BDD'!$A$1:$S$567,MATCH(K$10,'BDD'!$A$1:$P$1,0),FALSE)=0,"",VLOOKUP($E12,'BDD'!$A$1:$S$567,MATCH(K$10,'BDD'!$A$1:$P$1,0),FALSE)),"")</f>
      </c>
      <c r="L12" s="550"/>
      <c r="M12" s="551"/>
      <c r="N12" s="551"/>
      <c r="O12" s="534"/>
      <c r="P12" s="890"/>
    </row>
    <row r="13" ht="130.05" customHeight="1">
      <c r="A13" s="887"/>
      <c r="B13" s="542"/>
      <c r="C13" t="s" s="543">
        <f>IF(LEFT(RIGHT($B$1,2),1)=" ",RIGHT($B$1,1),RIGHT($B$1,2))</f>
        <v>2298</v>
      </c>
      <c r="D13" s="544">
        <f>IF(LEFT(F13,14)="Bonne pratique",D12+1,D12)</f>
        <v>1</v>
      </c>
      <c r="E13" t="s" s="545">
        <f>C13&amp;D13&amp;RIGHT(F13,1)</f>
        <v>2300</v>
      </c>
      <c r="F13" t="s" s="552">
        <v>1772</v>
      </c>
      <c r="G13" t="s" s="540">
        <f>_xlfn.IFERROR(IF(VLOOKUP($E13,'BDD'!$A$1:$S$567,MATCH(G$10,'BDD'!$A$1:$P$1,0),FALSE)=0,"",VLOOKUP($E13,'BDD'!$A$1:$S$567,MATCH(G$10,'BDD'!$A$1:$P$1,0),FALSE)),"")</f>
        <v>1461</v>
      </c>
      <c r="H13" t="s" s="553">
        <f>IF(VLOOKUP(E13,'BDD'!$A$1:$S$567,15,FALSE)=0,"Critère non évalué","")</f>
        <v>1770</v>
      </c>
      <c r="I13" t="s" s="552">
        <f>_xlfn.IFERROR(IF(VLOOKUP($E13,'BDD'!$A$1:$S$567,MATCH(I$10,'BDD'!$A$1:$P$1,0),FALSE)=0,"",VLOOKUP($E13,'BDD'!$A$1:$S$567,MATCH(I$10,'BDD'!$A$1:$P$1,0),FALSE)),"")</f>
        <v>263</v>
      </c>
      <c r="J13" s="554"/>
      <c r="K13" t="s" s="540">
        <f>_xlfn.IFERROR(IF(VLOOKUP($E13,'BDD'!$A$1:$S$567,MATCH(K$10,'BDD'!$A$1:$P$1,0),FALSE)=0,"",VLOOKUP($E13,'BDD'!$A$1:$S$567,MATCH(K$10,'BDD'!$A$1:$P$1,0),FALSE)),"")</f>
        <v>1462</v>
      </c>
      <c r="L13" s="550"/>
      <c r="M13" s="555"/>
      <c r="N13" s="555"/>
      <c r="O13" s="534"/>
      <c r="P13" s="890"/>
    </row>
    <row r="14" ht="130.05" customHeight="1">
      <c r="A14" s="887"/>
      <c r="B14" s="542"/>
      <c r="C14" t="s" s="543">
        <f>IF(LEFT(RIGHT($B$1,2),1)=" ",RIGHT($B$1,1),RIGHT($B$1,2))</f>
        <v>2298</v>
      </c>
      <c r="D14" s="544">
        <f>IF(LEFT(F14,14)="Bonne pratique",D13+1,D13)</f>
        <v>1</v>
      </c>
      <c r="E14" t="s" s="545">
        <f>C14&amp;D14&amp;RIGHT(F14,1)</f>
        <v>2301</v>
      </c>
      <c r="F14" t="s" s="546">
        <v>1774</v>
      </c>
      <c r="G14" t="s" s="547">
        <f>_xlfn.IFERROR(IF(VLOOKUP($E14,'BDD'!$A$1:$S$567,MATCH(G$10,'BDD'!$A$1:$P$1,0),FALSE)=0,"",VLOOKUP($E14,'BDD'!$A$1:$S$567,MATCH(G$10,'BDD'!$A$1:$P$1,0),FALSE)),"")</f>
        <v>1467</v>
      </c>
      <c r="H14" t="s" s="548">
        <f>IF(VLOOKUP(E14,'BDD'!$A$1:$S$567,15,FALSE)=0,"Critère non évalué","")</f>
        <v>1770</v>
      </c>
      <c r="I14" t="s" s="546">
        <f>_xlfn.IFERROR(IF(VLOOKUP($E14,'BDD'!$A$1:$S$567,MATCH(I$10,'BDD'!$A$1:$P$1,0),FALSE)=0,"",VLOOKUP($E14,'BDD'!$A$1:$S$567,MATCH(I$10,'BDD'!$A$1:$P$1,0),FALSE)),"")</f>
        <v>271</v>
      </c>
      <c r="J14" s="549"/>
      <c r="K14" t="s" s="547">
        <f>_xlfn.IFERROR(IF(VLOOKUP($E14,'BDD'!$A$1:$S$567,MATCH(K$10,'BDD'!$A$1:$P$1,0),FALSE)=0,"",VLOOKUP($E14,'BDD'!$A$1:$S$567,MATCH(K$10,'BDD'!$A$1:$P$1,0),FALSE)),"")</f>
        <v>1468</v>
      </c>
      <c r="L14" s="550"/>
      <c r="M14" s="551"/>
      <c r="N14" s="551"/>
      <c r="O14" s="534"/>
      <c r="P14" s="890"/>
    </row>
    <row r="15" ht="130.05" customHeight="1">
      <c r="A15" s="887"/>
      <c r="B15" s="542"/>
      <c r="C15" t="s" s="543">
        <f>IF(LEFT(RIGHT($B$1,2),1)=" ",RIGHT($B$1,1),RIGHT($B$1,2))</f>
        <v>2298</v>
      </c>
      <c r="D15" s="544">
        <f>IF(LEFT(F15,14)="Bonne pratique",D14+1,D14)</f>
        <v>1</v>
      </c>
      <c r="E15" t="s" s="545">
        <f>C15&amp;D15&amp;RIGHT(F15,1)</f>
        <v>2302</v>
      </c>
      <c r="F15" t="s" s="552">
        <v>1776</v>
      </c>
      <c r="G15" t="s" s="540">
        <f>_xlfn.IFERROR(IF(VLOOKUP($E15,'BDD'!$A$1:$S$567,MATCH(G$10,'BDD'!$A$1:$P$1,0),FALSE)=0,"",VLOOKUP($E15,'BDD'!$A$1:$S$567,MATCH(G$10,'BDD'!$A$1:$P$1,0),FALSE)),"")</f>
        <v>1471</v>
      </c>
      <c r="H15" t="s" s="553">
        <f>IF(VLOOKUP(E15,'BDD'!$A$1:$S$567,15,FALSE)=0,"Critère non évalué","")</f>
        <v>1770</v>
      </c>
      <c r="I15" t="s" s="552">
        <f>_xlfn.IFERROR(IF(VLOOKUP($E15,'BDD'!$A$1:$S$567,MATCH(I$10,'BDD'!$A$1:$P$1,0),FALSE)=0,"",VLOOKUP($E15,'BDD'!$A$1:$S$567,MATCH(I$10,'BDD'!$A$1:$P$1,0),FALSE)),"")</f>
        <v>291</v>
      </c>
      <c r="J15" s="556"/>
      <c r="K15" t="s" s="540">
        <f>_xlfn.IFERROR(IF(VLOOKUP($E15,'BDD'!$A$1:$S$567,MATCH(K$10,'BDD'!$A$1:$P$1,0),FALSE)=0,"",VLOOKUP($E15,'BDD'!$A$1:$S$567,MATCH(K$10,'BDD'!$A$1:$P$1,0),FALSE)),"")</f>
        <v>1472</v>
      </c>
      <c r="L15" s="550"/>
      <c r="M15" s="555"/>
      <c r="N15" s="555"/>
      <c r="O15" s="534"/>
      <c r="P15" s="890"/>
    </row>
    <row r="16" ht="130.05" customHeight="1">
      <c r="A16" s="887"/>
      <c r="B16" s="542"/>
      <c r="C16" t="s" s="543">
        <f>IF(LEFT(RIGHT($B$1,2),1)=" ",RIGHT($B$1,1),RIGHT($B$1,2))</f>
        <v>2298</v>
      </c>
      <c r="D16" s="544">
        <f>IF(LEFT(F16,14)="Bonne pratique",D15+1,D15)</f>
        <v>1</v>
      </c>
      <c r="E16" t="s" s="545">
        <f>C16&amp;D16&amp;RIGHT(F16,1)</f>
        <v>2303</v>
      </c>
      <c r="F16" t="s" s="546">
        <v>1778</v>
      </c>
      <c r="G16" t="s" s="547">
        <f>_xlfn.IFERROR(IF(VLOOKUP($E16,'BDD'!$A$1:$S$567,MATCH(G$10,'BDD'!$A$1:$P$1,0),FALSE)=0,"",VLOOKUP($E16,'BDD'!$A$1:$S$567,MATCH(G$10,'BDD'!$A$1:$P$1,0),FALSE)),"")</f>
        <v>1474</v>
      </c>
      <c r="H16" t="s" s="548">
        <f>IF(VLOOKUP(E16,'BDD'!$A$1:$S$567,15,FALSE)=0,"Critère non évalué","")</f>
        <v>1770</v>
      </c>
      <c r="I16" t="s" s="546">
        <f>_xlfn.IFERROR(IF(VLOOKUP($E16,'BDD'!$A$1:$S$567,MATCH(I$10,'BDD'!$A$1:$P$1,0),FALSE)=0,"",VLOOKUP($E16,'BDD'!$A$1:$S$567,MATCH(I$10,'BDD'!$A$1:$P$1,0),FALSE)),"")</f>
        <v>291</v>
      </c>
      <c r="J16" s="549"/>
      <c r="K16" t="s" s="547">
        <f>_xlfn.IFERROR(IF(VLOOKUP($E16,'BDD'!$A$1:$S$567,MATCH(K$10,'BDD'!$A$1:$P$1,0),FALSE)=0,"",VLOOKUP($E16,'BDD'!$A$1:$S$567,MATCH(K$10,'BDD'!$A$1:$P$1,0),FALSE)),"")</f>
        <v>1475</v>
      </c>
      <c r="L16" s="550"/>
      <c r="M16" s="557"/>
      <c r="N16" s="557"/>
      <c r="O16" s="534"/>
      <c r="P16" s="890"/>
    </row>
    <row r="17" ht="130.05" customHeight="1">
      <c r="A17" s="887"/>
      <c r="B17" s="542"/>
      <c r="C17" t="s" s="543">
        <f>IF(LEFT(RIGHT($B$1,2),1)=" ",RIGHT($B$1,1),RIGHT($B$1,2))</f>
        <v>2298</v>
      </c>
      <c r="D17" s="544">
        <f>IF(LEFT(F17,14)="Bonne pratique",D16+1,D16)</f>
        <v>1</v>
      </c>
      <c r="E17" t="s" s="545">
        <f>C17&amp;D17&amp;RIGHT(F17,1)</f>
        <v>2304</v>
      </c>
      <c r="F17" t="s" s="552">
        <v>1780</v>
      </c>
      <c r="G17" t="s" s="540">
        <f>_xlfn.IFERROR(IF(VLOOKUP($E17,'BDD'!$A$1:$S$567,MATCH(G$10,'BDD'!$A$1:$P$1,0),FALSE)=0,"",VLOOKUP($E17,'BDD'!$A$1:$S$567,MATCH(G$10,'BDD'!$A$1:$P$1,0),FALSE)),"")</f>
        <v>1477</v>
      </c>
      <c r="H17" t="s" s="553">
        <f>IF(VLOOKUP(E17,'BDD'!$A$1:$S$567,15,FALSE)=0,"Critère non évalué","")</f>
        <v>1770</v>
      </c>
      <c r="I17" t="s" s="552">
        <f>_xlfn.IFERROR(IF(VLOOKUP($E17,'BDD'!$A$1:$S$567,MATCH(I$10,'BDD'!$A$1:$P$1,0),FALSE)=0,"",VLOOKUP($E17,'BDD'!$A$1:$S$567,MATCH(I$10,'BDD'!$A$1:$P$1,0),FALSE)),"")</f>
        <v>291</v>
      </c>
      <c r="J17" s="554"/>
      <c r="K17" t="s" s="540">
        <f>_xlfn.IFERROR(IF(VLOOKUP($E17,'BDD'!$A$1:$S$567,MATCH(K$10,'BDD'!$A$1:$P$1,0),FALSE)=0,"",VLOOKUP($E17,'BDD'!$A$1:$S$567,MATCH(K$10,'BDD'!$A$1:$P$1,0),FALSE)),"")</f>
      </c>
      <c r="L17" s="550"/>
      <c r="M17" s="555"/>
      <c r="N17" s="555"/>
      <c r="O17" s="534"/>
      <c r="P17" s="890"/>
    </row>
    <row r="18" ht="130.05" customHeight="1" hidden="1">
      <c r="A18" s="887"/>
      <c r="B18" s="542"/>
      <c r="C18" t="s" s="543">
        <f>IF(LEFT(RIGHT($B$1,2),1)=" ",RIGHT($B$1,1),RIGHT($B$1,2))</f>
        <v>2298</v>
      </c>
      <c r="D18" s="544">
        <f>IF(LEFT(F18,14)="Bonne pratique",D17+1,D17)</f>
        <v>1</v>
      </c>
      <c r="E18" t="s" s="545">
        <f>C18&amp;D18&amp;RIGHT(F18,1)</f>
        <v>2305</v>
      </c>
      <c r="F18" t="s" s="546">
        <v>1782</v>
      </c>
      <c r="G18" t="s" s="547">
        <f>_xlfn.IFERROR(IF(VLOOKUP($E18,'BDD'!$A$1:$S$567,MATCH(G$10,'BDD'!$A$1:$P$1,0),FALSE)=0,"",VLOOKUP($E18,'BDD'!$A$1:$S$567,MATCH(G$10,'BDD'!$A$1:$P$1,0),FALSE)),"")</f>
      </c>
      <c r="H18" t="s" s="548">
        <f>IF(VLOOKUP(E18,'BDD'!$A$1:$S$567,15,FALSE)=0,"Critère non évalué","")</f>
        <v>1770</v>
      </c>
      <c r="I18" t="s" s="546">
        <f>_xlfn.IFERROR(IF(VLOOKUP($E18,'BDD'!$A$1:$S$567,MATCH(I$10,'BDD'!$A$1:$P$1,0),FALSE)=0,"",VLOOKUP($E18,'BDD'!$A$1:$S$567,MATCH(I$10,'BDD'!$A$1:$P$1,0),FALSE)),"")</f>
      </c>
      <c r="J18" s="549"/>
      <c r="K18" t="s" s="547">
        <f>_xlfn.IFERROR(IF(VLOOKUP($E18,'BDD'!$A$1:$S$567,MATCH(K$10,'BDD'!$A$1:$P$1,0),FALSE)=0,"",VLOOKUP($E18,'BDD'!$A$1:$S$567,MATCH(K$10,'BDD'!$A$1:$P$1,0),FALSE)),"")</f>
      </c>
      <c r="L18" s="550"/>
      <c r="M18" s="557"/>
      <c r="N18" s="557"/>
      <c r="O18" s="534"/>
      <c r="P18" s="890"/>
    </row>
    <row r="19" ht="18" customHeight="1">
      <c r="A19" s="887"/>
      <c r="B19" s="61"/>
      <c r="C19" t="s" s="513">
        <f>IF(LEFT(RIGHT($B$1,2),1)=" ",RIGHT($B$1,1),RIGHT($B$1,2))</f>
        <v>2298</v>
      </c>
      <c r="D19" s="514">
        <f>IF(LEFT(F19,14)="Bonne pratique",D18+1,D18)</f>
        <v>1</v>
      </c>
      <c r="E19" t="s" s="558">
        <f>C19&amp;D19&amp;RIGHT(F19,1)</f>
        <v>2306</v>
      </c>
      <c r="F19" s="559"/>
      <c r="G19" t="s" s="560">
        <f>IF('Suppl'!B80=2,"Le vecteur n'est pas utilisé","")</f>
      </c>
      <c r="H19" s="561"/>
      <c r="I19" s="561"/>
      <c r="J19" s="561"/>
      <c r="K19" s="561"/>
      <c r="L19" s="510"/>
      <c r="M19" s="559"/>
      <c r="N19" s="559"/>
      <c r="O19" s="61"/>
      <c r="P19" s="890"/>
    </row>
    <row r="20" ht="15" customHeight="1">
      <c r="A20" s="887"/>
      <c r="B20" s="61"/>
      <c r="C20" t="s" s="513">
        <f>IF(LEFT(RIGHT($B$1,2),1)=" ",RIGHT($B$1,1),RIGHT($B$1,2))</f>
        <v>2298</v>
      </c>
      <c r="D20" s="514">
        <f>IF(LEFT(F20,14)="Bonne pratique",D19+1,D19)</f>
        <v>1</v>
      </c>
      <c r="E20" t="s" s="558">
        <f>C20&amp;D20&amp;RIGHT(F20,1)</f>
        <v>2306</v>
      </c>
      <c r="F20" s="61"/>
      <c r="G20" s="61"/>
      <c r="H20" s="61"/>
      <c r="I20" s="61"/>
      <c r="J20" s="61"/>
      <c r="K20" s="61"/>
      <c r="L20" s="61"/>
      <c r="M20" s="61"/>
      <c r="N20" s="61"/>
      <c r="O20" s="61"/>
      <c r="P20" s="890"/>
    </row>
    <row r="21" ht="25.8" customHeight="1">
      <c r="A21" s="891"/>
      <c r="B21" s="512"/>
      <c r="C21" t="s" s="513">
        <f>IF(LEFT(RIGHT($B$1,2),1)=" ",RIGHT($B$1,1),RIGHT($B$1,2))</f>
        <v>2298</v>
      </c>
      <c r="D21" s="514">
        <f>IF(LEFT(F21,14)="Bonne pratique",D20+1,D20)</f>
        <v>2</v>
      </c>
      <c r="E21" t="s" s="558">
        <f>C21&amp;D21&amp;RIGHT(F21,1)</f>
        <v>2307</v>
      </c>
      <c r="F21" t="s" s="516">
        <v>1785</v>
      </c>
      <c r="G21" s="517"/>
      <c r="H21" s="518"/>
      <c r="I21" s="519"/>
      <c r="J21" t="s" s="520">
        <f>VLOOKUP(E28,'BDD'!$A$2:$N$567,6,FALSE)</f>
        <v>1479</v>
      </c>
      <c r="K21" s="521"/>
      <c r="L21" s="517"/>
      <c r="M21" s="517"/>
      <c r="N21" s="517"/>
      <c r="O21" s="512"/>
      <c r="P21" s="892"/>
    </row>
    <row r="22" ht="15" customHeight="1">
      <c r="A22" s="887"/>
      <c r="B22" s="61"/>
      <c r="C22" t="s" s="513">
        <f>IF(LEFT(RIGHT($B$1,2),1)=" ",RIGHT($B$1,1),RIGHT($B$1,2))</f>
        <v>2298</v>
      </c>
      <c r="D22" s="514">
        <f>IF(LEFT(F22,14)="Bonne pratique",D21+1,D21)</f>
        <v>2</v>
      </c>
      <c r="E22" t="s" s="558">
        <f>C22&amp;D22&amp;RIGHT(F22,1)</f>
        <v>2308</v>
      </c>
      <c r="F22" s="61"/>
      <c r="G22" s="61"/>
      <c r="H22" s="61"/>
      <c r="I22" s="61"/>
      <c r="J22" s="61"/>
      <c r="K22" s="61"/>
      <c r="L22" s="61"/>
      <c r="M22" s="61"/>
      <c r="N22" s="61"/>
      <c r="O22" s="61"/>
      <c r="P22" s="890"/>
    </row>
    <row r="23" ht="18" customHeight="1">
      <c r="A23" s="893"/>
      <c r="B23" s="524"/>
      <c r="C23" t="s" s="513">
        <f>IF(LEFT(RIGHT($B$1,2),1)=" ",RIGHT($B$1,1),RIGHT($B$1,2))</f>
        <v>2298</v>
      </c>
      <c r="D23" s="514">
        <f>IF(LEFT(F23,14)="Bonne pratique",D22+1,D22)</f>
        <v>2</v>
      </c>
      <c r="E23" t="s" s="558">
        <f>C23&amp;D23&amp;RIGHT(F23,1)</f>
        <v>2308</v>
      </c>
      <c r="F23" s="524"/>
      <c r="G23" s="524"/>
      <c r="H23" s="524"/>
      <c r="I23" s="525"/>
      <c r="J23" t="s" s="526">
        <v>1480</v>
      </c>
      <c r="K23" s="525"/>
      <c r="L23" s="524"/>
      <c r="M23" s="524"/>
      <c r="N23" s="524"/>
      <c r="O23" s="524"/>
      <c r="P23" s="894"/>
    </row>
    <row r="24" ht="18" customHeight="1">
      <c r="A24" s="887"/>
      <c r="B24" s="61"/>
      <c r="C24" t="s" s="513">
        <f>IF(LEFT(RIGHT($B$1,2),1)=" ",RIGHT($B$1,1),RIGHT($B$1,2))</f>
        <v>2298</v>
      </c>
      <c r="D24" s="514">
        <f>IF(LEFT(F24,14)="Bonne pratique",D23+1,D23)</f>
        <v>2</v>
      </c>
      <c r="E24" t="s" s="558">
        <f>C24&amp;D24&amp;RIGHT(F24,1)</f>
        <v>2308</v>
      </c>
      <c r="F24" s="61"/>
      <c r="G24" s="61"/>
      <c r="H24" s="61"/>
      <c r="I24" s="61"/>
      <c r="J24" s="528"/>
      <c r="K24" s="61"/>
      <c r="L24" s="61"/>
      <c r="M24" s="529"/>
      <c r="N24" s="529"/>
      <c r="O24" s="61"/>
      <c r="P24" s="890"/>
    </row>
    <row r="25" ht="15" customHeight="1">
      <c r="A25" s="887"/>
      <c r="B25" s="61"/>
      <c r="C25" t="s" s="513">
        <f>IF(LEFT(RIGHT($B$1,2),1)=" ",RIGHT($B$1,1),RIGHT($B$1,2))</f>
        <v>2298</v>
      </c>
      <c r="D25" s="514">
        <f>IF(LEFT(F25,14)="Bonne pratique",D24+1,D24)</f>
        <v>2</v>
      </c>
      <c r="E25" t="s" s="558">
        <f>C25&amp;D25&amp;RIGHT(F25,1)</f>
        <v>2308</v>
      </c>
      <c r="F25" s="61"/>
      <c r="G25" s="529"/>
      <c r="H25" s="529"/>
      <c r="I25" s="529"/>
      <c r="J25" s="530"/>
      <c r="K25" s="529"/>
      <c r="L25" s="542"/>
      <c r="M25" t="s" s="562">
        <v>1763</v>
      </c>
      <c r="N25" s="563"/>
      <c r="O25" s="534"/>
      <c r="P25" s="890"/>
    </row>
    <row r="26" ht="33" customHeight="1">
      <c r="A26" s="887"/>
      <c r="B26" s="61"/>
      <c r="C26" t="s" s="513">
        <f>IF(LEFT(RIGHT($B$1,2),1)=" ",RIGHT($B$1,1),RIGHT($B$1,2))</f>
        <v>2298</v>
      </c>
      <c r="D26" s="514">
        <f>IF(LEFT(F26,14)="Bonne pratique",D25+1,D25)</f>
        <v>2</v>
      </c>
      <c r="E26" t="s" s="558">
        <f>C26&amp;D26&amp;RIGHT(F26,1)</f>
        <v>2308</v>
      </c>
      <c r="F26" s="564"/>
      <c r="G26" t="s" s="536">
        <v>244</v>
      </c>
      <c r="H26" t="s" s="536">
        <v>1764</v>
      </c>
      <c r="I26" t="s" s="536">
        <v>1787</v>
      </c>
      <c r="J26" t="s" s="536">
        <v>1765</v>
      </c>
      <c r="K26" t="s" s="536">
        <v>1788</v>
      </c>
      <c r="L26" s="538"/>
      <c r="M26" t="s" s="539">
        <v>1766</v>
      </c>
      <c r="N26" t="s" s="540">
        <v>1767</v>
      </c>
      <c r="O26" s="534"/>
      <c r="P26" s="890"/>
    </row>
    <row r="27" ht="15" customHeight="1">
      <c r="A27" s="887"/>
      <c r="B27" s="61"/>
      <c r="C27" t="s" s="513">
        <f>IF(LEFT(RIGHT($B$1,2),1)=" ",RIGHT($B$1,1),RIGHT($B$1,2))</f>
        <v>2298</v>
      </c>
      <c r="D27" s="514">
        <f>IF(LEFT(F27,14)="Bonne pratique",D26+1,D26)</f>
        <v>2</v>
      </c>
      <c r="E27" t="s" s="558">
        <f>C27&amp;D27&amp;RIGHT(F27,1)</f>
        <v>2308</v>
      </c>
      <c r="F27" s="529"/>
      <c r="G27" s="541"/>
      <c r="H27" s="541"/>
      <c r="I27" s="541"/>
      <c r="J27" s="541"/>
      <c r="K27" s="541"/>
      <c r="L27" s="61"/>
      <c r="M27" s="541"/>
      <c r="N27" s="541"/>
      <c r="O27" s="61"/>
      <c r="P27" s="890"/>
    </row>
    <row r="28" ht="130.05" customHeight="1">
      <c r="A28" s="887"/>
      <c r="B28" s="542"/>
      <c r="C28" t="s" s="543">
        <f>IF(LEFT(RIGHT($B$1,2),1)=" ",RIGHT($B$1,1),RIGHT($B$1,2))</f>
        <v>2298</v>
      </c>
      <c r="D28" s="544">
        <f>IF(LEFT(F28,14)="Bonne pratique",D27+1,D27)</f>
        <v>2</v>
      </c>
      <c r="E28" t="s" s="545">
        <f>C28&amp;D28&amp;RIGHT(F28,1)</f>
        <v>2309</v>
      </c>
      <c r="F28" t="s" s="546">
        <v>1769</v>
      </c>
      <c r="G28" t="s" s="547">
        <f>_xlfn.IFERROR(IF(VLOOKUP($E28,'BDD'!$A$1:$S$567,MATCH(G$10,'BDD'!$A$1:$P$1,0),FALSE)=0,"",VLOOKUP($E28,'BDD'!$A$1:$S$567,MATCH(G$10,'BDD'!$A$1:$P$1,0),FALSE)),"")</f>
        <v>1481</v>
      </c>
      <c r="H28" t="s" s="548">
        <f>IF(VLOOKUP(E28,'BDD'!$A$1:$S$567,15,FALSE)=0,"Critère non évalué","")</f>
        <v>1770</v>
      </c>
      <c r="I28" t="s" s="546">
        <f>_xlfn.IFERROR(IF(VLOOKUP($E28,'BDD'!$A$1:$S$567,MATCH(I$10,'BDD'!$A$1:$P$1,0),FALSE)=0,"",VLOOKUP($E28,'BDD'!$A$1:$S$567,MATCH(I$10,'BDD'!$A$1:$P$1,0),FALSE)),"")</f>
        <v>283</v>
      </c>
      <c r="J28" s="549"/>
      <c r="K28" t="s" s="547">
        <f>_xlfn.IFERROR(IF(VLOOKUP($E28,'BDD'!$A$1:$S$567,MATCH(K$10,'BDD'!$A$1:$P$1,0),FALSE)=0,"",VLOOKUP($E28,'BDD'!$A$1:$S$567,MATCH(K$10,'BDD'!$A$1:$P$1,0),FALSE)),"")</f>
        <v>1482</v>
      </c>
      <c r="L28" s="550"/>
      <c r="M28" s="551"/>
      <c r="N28" s="551"/>
      <c r="O28" s="534"/>
      <c r="P28" s="890"/>
    </row>
    <row r="29" ht="130.05" customHeight="1">
      <c r="A29" s="887"/>
      <c r="B29" s="542"/>
      <c r="C29" t="s" s="543">
        <f>IF(LEFT(RIGHT($B$1,2),1)=" ",RIGHT($B$1,1),RIGHT($B$1,2))</f>
        <v>2298</v>
      </c>
      <c r="D29" s="544">
        <f>IF(LEFT(F29,14)="Bonne pratique",D28+1,D28)</f>
        <v>2</v>
      </c>
      <c r="E29" t="s" s="545">
        <f>C29&amp;D29&amp;RIGHT(F29,1)</f>
        <v>2307</v>
      </c>
      <c r="F29" t="s" s="552">
        <v>1772</v>
      </c>
      <c r="G29" t="s" s="540">
        <f>_xlfn.IFERROR(IF(VLOOKUP($E29,'BDD'!$A$1:$S$567,MATCH(G$10,'BDD'!$A$1:$P$1,0),FALSE)=0,"",VLOOKUP($E29,'BDD'!$A$1:$S$567,MATCH(G$10,'BDD'!$A$1:$P$1,0),FALSE)),"")</f>
        <v>1484</v>
      </c>
      <c r="H29" t="s" s="553">
        <f>IF(VLOOKUP(E29,'BDD'!$A$1:$S$567,15,FALSE)=0,"Critère non évalué","")</f>
        <v>1770</v>
      </c>
      <c r="I29" t="s" s="552">
        <f>_xlfn.IFERROR(IF(VLOOKUP($E29,'BDD'!$A$1:$S$567,MATCH(I$10,'BDD'!$A$1:$P$1,0),FALSE)=0,"",VLOOKUP($E29,'BDD'!$A$1:$S$567,MATCH(I$10,'BDD'!$A$1:$P$1,0),FALSE)),"")</f>
        <v>271</v>
      </c>
      <c r="J29" s="554"/>
      <c r="K29" t="s" s="540">
        <f>_xlfn.IFERROR(IF(VLOOKUP($E29,'BDD'!$A$1:$S$567,MATCH(K$10,'BDD'!$A$1:$P$1,0),FALSE)=0,"",VLOOKUP($E29,'BDD'!$A$1:$S$567,MATCH(K$10,'BDD'!$A$1:$P$1,0),FALSE)),"")</f>
        <v>1485</v>
      </c>
      <c r="L29" s="550"/>
      <c r="M29" s="555"/>
      <c r="N29" s="555"/>
      <c r="O29" s="534"/>
      <c r="P29" s="890"/>
    </row>
    <row r="30" ht="130.05" customHeight="1">
      <c r="A30" s="887"/>
      <c r="B30" s="542"/>
      <c r="C30" t="s" s="543">
        <f>IF(LEFT(RIGHT($B$1,2),1)=" ",RIGHT($B$1,1),RIGHT($B$1,2))</f>
        <v>2298</v>
      </c>
      <c r="D30" s="544">
        <f>IF(LEFT(F30,14)="Bonne pratique",D29+1,D29)</f>
        <v>2</v>
      </c>
      <c r="E30" t="s" s="545">
        <f>C30&amp;D30&amp;RIGHT(F30,1)</f>
        <v>2310</v>
      </c>
      <c r="F30" t="s" s="546">
        <v>1774</v>
      </c>
      <c r="G30" t="s" s="547">
        <f>_xlfn.IFERROR(IF(VLOOKUP($E30,'BDD'!$A$1:$S$567,MATCH(G$10,'BDD'!$A$1:$P$1,0),FALSE)=0,"",VLOOKUP($E30,'BDD'!$A$1:$S$567,MATCH(G$10,'BDD'!$A$1:$P$1,0),FALSE)),"")</f>
        <v>1487</v>
      </c>
      <c r="H30" t="s" s="548">
        <f>IF(VLOOKUP(E30,'BDD'!$A$1:$S$567,15,FALSE)=0,"Critère non évalué","")</f>
        <v>1770</v>
      </c>
      <c r="I30" t="s" s="546">
        <f>_xlfn.IFERROR(IF(VLOOKUP($E30,'BDD'!$A$1:$S$567,MATCH(I$10,'BDD'!$A$1:$P$1,0),FALSE)=0,"",VLOOKUP($E30,'BDD'!$A$1:$S$567,MATCH(I$10,'BDD'!$A$1:$P$1,0),FALSE)),"")</f>
        <v>256</v>
      </c>
      <c r="J30" s="549"/>
      <c r="K30" t="s" s="547">
        <f>_xlfn.IFERROR(IF(VLOOKUP($E30,'BDD'!$A$1:$S$567,MATCH(K$10,'BDD'!$A$1:$P$1,0),FALSE)=0,"",VLOOKUP($E30,'BDD'!$A$1:$S$567,MATCH(K$10,'BDD'!$A$1:$P$1,0),FALSE)),"")</f>
        <v>1488</v>
      </c>
      <c r="L30" s="550"/>
      <c r="M30" s="551"/>
      <c r="N30" s="551"/>
      <c r="O30" s="534"/>
      <c r="P30" s="890"/>
    </row>
    <row r="31" ht="130.05" customHeight="1" hidden="1">
      <c r="A31" s="887"/>
      <c r="B31" s="542"/>
      <c r="C31" t="s" s="543">
        <f>IF(LEFT(RIGHT($B$1,2),1)=" ",RIGHT($B$1,1),RIGHT($B$1,2))</f>
        <v>2298</v>
      </c>
      <c r="D31" s="544">
        <f>IF(LEFT(F31,14)="Bonne pratique",D30+1,D30)</f>
        <v>2</v>
      </c>
      <c r="E31" t="s" s="545">
        <f>C31&amp;D31&amp;RIGHT(F31,1)</f>
        <v>2311</v>
      </c>
      <c r="F31" t="s" s="552">
        <v>1776</v>
      </c>
      <c r="G31" t="s" s="540">
        <f>_xlfn.IFERROR(IF(VLOOKUP($E31,'BDD'!$A$1:$S$567,MATCH(G$10,'BDD'!$A$1:$P$1,0),FALSE)=0,"",VLOOKUP($E31,'BDD'!$A$1:$S$567,MATCH(G$10,'BDD'!$A$1:$P$1,0),FALSE)),"")</f>
      </c>
      <c r="H31" t="s" s="553">
        <f>IF(VLOOKUP(E31,'BDD'!$A$1:$S$567,15,FALSE)=0,"Critère non évalué","")</f>
        <v>1770</v>
      </c>
      <c r="I31" t="s" s="552">
        <f>_xlfn.IFERROR(IF(VLOOKUP($E31,'BDD'!$A$1:$S$567,MATCH(I$10,'BDD'!$A$1:$P$1,0),FALSE)=0,"",VLOOKUP($E31,'BDD'!$A$1:$S$567,MATCH(I$10,'BDD'!$A$1:$P$1,0),FALSE)),"")</f>
      </c>
      <c r="J31" s="556"/>
      <c r="K31" t="s" s="540">
        <f>_xlfn.IFERROR(IF(VLOOKUP($E31,'BDD'!$A$1:$S$567,MATCH(K$10,'BDD'!$A$1:$P$1,0),FALSE)=0,"",VLOOKUP($E31,'BDD'!$A$1:$S$567,MATCH(K$10,'BDD'!$A$1:$P$1,0),FALSE)),"")</f>
      </c>
      <c r="L31" s="550"/>
      <c r="M31" s="555"/>
      <c r="N31" s="555"/>
      <c r="O31" s="534"/>
      <c r="P31" s="890"/>
    </row>
    <row r="32" ht="130.05" customHeight="1" hidden="1">
      <c r="A32" s="887"/>
      <c r="B32" s="542"/>
      <c r="C32" t="s" s="543">
        <f>IF(LEFT(RIGHT($B$1,2),1)=" ",RIGHT($B$1,1),RIGHT($B$1,2))</f>
        <v>2298</v>
      </c>
      <c r="D32" s="544">
        <f>IF(LEFT(F32,14)="Bonne pratique",D31+1,D31)</f>
        <v>2</v>
      </c>
      <c r="E32" t="s" s="545">
        <f>C32&amp;D32&amp;RIGHT(F32,1)</f>
        <v>2312</v>
      </c>
      <c r="F32" t="s" s="546">
        <v>1778</v>
      </c>
      <c r="G32" t="s" s="547">
        <f>_xlfn.IFERROR(IF(VLOOKUP($E32,'BDD'!$A$1:$S$567,MATCH(G$10,'BDD'!$A$1:$P$1,0),FALSE)=0,"",VLOOKUP($E32,'BDD'!$A$1:$S$567,MATCH(G$10,'BDD'!$A$1:$P$1,0),FALSE)),"")</f>
      </c>
      <c r="H32" t="s" s="548">
        <f>IF(VLOOKUP(E32,'BDD'!$A$1:$S$567,15,FALSE)=0,"Critère non évalué","")</f>
        <v>1770</v>
      </c>
      <c r="I32" t="s" s="546">
        <f>_xlfn.IFERROR(IF(VLOOKUP($E32,'BDD'!$A$1:$S$567,MATCH(I$10,'BDD'!$A$1:$P$1,0),FALSE)=0,"",VLOOKUP($E32,'BDD'!$A$1:$S$567,MATCH(I$10,'BDD'!$A$1:$P$1,0),FALSE)),"")</f>
      </c>
      <c r="J32" s="549"/>
      <c r="K32" t="s" s="547">
        <f>_xlfn.IFERROR(IF(VLOOKUP($E32,'BDD'!$A$1:$S$567,MATCH(K$10,'BDD'!$A$1:$P$1,0),FALSE)=0,"",VLOOKUP($E32,'BDD'!$A$1:$S$567,MATCH(K$10,'BDD'!$A$1:$P$1,0),FALSE)),"")</f>
      </c>
      <c r="L32" s="550"/>
      <c r="M32" s="557"/>
      <c r="N32" s="557"/>
      <c r="O32" s="534"/>
      <c r="P32" s="890"/>
    </row>
    <row r="33" ht="130.05" customHeight="1" hidden="1">
      <c r="A33" s="887"/>
      <c r="B33" s="542"/>
      <c r="C33" t="s" s="543">
        <f>IF(LEFT(RIGHT($B$1,2),1)=" ",RIGHT($B$1,1),RIGHT($B$1,2))</f>
        <v>2298</v>
      </c>
      <c r="D33" s="544">
        <f>IF(LEFT(F33,14)="Bonne pratique",D32+1,D32)</f>
        <v>2</v>
      </c>
      <c r="E33" t="s" s="545">
        <f>C33&amp;D33&amp;RIGHT(F33,1)</f>
        <v>2313</v>
      </c>
      <c r="F33" t="s" s="552">
        <v>1780</v>
      </c>
      <c r="G33" t="s" s="540">
        <f>_xlfn.IFERROR(IF(VLOOKUP($E33,'BDD'!$A$1:$S$567,MATCH(G$10,'BDD'!$A$1:$P$1,0),FALSE)=0,"",VLOOKUP($E33,'BDD'!$A$1:$S$567,MATCH(G$10,'BDD'!$A$1:$P$1,0),FALSE)),"")</f>
      </c>
      <c r="H33" t="s" s="553">
        <f>IF(VLOOKUP(E33,'BDD'!$A$1:$S$567,15,FALSE)=0,"Critère non évalué","")</f>
        <v>1770</v>
      </c>
      <c r="I33" t="s" s="552">
        <f>_xlfn.IFERROR(IF(VLOOKUP($E33,'BDD'!$A$1:$S$567,MATCH(I$10,'BDD'!$A$1:$P$1,0),FALSE)=0,"",VLOOKUP($E33,'BDD'!$A$1:$S$567,MATCH(I$10,'BDD'!$A$1:$P$1,0),FALSE)),"")</f>
      </c>
      <c r="J33" s="554"/>
      <c r="K33" t="s" s="540">
        <f>_xlfn.IFERROR(IF(VLOOKUP($E33,'BDD'!$A$1:$S$567,MATCH(K$10,'BDD'!$A$1:$P$1,0),FALSE)=0,"",VLOOKUP($E33,'BDD'!$A$1:$S$567,MATCH(K$10,'BDD'!$A$1:$P$1,0),FALSE)),"")</f>
      </c>
      <c r="L33" s="550"/>
      <c r="M33" s="555"/>
      <c r="N33" s="555"/>
      <c r="O33" s="534"/>
      <c r="P33" s="890"/>
    </row>
    <row r="34" ht="130.05" customHeight="1" hidden="1">
      <c r="A34" s="887"/>
      <c r="B34" s="542"/>
      <c r="C34" t="s" s="543">
        <f>IF(LEFT(RIGHT($B$1,2),1)=" ",RIGHT($B$1,1),RIGHT($B$1,2))</f>
        <v>2298</v>
      </c>
      <c r="D34" s="544">
        <f>IF(LEFT(F34,14)="Bonne pratique",D33+1,D33)</f>
        <v>2</v>
      </c>
      <c r="E34" t="s" s="545">
        <f>C34&amp;D34&amp;RIGHT(F34,1)</f>
        <v>2314</v>
      </c>
      <c r="F34" t="s" s="546">
        <v>1782</v>
      </c>
      <c r="G34" t="s" s="547">
        <f>_xlfn.IFERROR(IF(VLOOKUP($E34,'BDD'!$A$1:$S$567,MATCH(G$10,'BDD'!$A$1:$P$1,0),FALSE)=0,"",VLOOKUP($E34,'BDD'!$A$1:$S$567,MATCH(G$10,'BDD'!$A$1:$P$1,0),FALSE)),"")</f>
      </c>
      <c r="H34" t="s" s="548">
        <f>IF(VLOOKUP(E34,'BDD'!$A$1:$S$567,15,FALSE)=0,"Critère non évalué","")</f>
        <v>1770</v>
      </c>
      <c r="I34" t="s" s="546">
        <f>_xlfn.IFERROR(IF(VLOOKUP($E34,'BDD'!$A$1:$S$567,MATCH(I$10,'BDD'!$A$1:$P$1,0),FALSE)=0,"",VLOOKUP($E34,'BDD'!$A$1:$S$567,MATCH(I$10,'BDD'!$A$1:$P$1,0),FALSE)),"")</f>
      </c>
      <c r="J34" s="549"/>
      <c r="K34" t="s" s="547">
        <f>_xlfn.IFERROR(IF(VLOOKUP($E34,'BDD'!$A$1:$S$567,MATCH(K$10,'BDD'!$A$1:$P$1,0),FALSE)=0,"",VLOOKUP($E34,'BDD'!$A$1:$S$567,MATCH(K$10,'BDD'!$A$1:$P$1,0),FALSE)),"")</f>
      </c>
      <c r="L34" s="550"/>
      <c r="M34" s="557"/>
      <c r="N34" s="557"/>
      <c r="O34" s="534"/>
      <c r="P34" s="890"/>
    </row>
    <row r="35" ht="18" customHeight="1">
      <c r="A35" s="887"/>
      <c r="B35" s="61"/>
      <c r="C35" t="s" s="513">
        <f>IF(LEFT(RIGHT($B$1,2),1)=" ",RIGHT($B$1,1),RIGHT($B$1,2))</f>
        <v>2298</v>
      </c>
      <c r="D35" s="514">
        <f>IF(LEFT(F35,14)="Bonne pratique",D34+1,D34)</f>
        <v>2</v>
      </c>
      <c r="E35" t="s" s="558">
        <f>C35&amp;D35&amp;RIGHT(F35,1)</f>
        <v>2308</v>
      </c>
      <c r="F35" s="559"/>
      <c r="G35" t="s" s="560">
        <f>IF('Suppl'!B96=2,"Le vecteur n'est pas utilisé","")</f>
      </c>
      <c r="H35" s="561"/>
      <c r="I35" s="559"/>
      <c r="J35" s="561"/>
      <c r="K35" s="561"/>
      <c r="L35" s="510"/>
      <c r="M35" s="559"/>
      <c r="N35" s="559"/>
      <c r="O35" s="61"/>
      <c r="P35" s="890"/>
    </row>
    <row r="36" ht="15" customHeight="1">
      <c r="A36" s="887"/>
      <c r="B36" s="61"/>
      <c r="C36" t="s" s="513">
        <f>IF(LEFT(RIGHT($B$1,2),1)=" ",RIGHT($B$1,1),RIGHT($B$1,2))</f>
        <v>2298</v>
      </c>
      <c r="D36" s="514">
        <f>IF(LEFT(F36,14)="Bonne pratique",D35+1,D35)</f>
        <v>2</v>
      </c>
      <c r="E36" t="s" s="558">
        <f>C36&amp;D36&amp;RIGHT(F36,1)</f>
        <v>2308</v>
      </c>
      <c r="F36" s="61"/>
      <c r="G36" s="61"/>
      <c r="H36" s="61"/>
      <c r="I36" s="61"/>
      <c r="J36" s="61"/>
      <c r="K36" s="61"/>
      <c r="L36" s="61"/>
      <c r="M36" s="61"/>
      <c r="N36" s="61"/>
      <c r="O36" s="61"/>
      <c r="P36" s="890"/>
    </row>
    <row r="37" ht="25.8" customHeight="1">
      <c r="A37" s="891"/>
      <c r="B37" s="512"/>
      <c r="C37" t="s" s="513">
        <f>IF(LEFT(RIGHT($B$1,2),1)=" ",RIGHT($B$1,1),RIGHT($B$1,2))</f>
        <v>2298</v>
      </c>
      <c r="D37" s="514">
        <f>IF(LEFT(F37,14)="Bonne pratique",D36+1,D36)</f>
        <v>3</v>
      </c>
      <c r="E37" t="s" s="558">
        <f>C37&amp;D37&amp;RIGHT(F37,1)</f>
        <v>2315</v>
      </c>
      <c r="F37" t="s" s="516">
        <v>1797</v>
      </c>
      <c r="G37" s="517"/>
      <c r="H37" s="518"/>
      <c r="I37" s="519"/>
      <c r="J37" t="s" s="520">
        <f>VLOOKUP(E44,'BDD'!$A$2:$N$567,6,FALSE)</f>
        <v>1493</v>
      </c>
      <c r="K37" s="521"/>
      <c r="L37" s="517"/>
      <c r="M37" s="517"/>
      <c r="N37" s="517"/>
      <c r="O37" s="512"/>
      <c r="P37" s="892"/>
    </row>
    <row r="38" ht="15" customHeight="1">
      <c r="A38" s="887"/>
      <c r="B38" s="61"/>
      <c r="C38" t="s" s="513">
        <f>IF(LEFT(RIGHT($B$1,2),1)=" ",RIGHT($B$1,1),RIGHT($B$1,2))</f>
        <v>2298</v>
      </c>
      <c r="D38" s="514">
        <f>IF(LEFT(F38,14)="Bonne pratique",D37+1,D37)</f>
        <v>3</v>
      </c>
      <c r="E38" t="s" s="558">
        <f>C38&amp;D38&amp;RIGHT(F38,1)</f>
        <v>2316</v>
      </c>
      <c r="F38" s="61"/>
      <c r="G38" s="61"/>
      <c r="H38" s="61"/>
      <c r="I38" s="61"/>
      <c r="J38" s="61"/>
      <c r="K38" s="61"/>
      <c r="L38" s="61"/>
      <c r="M38" s="61"/>
      <c r="N38" s="61"/>
      <c r="O38" s="61"/>
      <c r="P38" s="890"/>
    </row>
    <row r="39" ht="18" customHeight="1">
      <c r="A39" s="893"/>
      <c r="B39" s="524"/>
      <c r="C39" t="s" s="513">
        <f>IF(LEFT(RIGHT($B$1,2),1)=" ",RIGHT($B$1,1),RIGHT($B$1,2))</f>
        <v>2298</v>
      </c>
      <c r="D39" s="514">
        <f>IF(LEFT(F39,14)="Bonne pratique",D38+1,D38)</f>
        <v>3</v>
      </c>
      <c r="E39" t="s" s="558">
        <f>C39&amp;D39&amp;RIGHT(F39,1)</f>
        <v>2316</v>
      </c>
      <c r="F39" s="524"/>
      <c r="G39" s="524"/>
      <c r="H39" s="524"/>
      <c r="I39" s="525"/>
      <c r="J39" t="s" s="526">
        <v>1494</v>
      </c>
      <c r="K39" s="525"/>
      <c r="L39" s="524"/>
      <c r="M39" s="524"/>
      <c r="N39" s="524"/>
      <c r="O39" s="524"/>
      <c r="P39" s="894"/>
    </row>
    <row r="40" ht="18" customHeight="1">
      <c r="A40" s="887"/>
      <c r="B40" s="61"/>
      <c r="C40" t="s" s="513">
        <f>IF(LEFT(RIGHT($B$1,2),1)=" ",RIGHT($B$1,1),RIGHT($B$1,2))</f>
        <v>2298</v>
      </c>
      <c r="D40" s="514">
        <f>IF(LEFT(F40,14)="Bonne pratique",D39+1,D39)</f>
        <v>3</v>
      </c>
      <c r="E40" t="s" s="558">
        <f>C40&amp;D40&amp;RIGHT(F40,1)</f>
        <v>2316</v>
      </c>
      <c r="F40" s="61"/>
      <c r="G40" s="61"/>
      <c r="H40" s="61"/>
      <c r="I40" s="61"/>
      <c r="J40" s="528"/>
      <c r="K40" s="61"/>
      <c r="L40" s="61"/>
      <c r="M40" s="529"/>
      <c r="N40" s="529"/>
      <c r="O40" s="61"/>
      <c r="P40" s="890"/>
    </row>
    <row r="41" ht="15" customHeight="1">
      <c r="A41" s="887"/>
      <c r="B41" s="61"/>
      <c r="C41" t="s" s="513">
        <f>IF(LEFT(RIGHT($B$1,2),1)=" ",RIGHT($B$1,1),RIGHT($B$1,2))</f>
        <v>2298</v>
      </c>
      <c r="D41" s="514">
        <f>IF(LEFT(F41,14)="Bonne pratique",D40+1,D40)</f>
        <v>3</v>
      </c>
      <c r="E41" t="s" s="558">
        <f>C41&amp;D41&amp;RIGHT(F41,1)</f>
        <v>2316</v>
      </c>
      <c r="F41" s="61"/>
      <c r="G41" s="529"/>
      <c r="H41" s="529"/>
      <c r="I41" s="529"/>
      <c r="J41" s="530"/>
      <c r="K41" s="529"/>
      <c r="L41" s="542"/>
      <c r="M41" t="s" s="562">
        <v>1763</v>
      </c>
      <c r="N41" s="563"/>
      <c r="O41" s="534"/>
      <c r="P41" s="890"/>
    </row>
    <row r="42" ht="33" customHeight="1">
      <c r="A42" s="887"/>
      <c r="B42" s="61"/>
      <c r="C42" t="s" s="513">
        <f>IF(LEFT(RIGHT($B$1,2),1)=" ",RIGHT($B$1,1),RIGHT($B$1,2))</f>
        <v>2298</v>
      </c>
      <c r="D42" s="514">
        <f>IF(LEFT(F42,14)="Bonne pratique",D41+1,D41)</f>
        <v>3</v>
      </c>
      <c r="E42" t="s" s="558">
        <f>C42&amp;D42&amp;RIGHT(F42,1)</f>
        <v>2316</v>
      </c>
      <c r="F42" s="535"/>
      <c r="G42" t="s" s="536">
        <v>244</v>
      </c>
      <c r="H42" t="s" s="536">
        <v>1764</v>
      </c>
      <c r="I42" t="s" s="536">
        <v>1787</v>
      </c>
      <c r="J42" t="s" s="536">
        <v>1765</v>
      </c>
      <c r="K42" t="s" s="536">
        <v>1788</v>
      </c>
      <c r="L42" s="538"/>
      <c r="M42" t="s" s="539">
        <v>1766</v>
      </c>
      <c r="N42" t="s" s="540">
        <v>1767</v>
      </c>
      <c r="O42" s="534"/>
      <c r="P42" s="890"/>
    </row>
    <row r="43" ht="15" customHeight="1">
      <c r="A43" s="887"/>
      <c r="B43" s="61"/>
      <c r="C43" t="s" s="513">
        <f>IF(LEFT(RIGHT($B$1,2),1)=" ",RIGHT($B$1,1),RIGHT($B$1,2))</f>
        <v>2298</v>
      </c>
      <c r="D43" s="514">
        <f>IF(LEFT(F43,14)="Bonne pratique",D42+1,D42)</f>
        <v>3</v>
      </c>
      <c r="E43" t="s" s="558">
        <f>C43&amp;D43&amp;RIGHT(F43,1)</f>
        <v>2316</v>
      </c>
      <c r="F43" s="529"/>
      <c r="G43" s="541"/>
      <c r="H43" s="541"/>
      <c r="I43" s="541"/>
      <c r="J43" s="541"/>
      <c r="K43" s="541"/>
      <c r="L43" s="61"/>
      <c r="M43" s="541"/>
      <c r="N43" s="541"/>
      <c r="O43" s="61"/>
      <c r="P43" s="890"/>
    </row>
    <row r="44" ht="130.05" customHeight="1">
      <c r="A44" s="887"/>
      <c r="B44" s="542"/>
      <c r="C44" t="s" s="543">
        <f>IF(LEFT(RIGHT($B$1,2),1)=" ",RIGHT($B$1,1),RIGHT($B$1,2))</f>
        <v>2298</v>
      </c>
      <c r="D44" s="544">
        <f>IF(LEFT(F44,14)="Bonne pratique",D43+1,D43)</f>
        <v>3</v>
      </c>
      <c r="E44" t="s" s="545">
        <f>C44&amp;D44&amp;RIGHT(F44,1)</f>
        <v>2317</v>
      </c>
      <c r="F44" t="s" s="546">
        <v>1769</v>
      </c>
      <c r="G44" t="s" s="547">
        <f>_xlfn.IFERROR(IF(VLOOKUP($E44,'BDD'!$A$1:$S$567,MATCH(G$10,'BDD'!$A$1:$P$1,0),FALSE)=0,"",VLOOKUP($E44,'BDD'!$A$1:$S$567,MATCH(G$10,'BDD'!$A$1:$P$1,0),FALSE)),"")</f>
        <v>1496</v>
      </c>
      <c r="H44" t="s" s="548">
        <f>IF(VLOOKUP(E44,'BDD'!$A$1:$S$567,15,FALSE)=0,"Critère non évalué","")</f>
        <v>1770</v>
      </c>
      <c r="I44" t="s" s="546">
        <f>_xlfn.IFERROR(IF(VLOOKUP($E44,'BDD'!$A$1:$S$567,MATCH(I$10,'BDD'!$A$1:$P$1,0),FALSE)=0,"",VLOOKUP($E44,'BDD'!$A$1:$S$567,MATCH(I$10,'BDD'!$A$1:$P$1,0),FALSE)),"")</f>
        <v>283</v>
      </c>
      <c r="J44" s="549"/>
      <c r="K44" t="s" s="547">
        <f>_xlfn.IFERROR(IF(VLOOKUP($E44,'BDD'!$A$1:$S$567,MATCH(K$10,'BDD'!$A$1:$P$1,0),FALSE)=0,"",VLOOKUP($E44,'BDD'!$A$1:$S$567,MATCH(K$10,'BDD'!$A$1:$P$1,0),FALSE)),"")</f>
      </c>
      <c r="L44" s="550"/>
      <c r="M44" s="551"/>
      <c r="N44" s="551"/>
      <c r="O44" s="534"/>
      <c r="P44" s="890"/>
    </row>
    <row r="45" ht="130.05" customHeight="1">
      <c r="A45" s="887"/>
      <c r="B45" s="542"/>
      <c r="C45" t="s" s="543">
        <f>IF(LEFT(RIGHT($B$1,2),1)=" ",RIGHT($B$1,1),RIGHT($B$1,2))</f>
        <v>2298</v>
      </c>
      <c r="D45" s="544">
        <f>IF(LEFT(F45,14)="Bonne pratique",D44+1,D44)</f>
        <v>3</v>
      </c>
      <c r="E45" t="s" s="545">
        <f>C45&amp;D45&amp;RIGHT(F45,1)</f>
        <v>2318</v>
      </c>
      <c r="F45" t="s" s="552">
        <v>1772</v>
      </c>
      <c r="G45" t="s" s="540">
        <f>_xlfn.IFERROR(IF(VLOOKUP($E45,'BDD'!$A$1:$S$567,MATCH(G$10,'BDD'!$A$1:$P$1,0),FALSE)=0,"",VLOOKUP($E45,'BDD'!$A$1:$S$567,MATCH(G$10,'BDD'!$A$1:$P$1,0),FALSE)),"")</f>
        <v>1498</v>
      </c>
      <c r="H45" t="s" s="553">
        <f>IF(VLOOKUP(E45,'BDD'!$A$1:$S$567,15,FALSE)=0,"Critère non évalué","")</f>
        <v>1770</v>
      </c>
      <c r="I45" t="s" s="552">
        <f>_xlfn.IFERROR(IF(VLOOKUP($E45,'BDD'!$A$1:$S$567,MATCH(I$10,'BDD'!$A$1:$P$1,0),FALSE)=0,"",VLOOKUP($E45,'BDD'!$A$1:$S$567,MATCH(I$10,'BDD'!$A$1:$P$1,0),FALSE)),"")</f>
        <v>263</v>
      </c>
      <c r="J45" s="554"/>
      <c r="K45" t="s" s="540">
        <f>_xlfn.IFERROR(IF(VLOOKUP($E45,'BDD'!$A$1:$S$567,MATCH(K$10,'BDD'!$A$1:$P$1,0),FALSE)=0,"",VLOOKUP($E45,'BDD'!$A$1:$S$567,MATCH(K$10,'BDD'!$A$1:$P$1,0),FALSE)),"")</f>
        <v>1499</v>
      </c>
      <c r="L45" s="550"/>
      <c r="M45" s="555"/>
      <c r="N45" s="555"/>
      <c r="O45" s="534"/>
      <c r="P45" s="890"/>
    </row>
    <row r="46" ht="130.05" customHeight="1">
      <c r="A46" s="887"/>
      <c r="B46" s="542"/>
      <c r="C46" t="s" s="543">
        <f>IF(LEFT(RIGHT($B$1,2),1)=" ",RIGHT($B$1,1),RIGHT($B$1,2))</f>
        <v>2298</v>
      </c>
      <c r="D46" s="544">
        <f>IF(LEFT(F46,14)="Bonne pratique",D45+1,D45)</f>
        <v>3</v>
      </c>
      <c r="E46" t="s" s="545">
        <f>C46&amp;D46&amp;RIGHT(F46,1)</f>
        <v>2315</v>
      </c>
      <c r="F46" t="s" s="546">
        <v>1774</v>
      </c>
      <c r="G46" t="s" s="547">
        <f>_xlfn.IFERROR(IF(VLOOKUP($E46,'BDD'!$A$1:$S$567,MATCH(G$10,'BDD'!$A$1:$P$1,0),FALSE)=0,"",VLOOKUP($E46,'BDD'!$A$1:$S$567,MATCH(G$10,'BDD'!$A$1:$P$1,0),FALSE)),"")</f>
        <v>1501</v>
      </c>
      <c r="H46" t="s" s="548">
        <f>IF(VLOOKUP(E46,'BDD'!$A$1:$S$567,15,FALSE)=0,"Critère non évalué","")</f>
        <v>1770</v>
      </c>
      <c r="I46" t="s" s="546">
        <f>_xlfn.IFERROR(IF(VLOOKUP($E46,'BDD'!$A$1:$S$567,MATCH(I$10,'BDD'!$A$1:$P$1,0),FALSE)=0,"",VLOOKUP($E46,'BDD'!$A$1:$S$567,MATCH(I$10,'BDD'!$A$1:$P$1,0),FALSE)),"")</f>
        <v>271</v>
      </c>
      <c r="J46" s="549"/>
      <c r="K46" t="s" s="547">
        <f>_xlfn.IFERROR(IF(VLOOKUP($E46,'BDD'!$A$1:$S$567,MATCH(K$10,'BDD'!$A$1:$P$1,0),FALSE)=0,"",VLOOKUP($E46,'BDD'!$A$1:$S$567,MATCH(K$10,'BDD'!$A$1:$P$1,0),FALSE)),"")</f>
      </c>
      <c r="L46" s="550"/>
      <c r="M46" s="551"/>
      <c r="N46" s="551"/>
      <c r="O46" s="534"/>
      <c r="P46" s="890"/>
    </row>
    <row r="47" ht="120" customHeight="1">
      <c r="A47" s="887"/>
      <c r="B47" s="542"/>
      <c r="C47" t="s" s="543">
        <f>IF(LEFT(RIGHT($B$1,2),1)=" ",RIGHT($B$1,1),RIGHT($B$1,2))</f>
        <v>2298</v>
      </c>
      <c r="D47" s="544">
        <f>IF(LEFT(F47,14)="Bonne pratique",D46+1,D46)</f>
        <v>3</v>
      </c>
      <c r="E47" t="s" s="545">
        <f>C47&amp;D47&amp;RIGHT(F47,1)</f>
        <v>2319</v>
      </c>
      <c r="F47" t="s" s="552">
        <v>1776</v>
      </c>
      <c r="G47" t="s" s="540">
        <f>_xlfn.IFERROR(IF(VLOOKUP($E47,'BDD'!$A$1:$S$567,MATCH(G$10,'BDD'!$A$1:$P$1,0),FALSE)=0,"",VLOOKUP($E47,'BDD'!$A$1:$S$567,MATCH(G$10,'BDD'!$A$1:$P$1,0),FALSE)),"")</f>
        <v>1503</v>
      </c>
      <c r="H47" t="s" s="553">
        <f>IF(VLOOKUP(E47,'BDD'!$A$1:$S$567,15,FALSE)=0,"Critère non évalué","")</f>
        <v>1770</v>
      </c>
      <c r="I47" t="s" s="552">
        <f>_xlfn.IFERROR(IF(VLOOKUP($E47,'BDD'!$A$1:$S$567,MATCH(I$10,'BDD'!$A$1:$P$1,0),FALSE)=0,"",VLOOKUP($E47,'BDD'!$A$1:$S$567,MATCH(I$10,'BDD'!$A$1:$P$1,0),FALSE)),"")</f>
        <v>291</v>
      </c>
      <c r="J47" s="556"/>
      <c r="K47" t="s" s="540">
        <f>_xlfn.IFERROR(IF(VLOOKUP($E47,'BDD'!$A$1:$S$567,MATCH(K$10,'BDD'!$A$1:$P$1,0),FALSE)=0,"",VLOOKUP($E47,'BDD'!$A$1:$S$567,MATCH(K$10,'BDD'!$A$1:$P$1,0),FALSE)),"")</f>
        <v>1504</v>
      </c>
      <c r="L47" s="550"/>
      <c r="M47" s="555"/>
      <c r="N47" s="555"/>
      <c r="O47" s="534"/>
      <c r="P47" s="890"/>
    </row>
    <row r="48" ht="130.05" customHeight="1">
      <c r="A48" s="887"/>
      <c r="B48" s="542"/>
      <c r="C48" t="s" s="543">
        <f>IF(LEFT(RIGHT($B$1,2),1)=" ",RIGHT($B$1,1),RIGHT($B$1,2))</f>
        <v>2298</v>
      </c>
      <c r="D48" s="544">
        <f>IF(LEFT(F48,14)="Bonne pratique",D47+1,D47)</f>
        <v>3</v>
      </c>
      <c r="E48" t="s" s="545">
        <f>C48&amp;D48&amp;RIGHT(F48,1)</f>
        <v>2320</v>
      </c>
      <c r="F48" t="s" s="546">
        <v>1778</v>
      </c>
      <c r="G48" t="s" s="547">
        <f>_xlfn.IFERROR(IF(VLOOKUP($E48,'BDD'!$A$1:$S$567,MATCH(G$10,'BDD'!$A$1:$P$1,0),FALSE)=0,"",VLOOKUP($E48,'BDD'!$A$1:$S$567,MATCH(G$10,'BDD'!$A$1:$P$1,0),FALSE)),"")</f>
        <v>1506</v>
      </c>
      <c r="H48" t="s" s="548">
        <f>IF(VLOOKUP(E48,'BDD'!$A$1:$S$567,15,FALSE)=0,"Critère non évalué","")</f>
        <v>1770</v>
      </c>
      <c r="I48" t="s" s="546">
        <f>_xlfn.IFERROR(IF(VLOOKUP($E48,'BDD'!$A$1:$S$567,MATCH(I$10,'BDD'!$A$1:$P$1,0),FALSE)=0,"",VLOOKUP($E48,'BDD'!$A$1:$S$567,MATCH(I$10,'BDD'!$A$1:$P$1,0),FALSE)),"")</f>
        <v>291</v>
      </c>
      <c r="J48" s="549"/>
      <c r="K48" t="s" s="547">
        <f>_xlfn.IFERROR(IF(VLOOKUP($E48,'BDD'!$A$1:$S$567,MATCH(K$10,'BDD'!$A$1:$P$1,0),FALSE)=0,"",VLOOKUP($E48,'BDD'!$A$1:$S$567,MATCH(K$10,'BDD'!$A$1:$P$1,0),FALSE)),"")</f>
        <v>1507</v>
      </c>
      <c r="L48" s="550"/>
      <c r="M48" s="551"/>
      <c r="N48" s="551"/>
      <c r="O48" s="534"/>
      <c r="P48" s="890"/>
    </row>
    <row r="49" ht="120" customHeight="1">
      <c r="A49" s="887"/>
      <c r="B49" s="542"/>
      <c r="C49" t="s" s="543">
        <f>IF(LEFT(RIGHT($B$1,2),1)=" ",RIGHT($B$1,1),RIGHT($B$1,2))</f>
        <v>2298</v>
      </c>
      <c r="D49" s="544">
        <f>IF(LEFT(F49,14)="Bonne pratique",D48+1,D48)</f>
        <v>3</v>
      </c>
      <c r="E49" t="s" s="545">
        <f>C49&amp;D49&amp;RIGHT(F49,1)</f>
        <v>2321</v>
      </c>
      <c r="F49" t="s" s="552">
        <v>1780</v>
      </c>
      <c r="G49" t="s" s="540">
        <f>_xlfn.IFERROR(IF(VLOOKUP($E49,'BDD'!$A$1:$S$567,MATCH(G$10,'BDD'!$A$1:$P$1,0),FALSE)=0,"",VLOOKUP($E49,'BDD'!$A$1:$S$567,MATCH(G$10,'BDD'!$A$1:$P$1,0),FALSE)),"")</f>
        <v>1509</v>
      </c>
      <c r="H49" t="s" s="553">
        <f>IF(VLOOKUP(E49,'BDD'!$A$1:$S$567,15,FALSE)=0,"Critère non évalué","")</f>
        <v>1770</v>
      </c>
      <c r="I49" t="s" s="552">
        <f>_xlfn.IFERROR(IF(VLOOKUP($E49,'BDD'!$A$1:$S$567,MATCH(I$10,'BDD'!$A$1:$P$1,0),FALSE)=0,"",VLOOKUP($E49,'BDD'!$A$1:$S$567,MATCH(I$10,'BDD'!$A$1:$P$1,0),FALSE)),"")</f>
        <v>256</v>
      </c>
      <c r="J49" s="556"/>
      <c r="K49" t="s" s="540">
        <f>_xlfn.IFERROR(IF(VLOOKUP($E49,'BDD'!$A$1:$S$567,MATCH(K$10,'BDD'!$A$1:$P$1,0),FALSE)=0,"",VLOOKUP($E49,'BDD'!$A$1:$S$567,MATCH(K$10,'BDD'!$A$1:$P$1,0),FALSE)),"")</f>
      </c>
      <c r="L49" s="550"/>
      <c r="M49" s="555"/>
      <c r="N49" s="555"/>
      <c r="O49" s="534"/>
      <c r="P49" s="890"/>
    </row>
    <row r="50" ht="130.05" customHeight="1" hidden="1">
      <c r="A50" s="887"/>
      <c r="B50" s="542"/>
      <c r="C50" t="s" s="543">
        <f>IF(LEFT(RIGHT($B$1,2),1)=" ",RIGHT($B$1,1),RIGHT($B$1,2))</f>
        <v>2298</v>
      </c>
      <c r="D50" s="544">
        <f>IF(LEFT(F50,14)="Bonne pratique",D49+1,D49)</f>
        <v>3</v>
      </c>
      <c r="E50" t="s" s="545">
        <f>C50&amp;D50&amp;RIGHT(F50,1)</f>
        <v>2322</v>
      </c>
      <c r="F50" t="s" s="546">
        <v>1782</v>
      </c>
      <c r="G50" t="s" s="547">
        <f>_xlfn.IFERROR(IF(VLOOKUP($E50,'BDD'!$A$1:$S$567,MATCH(G$10,'BDD'!$A$1:$P$1,0),FALSE)=0,"",VLOOKUP($E50,'BDD'!$A$1:$S$567,MATCH(G$10,'BDD'!$A$1:$P$1,0),FALSE)),"")</f>
      </c>
      <c r="H50" t="s" s="548">
        <f>IF(VLOOKUP(E50,'BDD'!$A$1:$S$567,15,FALSE)=0,"Critère non évalué","")</f>
        <v>1770</v>
      </c>
      <c r="I50" t="s" s="546">
        <f>_xlfn.IFERROR(IF(VLOOKUP($E50,'BDD'!$A$1:$S$567,MATCH(I$10,'BDD'!$A$1:$P$1,0),FALSE)=0,"",VLOOKUP($E50,'BDD'!$A$1:$S$567,MATCH(I$10,'BDD'!$A$1:$P$1,0),FALSE)),"")</f>
      </c>
      <c r="J50" s="549"/>
      <c r="K50" t="s" s="547">
        <f>_xlfn.IFERROR(IF(VLOOKUP($E50,'BDD'!$A$1:$S$567,MATCH(K$10,'BDD'!$A$1:$P$1,0),FALSE)=0,"",VLOOKUP($E50,'BDD'!$A$1:$S$567,MATCH(K$10,'BDD'!$A$1:$P$1,0),FALSE)),"")</f>
      </c>
      <c r="L50" s="550"/>
      <c r="M50" s="551"/>
      <c r="N50" s="551"/>
      <c r="O50" s="534"/>
      <c r="P50" s="890"/>
    </row>
    <row r="51" ht="18" customHeight="1">
      <c r="A51" s="887"/>
      <c r="B51" s="61"/>
      <c r="C51" t="s" s="513">
        <f>IF(LEFT(RIGHT($B$1,2),1)=" ",RIGHT($B$1,1),RIGHT($B$1,2))</f>
        <v>2298</v>
      </c>
      <c r="D51" s="61"/>
      <c r="E51" s="565"/>
      <c r="F51" s="559"/>
      <c r="G51" s="561"/>
      <c r="H51" s="561"/>
      <c r="I51" s="561"/>
      <c r="J51" s="561"/>
      <c r="K51" s="561"/>
      <c r="L51" s="510"/>
      <c r="M51" s="559"/>
      <c r="N51" s="559"/>
      <c r="O51" s="61"/>
      <c r="P51" s="890"/>
    </row>
    <row r="52" ht="15" customHeight="1">
      <c r="A52" s="887"/>
      <c r="B52" s="61"/>
      <c r="C52" t="s" s="513">
        <f>IF(LEFT(RIGHT($B$1,2),1)=" ",RIGHT($B$1,1),RIGHT($B$1,2))</f>
        <v>2298</v>
      </c>
      <c r="D52" s="514">
        <f>IF(LEFT(F52,14)="Bonne pratique",D48+1,D48)</f>
        <v>3</v>
      </c>
      <c r="E52" t="s" s="558">
        <f>C52&amp;D52&amp;RIGHT(F52,1)</f>
        <v>2316</v>
      </c>
      <c r="F52" s="61"/>
      <c r="G52" s="61"/>
      <c r="H52" s="61"/>
      <c r="I52" s="61"/>
      <c r="J52" s="61"/>
      <c r="K52" s="61"/>
      <c r="L52" s="61"/>
      <c r="M52" s="61"/>
      <c r="N52" s="61"/>
      <c r="O52" s="61"/>
      <c r="P52" s="890"/>
    </row>
    <row r="53" ht="25.8" customHeight="1">
      <c r="A53" s="891"/>
      <c r="B53" s="512"/>
      <c r="C53" t="s" s="513">
        <f>IF(LEFT(RIGHT($B$1,2),1)=" ",RIGHT($B$1,1),RIGHT($B$1,2))</f>
        <v>2298</v>
      </c>
      <c r="D53" s="514">
        <f>IF(LEFT(F53,14)="Bonne pratique",D52+1,D52)</f>
        <v>4</v>
      </c>
      <c r="E53" t="s" s="558">
        <f>C53&amp;D53&amp;RIGHT(F53,1)</f>
        <v>2323</v>
      </c>
      <c r="F53" t="s" s="516">
        <v>1806</v>
      </c>
      <c r="G53" s="517"/>
      <c r="H53" s="518"/>
      <c r="I53" s="519"/>
      <c r="J53" t="s" s="520">
        <f>VLOOKUP(E60,'BDD'!$A$2:$N$567,6,FALSE)</f>
        <v>1511</v>
      </c>
      <c r="K53" s="521"/>
      <c r="L53" s="517"/>
      <c r="M53" s="517"/>
      <c r="N53" s="517"/>
      <c r="O53" s="512"/>
      <c r="P53" s="892"/>
    </row>
    <row r="54" ht="15" customHeight="1">
      <c r="A54" s="887"/>
      <c r="B54" s="61"/>
      <c r="C54" t="s" s="513">
        <f>IF(LEFT(RIGHT($B$1,2),1)=" ",RIGHT($B$1,1),RIGHT($B$1,2))</f>
        <v>2298</v>
      </c>
      <c r="D54" s="514">
        <f>IF(LEFT(F54,14)="Bonne pratique",D53+1,D53)</f>
        <v>4</v>
      </c>
      <c r="E54" t="s" s="558">
        <f>C54&amp;D54&amp;RIGHT(F54,1)</f>
        <v>2324</v>
      </c>
      <c r="F54" s="61"/>
      <c r="G54" s="61"/>
      <c r="H54" s="61"/>
      <c r="I54" s="61"/>
      <c r="J54" s="61"/>
      <c r="K54" s="61"/>
      <c r="L54" s="61"/>
      <c r="M54" s="61"/>
      <c r="N54" s="61"/>
      <c r="O54" s="61"/>
      <c r="P54" s="890"/>
    </row>
    <row r="55" ht="18" customHeight="1">
      <c r="A55" s="893"/>
      <c r="B55" s="524"/>
      <c r="C55" t="s" s="513">
        <f>IF(LEFT(RIGHT($B$1,2),1)=" ",RIGHT($B$1,1),RIGHT($B$1,2))</f>
        <v>2298</v>
      </c>
      <c r="D55" s="514">
        <f>IF(LEFT(F55,14)="Bonne pratique",D54+1,D54)</f>
        <v>4</v>
      </c>
      <c r="E55" t="s" s="558">
        <f>C55&amp;D55&amp;RIGHT(F55,1)</f>
        <v>2324</v>
      </c>
      <c r="F55" s="524"/>
      <c r="G55" s="524"/>
      <c r="H55" s="524"/>
      <c r="I55" s="525"/>
      <c r="J55" t="s" s="526">
        <v>1512</v>
      </c>
      <c r="K55" s="525"/>
      <c r="L55" s="524"/>
      <c r="M55" s="524"/>
      <c r="N55" s="524"/>
      <c r="O55" s="524"/>
      <c r="P55" s="894"/>
    </row>
    <row r="56" ht="18" customHeight="1">
      <c r="A56" s="887"/>
      <c r="B56" s="61"/>
      <c r="C56" t="s" s="513">
        <f>IF(LEFT(RIGHT($B$1,2),1)=" ",RIGHT($B$1,1),RIGHT($B$1,2))</f>
        <v>2298</v>
      </c>
      <c r="D56" s="514">
        <f>IF(LEFT(F56,14)="Bonne pratique",D55+1,D55)</f>
        <v>4</v>
      </c>
      <c r="E56" t="s" s="558">
        <f>C56&amp;D56&amp;RIGHT(F56,1)</f>
        <v>2324</v>
      </c>
      <c r="F56" s="61"/>
      <c r="G56" s="61"/>
      <c r="H56" s="61"/>
      <c r="I56" s="61"/>
      <c r="J56" s="528"/>
      <c r="K56" s="61"/>
      <c r="L56" s="61"/>
      <c r="M56" s="529"/>
      <c r="N56" s="529"/>
      <c r="O56" s="61"/>
      <c r="P56" s="890"/>
    </row>
    <row r="57" ht="15" customHeight="1">
      <c r="A57" s="887"/>
      <c r="B57" s="61"/>
      <c r="C57" t="s" s="513">
        <f>IF(LEFT(RIGHT($B$1,2),1)=" ",RIGHT($B$1,1),RIGHT($B$1,2))</f>
        <v>2298</v>
      </c>
      <c r="D57" s="514">
        <f>IF(LEFT(F57,14)="Bonne pratique",D56+1,D56)</f>
        <v>4</v>
      </c>
      <c r="E57" t="s" s="558">
        <f>C57&amp;D57&amp;RIGHT(F57,1)</f>
        <v>2324</v>
      </c>
      <c r="F57" s="61"/>
      <c r="G57" s="529"/>
      <c r="H57" s="529"/>
      <c r="I57" s="529"/>
      <c r="J57" s="530"/>
      <c r="K57" s="529"/>
      <c r="L57" s="542"/>
      <c r="M57" t="s" s="562">
        <v>1763</v>
      </c>
      <c r="N57" s="563"/>
      <c r="O57" s="534"/>
      <c r="P57" s="890"/>
    </row>
    <row r="58" ht="33" customHeight="1">
      <c r="A58" s="887"/>
      <c r="B58" s="61"/>
      <c r="C58" t="s" s="513">
        <f>IF(LEFT(RIGHT($B$1,2),1)=" ",RIGHT($B$1,1),RIGHT($B$1,2))</f>
        <v>2298</v>
      </c>
      <c r="D58" s="514">
        <f>IF(LEFT(F58,14)="Bonne pratique",D57+1,D57)</f>
        <v>4</v>
      </c>
      <c r="E58" t="s" s="558">
        <f>C58&amp;D58&amp;RIGHT(F58,1)</f>
        <v>2324</v>
      </c>
      <c r="F58" s="535"/>
      <c r="G58" t="s" s="536">
        <v>244</v>
      </c>
      <c r="H58" t="s" s="536">
        <v>1764</v>
      </c>
      <c r="I58" t="s" s="536">
        <v>1787</v>
      </c>
      <c r="J58" t="s" s="536">
        <v>1765</v>
      </c>
      <c r="K58" t="s" s="536">
        <v>1788</v>
      </c>
      <c r="L58" s="538"/>
      <c r="M58" t="s" s="539">
        <v>1766</v>
      </c>
      <c r="N58" t="s" s="540">
        <v>1767</v>
      </c>
      <c r="O58" s="534"/>
      <c r="P58" s="890"/>
    </row>
    <row r="59" ht="15" customHeight="1">
      <c r="A59" s="887"/>
      <c r="B59" s="61"/>
      <c r="C59" t="s" s="513">
        <f>IF(LEFT(RIGHT($B$1,2),1)=" ",RIGHT($B$1,1),RIGHT($B$1,2))</f>
        <v>2298</v>
      </c>
      <c r="D59" s="514">
        <f>IF(LEFT(F59,14)="Bonne pratique",D58+1,D58)</f>
        <v>4</v>
      </c>
      <c r="E59" t="s" s="558">
        <f>C59&amp;D59&amp;RIGHT(F59,1)</f>
        <v>2324</v>
      </c>
      <c r="F59" s="529"/>
      <c r="G59" s="541"/>
      <c r="H59" s="541"/>
      <c r="I59" s="541"/>
      <c r="J59" s="541"/>
      <c r="K59" s="541"/>
      <c r="L59" s="61"/>
      <c r="M59" s="541"/>
      <c r="N59" s="541"/>
      <c r="O59" s="61"/>
      <c r="P59" s="890"/>
    </row>
    <row r="60" ht="130.05" customHeight="1">
      <c r="A60" s="887"/>
      <c r="B60" s="542"/>
      <c r="C60" t="s" s="543">
        <f>IF(LEFT(RIGHT($B$1,2),1)=" ",RIGHT($B$1,1),RIGHT($B$1,2))</f>
        <v>2298</v>
      </c>
      <c r="D60" s="544">
        <f>IF(LEFT(F60,14)="Bonne pratique",D59+1,D59)</f>
        <v>4</v>
      </c>
      <c r="E60" t="s" s="545">
        <f>C60&amp;D60&amp;RIGHT(F60,1)</f>
        <v>2325</v>
      </c>
      <c r="F60" t="s" s="546">
        <v>1769</v>
      </c>
      <c r="G60" t="s" s="547">
        <f>_xlfn.IFERROR(IF(VLOOKUP($E60,'BDD'!$A$1:$S$567,MATCH(G$10,'BDD'!$A$1:$P$1,0),FALSE)=0,"",VLOOKUP($E60,'BDD'!$A$1:$S$567,MATCH(G$10,'BDD'!$A$1:$P$1,0),FALSE)),"")</f>
        <v>1513</v>
      </c>
      <c r="H60" t="s" s="548">
        <f>IF(VLOOKUP(E60,'BDD'!$A$1:$S$567,15,FALSE)=0,"Critère non évalué","")</f>
        <v>1770</v>
      </c>
      <c r="I60" t="s" s="546">
        <f>_xlfn.IFERROR(IF(VLOOKUP($E60,'BDD'!$A$1:$S$567,MATCH(I$10,'BDD'!$A$1:$P$1,0),FALSE)=0,"",VLOOKUP($E60,'BDD'!$A$1:$S$567,MATCH(I$10,'BDD'!$A$1:$P$1,0),FALSE)),"")</f>
        <v>283</v>
      </c>
      <c r="J60" s="549"/>
      <c r="K60" t="s" s="547">
        <f>_xlfn.IFERROR(IF(VLOOKUP($E60,'BDD'!$A$1:$S$567,MATCH(K$10,'BDD'!$A$1:$P$1,0),FALSE)=0,"",VLOOKUP($E60,'BDD'!$A$1:$S$567,MATCH(K$10,'BDD'!$A$1:$P$1,0),FALSE)),"")</f>
        <v>1514</v>
      </c>
      <c r="L60" s="550"/>
      <c r="M60" s="551"/>
      <c r="N60" s="551"/>
      <c r="O60" s="534"/>
      <c r="P60" s="890"/>
    </row>
    <row r="61" ht="130.05" customHeight="1">
      <c r="A61" s="887"/>
      <c r="B61" s="542"/>
      <c r="C61" t="s" s="543">
        <f>IF(LEFT(RIGHT($B$1,2),1)=" ",RIGHT($B$1,1),RIGHT($B$1,2))</f>
        <v>2298</v>
      </c>
      <c r="D61" s="544">
        <f>IF(LEFT(F61,14)="Bonne pratique",D60+1,D60)</f>
        <v>4</v>
      </c>
      <c r="E61" t="s" s="545">
        <f>C61&amp;D61&amp;RIGHT(F61,1)</f>
        <v>2326</v>
      </c>
      <c r="F61" t="s" s="552">
        <v>1772</v>
      </c>
      <c r="G61" t="s" s="540">
        <f>_xlfn.IFERROR(IF(VLOOKUP($E61,'BDD'!$A$1:$S$567,MATCH(G$10,'BDD'!$A$1:$P$1,0),FALSE)=0,"",VLOOKUP($E61,'BDD'!$A$1:$S$567,MATCH(G$10,'BDD'!$A$1:$P$1,0),FALSE)),"")</f>
        <v>1516</v>
      </c>
      <c r="H61" t="s" s="553">
        <f>IF(VLOOKUP(E61,'BDD'!$A$1:$S$567,15,FALSE)=0,"Critère non évalué","")</f>
        <v>1770</v>
      </c>
      <c r="I61" t="s" s="552">
        <f>_xlfn.IFERROR(IF(VLOOKUP($E61,'BDD'!$A$1:$S$567,MATCH(I$10,'BDD'!$A$1:$P$1,0),FALSE)=0,"",VLOOKUP($E61,'BDD'!$A$1:$S$567,MATCH(I$10,'BDD'!$A$1:$P$1,0),FALSE)),"")</f>
        <v>263</v>
      </c>
      <c r="J61" s="554"/>
      <c r="K61" t="s" s="540">
        <f>_xlfn.IFERROR(IF(VLOOKUP($E61,'BDD'!$A$1:$S$567,MATCH(K$10,'BDD'!$A$1:$P$1,0),FALSE)=0,"",VLOOKUP($E61,'BDD'!$A$1:$S$567,MATCH(K$10,'BDD'!$A$1:$P$1,0),FALSE)),"")</f>
        <v>1517</v>
      </c>
      <c r="L61" s="550"/>
      <c r="M61" s="555"/>
      <c r="N61" s="555"/>
      <c r="O61" s="534"/>
      <c r="P61" s="890"/>
    </row>
    <row r="62" ht="130.05" customHeight="1">
      <c r="A62" s="887"/>
      <c r="B62" s="542"/>
      <c r="C62" t="s" s="543">
        <f>IF(LEFT(RIGHT($B$1,2),1)=" ",RIGHT($B$1,1),RIGHT($B$1,2))</f>
        <v>2298</v>
      </c>
      <c r="D62" s="544">
        <f>IF(LEFT(F62,14)="Bonne pratique",D61+1,D61)</f>
        <v>4</v>
      </c>
      <c r="E62" t="s" s="545">
        <f>C62&amp;D62&amp;RIGHT(F62,1)</f>
        <v>2327</v>
      </c>
      <c r="F62" t="s" s="546">
        <v>1774</v>
      </c>
      <c r="G62" t="s" s="547">
        <f>_xlfn.IFERROR(IF(VLOOKUP($E62,'BDD'!$A$1:$S$567,MATCH(G$10,'BDD'!$A$1:$P$1,0),FALSE)=0,"",VLOOKUP($E62,'BDD'!$A$1:$S$567,MATCH(G$10,'BDD'!$A$1:$P$1,0),FALSE)),"")</f>
        <v>1519</v>
      </c>
      <c r="H62" t="s" s="548">
        <f>IF(VLOOKUP(E62,'BDD'!$A$1:$S$567,15,FALSE)=0,"Critère non évalué","")</f>
        <v>1770</v>
      </c>
      <c r="I62" t="s" s="546">
        <f>_xlfn.IFERROR(IF(VLOOKUP($E62,'BDD'!$A$1:$S$567,MATCH(I$10,'BDD'!$A$1:$P$1,0),FALSE)=0,"",VLOOKUP($E62,'BDD'!$A$1:$S$567,MATCH(I$10,'BDD'!$A$1:$P$1,0),FALSE)),"")</f>
        <v>263</v>
      </c>
      <c r="J62" s="549"/>
      <c r="K62" t="s" s="547">
        <f>_xlfn.IFERROR(IF(VLOOKUP($E62,'BDD'!$A$1:$S$567,MATCH(K$10,'BDD'!$A$1:$P$1,0),FALSE)=0,"",VLOOKUP($E62,'BDD'!$A$1:$S$567,MATCH(K$10,'BDD'!$A$1:$P$1,0),FALSE)),"")</f>
        <v>1520</v>
      </c>
      <c r="L62" s="550"/>
      <c r="M62" s="551"/>
      <c r="N62" s="551"/>
      <c r="O62" s="534"/>
      <c r="P62" s="890"/>
    </row>
    <row r="63" ht="130.05" customHeight="1" hidden="1">
      <c r="A63" s="887"/>
      <c r="B63" s="542"/>
      <c r="C63" t="s" s="543">
        <f>IF(LEFT(RIGHT($B$1,2),1)=" ",RIGHT($B$1,1),RIGHT($B$1,2))</f>
        <v>2298</v>
      </c>
      <c r="D63" s="544">
        <f>IF(LEFT(F63,14)="Bonne pratique",D62+1,D62)</f>
        <v>4</v>
      </c>
      <c r="E63" t="s" s="545">
        <f>C63&amp;D63&amp;RIGHT(F63,1)</f>
        <v>2323</v>
      </c>
      <c r="F63" t="s" s="552">
        <v>1776</v>
      </c>
      <c r="G63" t="s" s="540">
        <f>_xlfn.IFERROR(IF(VLOOKUP($E63,'BDD'!$A$1:$S$567,MATCH(G$10,'BDD'!$A$1:$P$1,0),FALSE)=0,"",VLOOKUP($E63,'BDD'!$A$1:$S$567,MATCH(G$10,'BDD'!$A$1:$P$1,0),FALSE)),"")</f>
      </c>
      <c r="H63" t="s" s="553">
        <f>IF(VLOOKUP(E63,'BDD'!$A$1:$S$567,15,FALSE)=0,"Critère non évalué","")</f>
        <v>1770</v>
      </c>
      <c r="I63" t="s" s="552">
        <f>_xlfn.IFERROR(IF(VLOOKUP($E63,'BDD'!$A$1:$S$567,MATCH(I$10,'BDD'!$A$1:$P$1,0),FALSE)=0,"",VLOOKUP($E63,'BDD'!$A$1:$S$567,MATCH(I$10,'BDD'!$A$1:$P$1,0),FALSE)),"")</f>
      </c>
      <c r="J63" s="556"/>
      <c r="K63" t="s" s="540">
        <f>_xlfn.IFERROR(IF(VLOOKUP($E63,'BDD'!$A$1:$S$567,MATCH(K$10,'BDD'!$A$1:$P$1,0),FALSE)=0,"",VLOOKUP($E63,'BDD'!$A$1:$S$567,MATCH(K$10,'BDD'!$A$1:$P$1,0),FALSE)),"")</f>
      </c>
      <c r="L63" s="550"/>
      <c r="M63" s="555"/>
      <c r="N63" s="555"/>
      <c r="O63" s="534"/>
      <c r="P63" s="890"/>
    </row>
    <row r="64" ht="130.05" customHeight="1" hidden="1">
      <c r="A64" s="887"/>
      <c r="B64" s="542"/>
      <c r="C64" t="s" s="543">
        <f>IF(LEFT(RIGHT($B$1,2),1)=" ",RIGHT($B$1,1),RIGHT($B$1,2))</f>
        <v>2298</v>
      </c>
      <c r="D64" s="544">
        <f>IF(LEFT(F64,14)="Bonne pratique",D63+1,D63)</f>
        <v>4</v>
      </c>
      <c r="E64" t="s" s="545">
        <f>C64&amp;D64&amp;RIGHT(F64,1)</f>
        <v>2328</v>
      </c>
      <c r="F64" t="s" s="546">
        <v>1778</v>
      </c>
      <c r="G64" s="567">
        <f>_xlfn.IFERROR(IF(VLOOKUP($E64,'BDD'!$A$1:$S$567,MATCH(G$10,'BDD'!$A$1:$P$1,0),FALSE)=0,"",VLOOKUP($E64,'BDD'!$A$1:$S$567,MATCH(G$10,'BDD'!$A$1:$P$1,0),FALSE)),"")</f>
      </c>
      <c r="H64" s="568">
        <f>IF(VLOOKUP(E64,'BDD'!$A$1:$S$567,15,FALSE)=0,"Critère non évalué","")</f>
      </c>
      <c r="I64" s="569">
        <f>_xlfn.IFERROR(IF(VLOOKUP($E64,'BDD'!$A$1:$S$567,MATCH(I$10,'BDD'!$A$1:$P$1,0),FALSE)=0,"",VLOOKUP($E64,'BDD'!$A$1:$S$567,MATCH(I$10,'BDD'!$A$1:$P$1,0),FALSE)),"")</f>
      </c>
      <c r="J64" s="549"/>
      <c r="K64" s="567">
        <f>_xlfn.IFERROR(IF(VLOOKUP($E64,'BDD'!$A$1:$S$567,MATCH(K$10,'BDD'!$A$1:$P$1,0),FALSE)=0,"",VLOOKUP($E64,'BDD'!$A$1:$S$567,MATCH(K$10,'BDD'!$A$1:$P$1,0),FALSE)),"")</f>
      </c>
      <c r="L64" s="550"/>
      <c r="M64" s="557"/>
      <c r="N64" s="557"/>
      <c r="O64" s="534"/>
      <c r="P64" s="890"/>
    </row>
    <row r="65" ht="130.05" customHeight="1" hidden="1">
      <c r="A65" s="887"/>
      <c r="B65" s="542"/>
      <c r="C65" t="s" s="543">
        <f>IF(LEFT(RIGHT($B$1,2),1)=" ",RIGHT($B$1,1),RIGHT($B$1,2))</f>
        <v>2298</v>
      </c>
      <c r="D65" s="544">
        <f>IF(LEFT(F65,14)="Bonne pratique",D64+1,D64)</f>
        <v>4</v>
      </c>
      <c r="E65" s="566">
        <f>C65&amp;D65&amp;RIGHT(F65,1)</f>
      </c>
      <c r="F65" t="s" s="552">
        <v>1780</v>
      </c>
      <c r="G65" s="557">
        <f>_xlfn.IFERROR(IF(VLOOKUP($E65,'BDD'!$A$1:$S$567,MATCH(G$10,'BDD'!$A$1:$P$1,0),FALSE)=0,"",VLOOKUP($E65,'BDD'!$A$1:$S$567,MATCH(G$10,'BDD'!$A$1:$P$1,0),FALSE)),"")</f>
      </c>
      <c r="H65" s="570">
        <f>IF(VLOOKUP(E65,'BDD'!$A$1:$S$567,15,FALSE)=0,"Critère non évalué","")</f>
      </c>
      <c r="I65" s="571">
        <f>_xlfn.IFERROR(IF(VLOOKUP($E65,'BDD'!$A$1:$S$567,MATCH(I$10,'BDD'!$A$1:$P$1,0),FALSE)=0,"",VLOOKUP($E65,'BDD'!$A$1:$S$567,MATCH(I$10,'BDD'!$A$1:$P$1,0),FALSE)),"")</f>
      </c>
      <c r="J65" s="554"/>
      <c r="K65" s="557">
        <f>_xlfn.IFERROR(IF(VLOOKUP($E65,'BDD'!$A$1:$S$567,MATCH(K$10,'BDD'!$A$1:$P$1,0),FALSE)=0,"",VLOOKUP($E65,'BDD'!$A$1:$S$567,MATCH(K$10,'BDD'!$A$1:$P$1,0),FALSE)),"")</f>
      </c>
      <c r="L65" s="550"/>
      <c r="M65" s="555"/>
      <c r="N65" s="555"/>
      <c r="O65" s="534"/>
      <c r="P65" s="890"/>
    </row>
    <row r="66" ht="130.05" customHeight="1" hidden="1">
      <c r="A66" s="887"/>
      <c r="B66" s="542"/>
      <c r="C66" t="s" s="543">
        <f>IF(LEFT(RIGHT($B$1,2),1)=" ",RIGHT($B$1,1),RIGHT($B$1,2))</f>
        <v>2298</v>
      </c>
      <c r="D66" s="550">
        <f>IF(LEFT(F66,14)="Bonne pratique",D65+1,D65)</f>
      </c>
      <c r="E66" s="566">
        <f>C66&amp;D66&amp;RIGHT(F66,1)</f>
      </c>
      <c r="F66" t="s" s="546">
        <v>1782</v>
      </c>
      <c r="G66" s="567">
        <f>_xlfn.IFERROR(IF(VLOOKUP($E66,'BDD'!$A$1:$S$567,MATCH(G$10,'BDD'!$A$1:$P$1,0),FALSE)=0,"",VLOOKUP($E66,'BDD'!$A$1:$S$567,MATCH(G$10,'BDD'!$A$1:$P$1,0),FALSE)),"")</f>
      </c>
      <c r="H66" s="568">
        <f>IF(VLOOKUP(E66,'BDD'!$A$1:$S$567,15,FALSE)=0,"Critère non évalué","")</f>
      </c>
      <c r="I66" s="569">
        <f>_xlfn.IFERROR(IF(VLOOKUP($E66,'BDD'!$A$1:$S$567,MATCH(I$10,'BDD'!$A$1:$P$1,0),FALSE)=0,"",VLOOKUP($E66,'BDD'!$A$1:$S$567,MATCH(I$10,'BDD'!$A$1:$P$1,0),FALSE)),"")</f>
      </c>
      <c r="J66" s="549"/>
      <c r="K66" s="567">
        <f>_xlfn.IFERROR(IF(VLOOKUP($E66,'BDD'!$A$1:$S$567,MATCH(K$10,'BDD'!$A$1:$P$1,0),FALSE)=0,"",VLOOKUP($E66,'BDD'!$A$1:$S$567,MATCH(K$10,'BDD'!$A$1:$P$1,0),FALSE)),"")</f>
      </c>
      <c r="L66" s="550"/>
      <c r="M66" s="557"/>
      <c r="N66" s="557"/>
      <c r="O66" s="534"/>
      <c r="P66" s="890"/>
    </row>
    <row r="67" ht="15" customHeight="1">
      <c r="A67" s="887"/>
      <c r="B67" s="61"/>
      <c r="C67" t="s" s="513">
        <f>IF(LEFT(RIGHT($B$1,2),1)=" ",RIGHT($B$1,1),RIGHT($B$1,2))</f>
        <v>2298</v>
      </c>
      <c r="D67" s="61">
        <f>IF(LEFT(F67,14)="Bonne pratique",D66+1,D66)</f>
      </c>
      <c r="E67" s="565">
        <f>C67&amp;D67&amp;RIGHT(F67,1)</f>
      </c>
      <c r="F67" s="559"/>
      <c r="G67" s="559"/>
      <c r="H67" s="559"/>
      <c r="I67" s="559"/>
      <c r="J67" s="559"/>
      <c r="K67" s="559"/>
      <c r="L67" s="61"/>
      <c r="M67" s="559"/>
      <c r="N67" s="559"/>
      <c r="O67" s="61"/>
      <c r="P67" s="890"/>
    </row>
    <row r="68" ht="14.4" customHeight="1">
      <c r="A68" s="887"/>
      <c r="B68" s="61"/>
      <c r="C68" t="s" s="513">
        <f>IF(LEFT(RIGHT($B$1,2),1)=" ",RIGHT($B$1,1),RIGHT($B$1,2))</f>
        <v>2298</v>
      </c>
      <c r="D68" s="61"/>
      <c r="E68" s="565"/>
      <c r="F68" s="61"/>
      <c r="G68" s="61"/>
      <c r="H68" s="61"/>
      <c r="I68" s="61"/>
      <c r="J68" s="61"/>
      <c r="K68" s="61"/>
      <c r="L68" s="61"/>
      <c r="M68" s="61"/>
      <c r="N68" s="61"/>
      <c r="O68" s="61"/>
      <c r="P68" s="890"/>
    </row>
    <row r="69" ht="14.4" customHeight="1">
      <c r="A69" s="887"/>
      <c r="B69" s="61"/>
      <c r="C69" t="s" s="513">
        <f>IF(LEFT(RIGHT($B$1,2),1)=" ",RIGHT($B$1,1),RIGHT($B$1,2))</f>
        <v>2298</v>
      </c>
      <c r="D69" s="61"/>
      <c r="E69" s="565"/>
      <c r="F69" s="61"/>
      <c r="G69" s="61"/>
      <c r="H69" s="61"/>
      <c r="I69" s="61"/>
      <c r="J69" s="61"/>
      <c r="K69" s="61"/>
      <c r="L69" s="61"/>
      <c r="M69" s="61"/>
      <c r="N69" s="61"/>
      <c r="O69" s="61"/>
      <c r="P69" s="890"/>
    </row>
    <row r="70" ht="14.4" customHeight="1">
      <c r="A70" s="887"/>
      <c r="B70" s="61"/>
      <c r="C70" t="s" s="513">
        <f>IF(LEFT(RIGHT($B$1,2),1)=" ",RIGHT($B$1,1),RIGHT($B$1,2))</f>
        <v>2298</v>
      </c>
      <c r="D70" s="61"/>
      <c r="E70" s="565"/>
      <c r="F70" s="61"/>
      <c r="G70" s="61"/>
      <c r="H70" s="61"/>
      <c r="I70" s="61"/>
      <c r="J70" s="61"/>
      <c r="K70" s="61"/>
      <c r="L70" s="61"/>
      <c r="M70" s="61"/>
      <c r="N70" s="61"/>
      <c r="O70" s="61"/>
      <c r="P70" s="890"/>
    </row>
    <row r="71" ht="25.8" customHeight="1">
      <c r="A71" s="891"/>
      <c r="B71" s="512"/>
      <c r="C71" t="s" s="513">
        <f>IF(LEFT(RIGHT($B$1,2),1)=" ",RIGHT($B$1,1),RIGHT($B$1,2))</f>
        <v>2298</v>
      </c>
      <c r="D71" s="61">
        <f>IF(LEFT(F71,14)="Bonne pratique",D67+1,D67)</f>
      </c>
      <c r="E71" s="565">
        <f>C71&amp;D71&amp;RIGHT(F71,1)</f>
      </c>
      <c r="F71" t="s" s="516">
        <v>1814</v>
      </c>
      <c r="G71" s="517"/>
      <c r="H71" s="518"/>
      <c r="I71" s="519"/>
      <c r="J71" s="519">
        <f>VLOOKUP(E78,'BDD'!$A$2:$N$567,6,FALSE)</f>
      </c>
      <c r="K71" s="521"/>
      <c r="L71" s="517"/>
      <c r="M71" s="517"/>
      <c r="N71" s="517"/>
      <c r="O71" s="512"/>
      <c r="P71" s="892"/>
    </row>
    <row r="72" ht="15" customHeight="1">
      <c r="A72" s="887"/>
      <c r="B72" s="61"/>
      <c r="C72" t="s" s="513">
        <f>IF(LEFT(RIGHT($B$1,2),1)=" ",RIGHT($B$1,1),RIGHT($B$1,2))</f>
        <v>2298</v>
      </c>
      <c r="D72" s="61">
        <f>IF(LEFT(F72,14)="Bonne pratique",D71+1,D71)</f>
      </c>
      <c r="E72" s="565">
        <f>C72&amp;D72&amp;RIGHT(F72,1)</f>
      </c>
      <c r="F72" s="61"/>
      <c r="G72" s="61"/>
      <c r="H72" s="61"/>
      <c r="I72" s="61"/>
      <c r="J72" s="61"/>
      <c r="K72" s="61"/>
      <c r="L72" s="61"/>
      <c r="M72" s="61"/>
      <c r="N72" s="61"/>
      <c r="O72" s="61"/>
      <c r="P72" s="890"/>
    </row>
    <row r="73" ht="18" customHeight="1">
      <c r="A73" s="893"/>
      <c r="B73" s="524"/>
      <c r="C73" t="s" s="513">
        <f>IF(LEFT(RIGHT($B$1,2),1)=" ",RIGHT($B$1,1),RIGHT($B$1,2))</f>
        <v>2298</v>
      </c>
      <c r="D73" s="61">
        <f>IF(LEFT(F73,14)="Bonne pratique",D72+1,D72)</f>
      </c>
      <c r="E73" s="565">
        <f>C73&amp;D73&amp;RIGHT(F73,1)</f>
      </c>
      <c r="F73" s="524"/>
      <c r="G73" s="524"/>
      <c r="H73" s="524"/>
      <c r="I73" s="525"/>
      <c r="J73" t="s" s="526">
        <v>1526</v>
      </c>
      <c r="K73" s="525"/>
      <c r="L73" s="524"/>
      <c r="M73" s="524"/>
      <c r="N73" s="524"/>
      <c r="O73" s="524"/>
      <c r="P73" s="894"/>
    </row>
    <row r="74" ht="18" customHeight="1">
      <c r="A74" s="887"/>
      <c r="B74" s="61"/>
      <c r="C74" t="s" s="513">
        <f>IF(LEFT(RIGHT($B$1,2),1)=" ",RIGHT($B$1,1),RIGHT($B$1,2))</f>
        <v>2298</v>
      </c>
      <c r="D74" s="61">
        <f>IF(LEFT(F74,14)="Bonne pratique",D73+1,D73)</f>
      </c>
      <c r="E74" s="565">
        <f>C74&amp;D74&amp;RIGHT(F74,1)</f>
      </c>
      <c r="F74" s="61"/>
      <c r="G74" s="61"/>
      <c r="H74" s="61"/>
      <c r="I74" s="61"/>
      <c r="J74" s="528"/>
      <c r="K74" s="61"/>
      <c r="L74" s="61"/>
      <c r="M74" s="529"/>
      <c r="N74" s="529"/>
      <c r="O74" s="61"/>
      <c r="P74" s="890"/>
    </row>
    <row r="75" ht="15" customHeight="1">
      <c r="A75" s="887"/>
      <c r="B75" s="61"/>
      <c r="C75" t="s" s="513">
        <f>IF(LEFT(RIGHT($B$1,2),1)=" ",RIGHT($B$1,1),RIGHT($B$1,2))</f>
        <v>2298</v>
      </c>
      <c r="D75" s="61">
        <f>IF(LEFT(F75,14)="Bonne pratique",D74+1,D74)</f>
      </c>
      <c r="E75" s="565">
        <f>C75&amp;D75&amp;RIGHT(F75,1)</f>
      </c>
      <c r="F75" s="61"/>
      <c r="G75" s="529"/>
      <c r="H75" s="529"/>
      <c r="I75" s="529"/>
      <c r="J75" s="530"/>
      <c r="K75" s="529"/>
      <c r="L75" s="542"/>
      <c r="M75" t="s" s="562">
        <v>1763</v>
      </c>
      <c r="N75" s="563"/>
      <c r="O75" s="534"/>
      <c r="P75" s="890"/>
    </row>
    <row r="76" ht="33" customHeight="1">
      <c r="A76" s="887"/>
      <c r="B76" s="61"/>
      <c r="C76" t="s" s="513">
        <f>IF(LEFT(RIGHT($B$1,2),1)=" ",RIGHT($B$1,1),RIGHT($B$1,2))</f>
        <v>2298</v>
      </c>
      <c r="D76" s="61">
        <f>IF(LEFT(F76,14)="Bonne pratique",D75+1,D75)</f>
      </c>
      <c r="E76" s="565">
        <f>C76&amp;D76&amp;RIGHT(F76,1)</f>
      </c>
      <c r="F76" s="564"/>
      <c r="G76" t="s" s="536">
        <v>244</v>
      </c>
      <c r="H76" t="s" s="536">
        <v>1764</v>
      </c>
      <c r="I76" t="s" s="536">
        <v>1787</v>
      </c>
      <c r="J76" t="s" s="536">
        <v>1765</v>
      </c>
      <c r="K76" t="s" s="536">
        <v>1788</v>
      </c>
      <c r="L76" s="538"/>
      <c r="M76" t="s" s="539">
        <v>1766</v>
      </c>
      <c r="N76" t="s" s="540">
        <v>1767</v>
      </c>
      <c r="O76" s="534"/>
      <c r="P76" s="890"/>
    </row>
    <row r="77" ht="15" customHeight="1">
      <c r="A77" s="887"/>
      <c r="B77" s="61"/>
      <c r="C77" t="s" s="513">
        <f>IF(LEFT(RIGHT($B$1,2),1)=" ",RIGHT($B$1,1),RIGHT($B$1,2))</f>
        <v>2298</v>
      </c>
      <c r="D77" s="61">
        <f>IF(LEFT(F77,14)="Bonne pratique",D76+1,D76)</f>
      </c>
      <c r="E77" s="565">
        <f>C77&amp;D77&amp;RIGHT(F77,1)</f>
      </c>
      <c r="F77" s="529"/>
      <c r="G77" s="541"/>
      <c r="H77" s="541"/>
      <c r="I77" s="541"/>
      <c r="J77" s="541"/>
      <c r="K77" s="541"/>
      <c r="L77" s="61"/>
      <c r="M77" s="541"/>
      <c r="N77" s="541"/>
      <c r="O77" s="61"/>
      <c r="P77" s="890"/>
    </row>
    <row r="78" ht="130.05" customHeight="1">
      <c r="A78" s="887"/>
      <c r="B78" s="542"/>
      <c r="C78" t="s" s="543">
        <f>IF(LEFT(RIGHT($B$1,2),1)=" ",RIGHT($B$1,1),RIGHT($B$1,2))</f>
        <v>2298</v>
      </c>
      <c r="D78" s="550">
        <f>IF(LEFT(F78,14)="Bonne pratique",D77+1,D77)</f>
      </c>
      <c r="E78" s="566">
        <f>C78&amp;D78&amp;RIGHT(F78,1)</f>
      </c>
      <c r="F78" t="s" s="546">
        <v>1769</v>
      </c>
      <c r="G78" s="567">
        <f>_xlfn.IFERROR(IF(VLOOKUP($E78,'BDD'!$A$1:$S$567,MATCH(G$10,'BDD'!$A$1:$P$1,0),FALSE)=0,"",VLOOKUP($E78,'BDD'!$A$1:$S$567,MATCH(G$10,'BDD'!$A$1:$P$1,0),FALSE)),"")</f>
      </c>
      <c r="H78" s="568">
        <f>IF(VLOOKUP(E78,'BDD'!$A$1:$S$567,15,FALSE)=0,"Critère non évalué","")</f>
      </c>
      <c r="I78" s="569">
        <f>_xlfn.IFERROR(IF(VLOOKUP($E78,'BDD'!$A$1:$S$567,MATCH(I$10,'BDD'!$A$1:$P$1,0),FALSE)=0,"",VLOOKUP($E78,'BDD'!$A$1:$S$567,MATCH(I$10,'BDD'!$A$1:$P$1,0),FALSE)),"")</f>
      </c>
      <c r="J78" s="549"/>
      <c r="K78" s="567">
        <f>_xlfn.IFERROR(IF(VLOOKUP($E78,'BDD'!$A$1:$S$567,MATCH(K$10,'BDD'!$A$1:$P$1,0),FALSE)=0,"",VLOOKUP($E78,'BDD'!$A$1:$S$567,MATCH(K$10,'BDD'!$A$1:$P$1,0),FALSE)),"")</f>
      </c>
      <c r="L78" s="550"/>
      <c r="M78" s="551"/>
      <c r="N78" s="551"/>
      <c r="O78" s="534"/>
      <c r="P78" s="890"/>
    </row>
    <row r="79" ht="130.05" customHeight="1">
      <c r="A79" s="887"/>
      <c r="B79" s="542"/>
      <c r="C79" t="s" s="543">
        <f>IF(LEFT(RIGHT($B$1,2),1)=" ",RIGHT($B$1,1),RIGHT($B$1,2))</f>
        <v>2298</v>
      </c>
      <c r="D79" s="550">
        <f>IF(LEFT(F79,14)="Bonne pratique",D78+1,D78)</f>
      </c>
      <c r="E79" s="566">
        <f>C79&amp;D79&amp;RIGHT(F79,1)</f>
      </c>
      <c r="F79" t="s" s="552">
        <v>1772</v>
      </c>
      <c r="G79" s="557">
        <f>_xlfn.IFERROR(IF(VLOOKUP($E79,'BDD'!$A$1:$S$567,MATCH(G$10,'BDD'!$A$1:$P$1,0),FALSE)=0,"",VLOOKUP($E79,'BDD'!$A$1:$S$567,MATCH(G$10,'BDD'!$A$1:$P$1,0),FALSE)),"")</f>
      </c>
      <c r="H79" s="570">
        <f>IF(VLOOKUP(E79,'BDD'!$A$1:$S$567,15,FALSE)=0,"Critère non évalué","")</f>
      </c>
      <c r="I79" s="571">
        <f>_xlfn.IFERROR(IF(VLOOKUP($E79,'BDD'!$A$1:$S$567,MATCH(I$10,'BDD'!$A$1:$P$1,0),FALSE)=0,"",VLOOKUP($E79,'BDD'!$A$1:$S$567,MATCH(I$10,'BDD'!$A$1:$P$1,0),FALSE)),"")</f>
      </c>
      <c r="J79" s="554"/>
      <c r="K79" s="557">
        <f>_xlfn.IFERROR(IF(VLOOKUP($E79,'BDD'!$A$1:$S$567,MATCH(K$10,'BDD'!$A$1:$P$1,0),FALSE)=0,"",VLOOKUP($E79,'BDD'!$A$1:$S$567,MATCH(K$10,'BDD'!$A$1:$P$1,0),FALSE)),"")</f>
      </c>
      <c r="L79" s="550"/>
      <c r="M79" s="555"/>
      <c r="N79" s="555"/>
      <c r="O79" s="534"/>
      <c r="P79" s="890"/>
    </row>
    <row r="80" ht="130.05" customHeight="1">
      <c r="A80" s="887"/>
      <c r="B80" s="542"/>
      <c r="C80" t="s" s="543">
        <f>IF(LEFT(RIGHT($B$1,2),1)=" ",RIGHT($B$1,1),RIGHT($B$1,2))</f>
        <v>2298</v>
      </c>
      <c r="D80" s="550">
        <f>IF(LEFT(F80,14)="Bonne pratique",D79+1,D79)</f>
      </c>
      <c r="E80" s="566">
        <f>C80&amp;D80&amp;RIGHT(F80,1)</f>
      </c>
      <c r="F80" t="s" s="546">
        <v>1774</v>
      </c>
      <c r="G80" s="567">
        <f>_xlfn.IFERROR(IF(VLOOKUP($E80,'BDD'!$A$1:$S$567,MATCH(G$10,'BDD'!$A$1:$P$1,0),FALSE)=0,"",VLOOKUP($E80,'BDD'!$A$1:$S$567,MATCH(G$10,'BDD'!$A$1:$P$1,0),FALSE)),"")</f>
      </c>
      <c r="H80" s="568">
        <f>IF(VLOOKUP(E80,'BDD'!$A$1:$S$567,15,FALSE)=0,"Critère non évalué","")</f>
      </c>
      <c r="I80" s="569">
        <f>_xlfn.IFERROR(IF(VLOOKUP($E80,'BDD'!$A$1:$S$567,MATCH(I$10,'BDD'!$A$1:$P$1,0),FALSE)=0,"",VLOOKUP($E80,'BDD'!$A$1:$S$567,MATCH(I$10,'BDD'!$A$1:$P$1,0),FALSE)),"")</f>
      </c>
      <c r="J80" s="549"/>
      <c r="K80" s="567">
        <f>_xlfn.IFERROR(IF(VLOOKUP($E80,'BDD'!$A$1:$S$567,MATCH(K$10,'BDD'!$A$1:$P$1,0),FALSE)=0,"",VLOOKUP($E80,'BDD'!$A$1:$S$567,MATCH(K$10,'BDD'!$A$1:$P$1,0),FALSE)),"")</f>
      </c>
      <c r="L80" s="550"/>
      <c r="M80" s="551"/>
      <c r="N80" s="551"/>
      <c r="O80" s="534"/>
      <c r="P80" s="890"/>
    </row>
    <row r="81" ht="130.05" customHeight="1">
      <c r="A81" s="887"/>
      <c r="B81" s="542"/>
      <c r="C81" t="s" s="543">
        <f>IF(LEFT(RIGHT($B$1,2),1)=" ",RIGHT($B$1,1),RIGHT($B$1,2))</f>
        <v>2298</v>
      </c>
      <c r="D81" s="550">
        <f>IF(LEFT(F81,14)="Bonne pratique",D80+1,D80)</f>
      </c>
      <c r="E81" s="566">
        <f>C81&amp;D81&amp;RIGHT(F81,1)</f>
      </c>
      <c r="F81" t="s" s="552">
        <v>1776</v>
      </c>
      <c r="G81" s="557">
        <f>_xlfn.IFERROR(IF(VLOOKUP($E81,'BDD'!$A$1:$S$567,MATCH(G$10,'BDD'!$A$1:$P$1,0),FALSE)=0,"",VLOOKUP($E81,'BDD'!$A$1:$S$567,MATCH(G$10,'BDD'!$A$1:$P$1,0),FALSE)),"")</f>
      </c>
      <c r="H81" s="570">
        <f>IF(VLOOKUP(E81,'BDD'!$A$1:$S$567,15,FALSE)=0,"Critère non évalué","")</f>
      </c>
      <c r="I81" s="571">
        <f>_xlfn.IFERROR(IF(VLOOKUP($E81,'BDD'!$A$1:$S$567,MATCH(I$10,'BDD'!$A$1:$P$1,0),FALSE)=0,"",VLOOKUP($E81,'BDD'!$A$1:$S$567,MATCH(I$10,'BDD'!$A$1:$P$1,0),FALSE)),"")</f>
      </c>
      <c r="J81" s="556"/>
      <c r="K81" s="557">
        <f>_xlfn.IFERROR(IF(VLOOKUP($E81,'BDD'!$A$1:$S$567,MATCH(K$10,'BDD'!$A$1:$P$1,0),FALSE)=0,"",VLOOKUP($E81,'BDD'!$A$1:$S$567,MATCH(K$10,'BDD'!$A$1:$P$1,0),FALSE)),"")</f>
      </c>
      <c r="L81" s="550"/>
      <c r="M81" s="555"/>
      <c r="N81" s="555"/>
      <c r="O81" s="534"/>
      <c r="P81" s="890"/>
    </row>
    <row r="82" ht="130.05" customHeight="1">
      <c r="A82" s="887"/>
      <c r="B82" s="542"/>
      <c r="C82" t="s" s="543">
        <f>IF(LEFT(RIGHT($B$1,2),1)=" ",RIGHT($B$1,1),RIGHT($B$1,2))</f>
        <v>2298</v>
      </c>
      <c r="D82" s="550">
        <f>IF(LEFT(F82,14)="Bonne pratique",D81+1,D81)</f>
      </c>
      <c r="E82" s="566">
        <f>C82&amp;D82&amp;RIGHT(F82,1)</f>
      </c>
      <c r="F82" t="s" s="546">
        <v>1778</v>
      </c>
      <c r="G82" s="567">
        <f>_xlfn.IFERROR(IF(VLOOKUP($E82,'BDD'!$A$1:$S$567,MATCH(G$10,'BDD'!$A$1:$P$1,0),FALSE)=0,"",VLOOKUP($E82,'BDD'!$A$1:$S$567,MATCH(G$10,'BDD'!$A$1:$P$1,0),FALSE)),"")</f>
      </c>
      <c r="H82" s="568">
        <f>IF(VLOOKUP(E82,'BDD'!$A$1:$S$567,15,FALSE)=0,"Critère non évalué","")</f>
      </c>
      <c r="I82" s="569">
        <f>_xlfn.IFERROR(IF(VLOOKUP($E82,'BDD'!$A$1:$S$567,MATCH(I$10,'BDD'!$A$1:$P$1,0),FALSE)=0,"",VLOOKUP($E82,'BDD'!$A$1:$S$567,MATCH(I$10,'BDD'!$A$1:$P$1,0),FALSE)),"")</f>
      </c>
      <c r="J82" s="549"/>
      <c r="K82" s="567">
        <f>_xlfn.IFERROR(IF(VLOOKUP($E82,'BDD'!$A$1:$S$567,MATCH(K$10,'BDD'!$A$1:$P$1,0),FALSE)=0,"",VLOOKUP($E82,'BDD'!$A$1:$S$567,MATCH(K$10,'BDD'!$A$1:$P$1,0),FALSE)),"")</f>
      </c>
      <c r="L82" s="550"/>
      <c r="M82" s="557"/>
      <c r="N82" s="557"/>
      <c r="O82" s="534"/>
      <c r="P82" s="890"/>
    </row>
    <row r="83" ht="130.05" customHeight="1">
      <c r="A83" s="887"/>
      <c r="B83" s="542"/>
      <c r="C83" t="s" s="543">
        <f>IF(LEFT(RIGHT($B$1,2),1)=" ",RIGHT($B$1,1),RIGHT($B$1,2))</f>
        <v>2298</v>
      </c>
      <c r="D83" s="550">
        <f>IF(LEFT(F83,14)="Bonne pratique",D82+1,D82)</f>
      </c>
      <c r="E83" s="566">
        <f>C83&amp;D83&amp;RIGHT(F83,1)</f>
      </c>
      <c r="F83" t="s" s="552">
        <v>1780</v>
      </c>
      <c r="G83" s="557">
        <f>_xlfn.IFERROR(IF(VLOOKUP($E83,'BDD'!$A$1:$S$567,MATCH(G$10,'BDD'!$A$1:$P$1,0),FALSE)=0,"",VLOOKUP($E83,'BDD'!$A$1:$S$567,MATCH(G$10,'BDD'!$A$1:$P$1,0),FALSE)),"")</f>
      </c>
      <c r="H83" s="570">
        <f>IF(VLOOKUP(E83,'BDD'!$A$1:$S$567,15,FALSE)=0,"Critère non évalué","")</f>
      </c>
      <c r="I83" s="571">
        <f>_xlfn.IFERROR(IF(VLOOKUP($E83,'BDD'!$A$1:$S$567,MATCH(I$10,'BDD'!$A$1:$P$1,0),FALSE)=0,"",VLOOKUP($E83,'BDD'!$A$1:$S$567,MATCH(I$10,'BDD'!$A$1:$P$1,0),FALSE)),"")</f>
      </c>
      <c r="J83" s="556"/>
      <c r="K83" s="557">
        <f>_xlfn.IFERROR(IF(VLOOKUP($E83,'BDD'!$A$1:$S$567,MATCH(K$10,'BDD'!$A$1:$P$1,0),FALSE)=0,"",VLOOKUP($E83,'BDD'!$A$1:$S$567,MATCH(K$10,'BDD'!$A$1:$P$1,0),FALSE)),"")</f>
      </c>
      <c r="L83" s="550"/>
      <c r="M83" s="555"/>
      <c r="N83" s="555"/>
      <c r="O83" s="534"/>
      <c r="P83" s="890"/>
    </row>
    <row r="84" ht="130.05" customHeight="1">
      <c r="A84" s="887"/>
      <c r="B84" s="542"/>
      <c r="C84" t="s" s="543">
        <f>IF(LEFT(RIGHT($B$1,2),1)=" ",RIGHT($B$1,1),RIGHT($B$1,2))</f>
        <v>2298</v>
      </c>
      <c r="D84" s="550">
        <f>IF(LEFT(F84,14)="Bonne pratique",D83+1,D83)</f>
      </c>
      <c r="E84" s="566">
        <f>C84&amp;D84&amp;RIGHT(F84,1)</f>
      </c>
      <c r="F84" t="s" s="546">
        <v>1782</v>
      </c>
      <c r="G84" s="567">
        <f>_xlfn.IFERROR(IF(VLOOKUP($E84,'BDD'!$A$1:$S$567,MATCH(G$10,'BDD'!$A$1:$P$1,0),FALSE)=0,"",VLOOKUP($E84,'BDD'!$A$1:$S$567,MATCH(G$10,'BDD'!$A$1:$P$1,0),FALSE)),"")</f>
      </c>
      <c r="H84" s="568">
        <f>IF(VLOOKUP(E84,'BDD'!$A$1:$S$567,15,FALSE)=0,"Critère non évalué","")</f>
      </c>
      <c r="I84" s="569">
        <f>_xlfn.IFERROR(IF(VLOOKUP($E84,'BDD'!$A$1:$S$567,MATCH(I$10,'BDD'!$A$1:$P$1,0),FALSE)=0,"",VLOOKUP($E84,'BDD'!$A$1:$S$567,MATCH(I$10,'BDD'!$A$1:$P$1,0),FALSE)),"")</f>
      </c>
      <c r="J84" s="549"/>
      <c r="K84" s="567">
        <f>_xlfn.IFERROR(IF(VLOOKUP($E84,'BDD'!$A$1:$S$567,MATCH(K$10,'BDD'!$A$1:$P$1,0),FALSE)=0,"",VLOOKUP($E84,'BDD'!$A$1:$S$567,MATCH(K$10,'BDD'!$A$1:$P$1,0),FALSE)),"")</f>
      </c>
      <c r="L84" s="550"/>
      <c r="M84" s="557"/>
      <c r="N84" s="557"/>
      <c r="O84" s="534"/>
      <c r="P84" s="890"/>
    </row>
    <row r="85" ht="14.4" customHeight="1" hidden="1">
      <c r="A85" s="887"/>
      <c r="B85" s="61"/>
      <c r="C85" t="s" s="513">
        <f>IF(LEFT(RIGHT($B$1,2),1)=" ",RIGHT($B$1,1),RIGHT($B$1,2))</f>
        <v>2298</v>
      </c>
      <c r="D85" s="61"/>
      <c r="E85" s="61"/>
      <c r="F85" s="541"/>
      <c r="G85" s="541"/>
      <c r="H85" s="541"/>
      <c r="I85" s="541"/>
      <c r="J85" s="541"/>
      <c r="K85" s="541"/>
      <c r="L85" s="61"/>
      <c r="M85" s="541"/>
      <c r="N85" s="541"/>
      <c r="O85" s="61"/>
      <c r="P85" s="890"/>
    </row>
    <row r="86" ht="14.4" customHeight="1" hidden="1">
      <c r="A86" s="887"/>
      <c r="B86" s="61"/>
      <c r="C86" t="s" s="513">
        <f>IF(LEFT(RIGHT($B$1,2),1)=" ",RIGHT($B$1,1),RIGHT($B$1,2))</f>
        <v>2298</v>
      </c>
      <c r="D86" s="61"/>
      <c r="E86" s="61"/>
      <c r="F86" s="541"/>
      <c r="G86" s="541"/>
      <c r="H86" s="541"/>
      <c r="I86" s="541"/>
      <c r="J86" s="541"/>
      <c r="K86" s="541"/>
      <c r="L86" s="61"/>
      <c r="M86" s="541"/>
      <c r="N86" s="541"/>
      <c r="O86" s="61"/>
      <c r="P86" s="890"/>
    </row>
    <row r="87" ht="25.8" customHeight="1" hidden="1">
      <c r="A87" s="891"/>
      <c r="B87" s="512"/>
      <c r="C87" t="s" s="513">
        <f>IF(LEFT(RIGHT($B$1,2),1)=" ",RIGHT($B$1,1),RIGHT($B$1,2))</f>
        <v>2298</v>
      </c>
      <c r="D87" s="61">
        <f>IF(LEFT(F87,14)="Bonne pratique",D83+1,D83)</f>
      </c>
      <c r="E87" s="565">
        <f>C87&amp;D87&amp;RIGHT(F87,1)</f>
      </c>
      <c r="F87" t="s" s="828">
        <v>1887</v>
      </c>
      <c r="G87" s="829"/>
      <c r="H87" s="830"/>
      <c r="I87" s="831"/>
      <c r="J87" s="831">
        <f>VLOOKUP(E94,'BDD'!$A$2:$N$567,6,FALSE)</f>
      </c>
      <c r="K87" s="832"/>
      <c r="L87" s="517"/>
      <c r="M87" s="829"/>
      <c r="N87" s="829"/>
      <c r="O87" s="512"/>
      <c r="P87" s="892"/>
    </row>
    <row r="88" ht="9" customHeight="1" hidden="1">
      <c r="A88" s="887"/>
      <c r="B88" s="61"/>
      <c r="C88" t="s" s="513">
        <f>IF(LEFT(RIGHT($B$1,2),1)=" ",RIGHT($B$1,1),RIGHT($B$1,2))</f>
        <v>2298</v>
      </c>
      <c r="D88" s="61">
        <f>IF(LEFT(F88,14)="Bonne pratique",D87+1,D87)</f>
      </c>
      <c r="E88" s="565">
        <f>C88&amp;D88&amp;RIGHT(F88,1)</f>
      </c>
      <c r="F88" s="541"/>
      <c r="G88" s="541"/>
      <c r="H88" s="541"/>
      <c r="I88" s="541"/>
      <c r="J88" s="541"/>
      <c r="K88" s="541"/>
      <c r="L88" s="61"/>
      <c r="M88" s="541"/>
      <c r="N88" s="541"/>
      <c r="O88" s="61"/>
      <c r="P88" s="890"/>
    </row>
    <row r="89" ht="18" customHeight="1" hidden="1">
      <c r="A89" s="893"/>
      <c r="B89" s="524"/>
      <c r="C89" t="s" s="513">
        <f>IF(LEFT(RIGHT($B$1,2),1)=" ",RIGHT($B$1,1),RIGHT($B$1,2))</f>
        <v>2298</v>
      </c>
      <c r="D89" s="61">
        <f>IF(LEFT(F89,14)="Bonne pratique",D88+1,D88)</f>
      </c>
      <c r="E89" s="565">
        <f>C89&amp;D89&amp;RIGHT(F89,1)</f>
      </c>
      <c r="F89" s="833"/>
      <c r="G89" s="833"/>
      <c r="H89" s="833"/>
      <c r="I89" s="834"/>
      <c r="J89" s="835"/>
      <c r="K89" s="834"/>
      <c r="L89" s="524"/>
      <c r="M89" s="833"/>
      <c r="N89" s="833"/>
      <c r="O89" s="524"/>
      <c r="P89" s="894"/>
    </row>
    <row r="90" ht="18" customHeight="1" hidden="1">
      <c r="A90" s="887"/>
      <c r="B90" s="61"/>
      <c r="C90" t="s" s="513">
        <f>IF(LEFT(RIGHT($B$1,2),1)=" ",RIGHT($B$1,1),RIGHT($B$1,2))</f>
        <v>2298</v>
      </c>
      <c r="D90" s="61">
        <f>IF(LEFT(F90,14)="Bonne pratique",D89+1,D89)</f>
      </c>
      <c r="E90" s="565">
        <f>C90&amp;D90&amp;RIGHT(F90,1)</f>
      </c>
      <c r="F90" s="541"/>
      <c r="G90" s="541"/>
      <c r="H90" s="541"/>
      <c r="I90" s="541"/>
      <c r="J90" s="836"/>
      <c r="K90" s="541"/>
      <c r="L90" s="61"/>
      <c r="M90" s="541"/>
      <c r="N90" s="541"/>
      <c r="O90" s="61"/>
      <c r="P90" s="890"/>
    </row>
    <row r="91" ht="9" customHeight="1" hidden="1">
      <c r="A91" s="887"/>
      <c r="B91" s="61"/>
      <c r="C91" t="s" s="513">
        <f>IF(LEFT(RIGHT($B$1,2),1)=" ",RIGHT($B$1,1),RIGHT($B$1,2))</f>
        <v>2298</v>
      </c>
      <c r="D91" s="61">
        <f>IF(LEFT(F91,14)="Bonne pratique",D90+1,D90)</f>
      </c>
      <c r="E91" s="565">
        <f>C91&amp;D91&amp;RIGHT(F91,1)</f>
      </c>
      <c r="F91" s="541"/>
      <c r="G91" s="541"/>
      <c r="H91" s="541"/>
      <c r="I91" s="541"/>
      <c r="J91" s="837"/>
      <c r="K91" s="541"/>
      <c r="L91" s="542"/>
      <c r="M91" t="s" s="562">
        <v>1763</v>
      </c>
      <c r="N91" s="563"/>
      <c r="O91" s="534"/>
      <c r="P91" s="890"/>
    </row>
    <row r="92" ht="33" customHeight="1" hidden="1">
      <c r="A92" s="887"/>
      <c r="B92" s="61"/>
      <c r="C92" t="s" s="513">
        <f>IF(LEFT(RIGHT($B$1,2),1)=" ",RIGHT($B$1,1),RIGHT($B$1,2))</f>
        <v>2298</v>
      </c>
      <c r="D92" s="61">
        <f>IF(LEFT(F92,14)="Bonne pratique",D91+1,D91)</f>
      </c>
      <c r="E92" s="565">
        <f>C92&amp;D92&amp;RIGHT(F92,1)</f>
      </c>
      <c r="F92" s="838"/>
      <c r="G92" t="s" s="536">
        <v>244</v>
      </c>
      <c r="H92" t="s" s="536">
        <v>1764</v>
      </c>
      <c r="I92" t="s" s="536">
        <v>1787</v>
      </c>
      <c r="J92" t="s" s="536">
        <v>1765</v>
      </c>
      <c r="K92" t="s" s="536">
        <v>1788</v>
      </c>
      <c r="L92" s="538"/>
      <c r="M92" t="s" s="539">
        <v>1766</v>
      </c>
      <c r="N92" t="s" s="540">
        <v>1767</v>
      </c>
      <c r="O92" s="534"/>
      <c r="P92" s="890"/>
    </row>
    <row r="93" ht="9" customHeight="1" hidden="1">
      <c r="A93" s="887"/>
      <c r="B93" s="61"/>
      <c r="C93" t="s" s="513">
        <f>IF(LEFT(RIGHT($B$1,2),1)=" ",RIGHT($B$1,1),RIGHT($B$1,2))</f>
        <v>2298</v>
      </c>
      <c r="D93" s="61">
        <f>IF(LEFT(F93,14)="Bonne pratique",D92+1,D92)</f>
      </c>
      <c r="E93" s="565">
        <f>C93&amp;D93&amp;RIGHT(F93,1)</f>
      </c>
      <c r="F93" s="541"/>
      <c r="G93" s="541"/>
      <c r="H93" s="541"/>
      <c r="I93" s="541"/>
      <c r="J93" s="541"/>
      <c r="K93" s="541"/>
      <c r="L93" s="61"/>
      <c r="M93" s="541"/>
      <c r="N93" s="541"/>
      <c r="O93" s="61"/>
      <c r="P93" s="890"/>
    </row>
    <row r="94" ht="130.05" customHeight="1" hidden="1">
      <c r="A94" s="887"/>
      <c r="B94" s="542"/>
      <c r="C94" t="s" s="543">
        <f>IF(LEFT(RIGHT($B$1,2),1)=" ",RIGHT($B$1,1),RIGHT($B$1,2))</f>
        <v>2298</v>
      </c>
      <c r="D94" s="550">
        <f>IF(LEFT(F94,14)="Bonne pratique",D93+1,D93)</f>
      </c>
      <c r="E94" s="566">
        <f>C94&amp;D94&amp;RIGHT(F94,1)</f>
      </c>
      <c r="F94" t="s" s="546">
        <v>1769</v>
      </c>
      <c r="G94" s="567">
        <f>_xlfn.IFERROR(IF(VLOOKUP($E94,'BDD'!$A$1:$S$567,MATCH(G$10,'BDD'!$A$1:$P$1,0),FALSE)=0,"",VLOOKUP($E94,'BDD'!$A$1:$S$567,MATCH(G$10,'BDD'!$A$1:$P$1,0),FALSE)),"")</f>
      </c>
      <c r="H94" s="568">
        <f>IF(VLOOKUP(E94,'BDD'!$A$1:$S$567,15,FALSE)=0,"Critère non évalué","")</f>
      </c>
      <c r="I94" s="569">
        <f>_xlfn.IFERROR(IF(VLOOKUP($E94,'BDD'!$A$1:$S$567,MATCH(I$10,'BDD'!$A$1:$P$1,0),FALSE)=0,"",VLOOKUP($E94,'BDD'!$A$1:$S$567,MATCH(I$10,'BDD'!$A$1:$P$1,0),FALSE)),"")</f>
      </c>
      <c r="J94" s="549"/>
      <c r="K94" s="567">
        <f>_xlfn.IFERROR(IF(VLOOKUP($E94,'BDD'!$A$1:$S$567,MATCH(K$10,'BDD'!$A$1:$P$1,0),FALSE)=0,"",VLOOKUP($E94,'BDD'!$A$1:$S$567,MATCH(K$10,'BDD'!$A$1:$P$1,0),FALSE)),"")</f>
      </c>
      <c r="L94" s="550"/>
      <c r="M94" s="551"/>
      <c r="N94" s="551"/>
      <c r="O94" s="534"/>
      <c r="P94" s="890"/>
    </row>
    <row r="95" ht="130.05" customHeight="1" hidden="1">
      <c r="A95" s="887"/>
      <c r="B95" s="542"/>
      <c r="C95" t="s" s="543">
        <f>IF(LEFT(RIGHT($B$1,2),1)=" ",RIGHT($B$1,1),RIGHT($B$1,2))</f>
        <v>2298</v>
      </c>
      <c r="D95" s="550">
        <f>IF(LEFT(F95,14)="Bonne pratique",D94+1,D94)</f>
      </c>
      <c r="E95" s="566">
        <f>C95&amp;D95&amp;RIGHT(F95,1)</f>
      </c>
      <c r="F95" t="s" s="552">
        <v>1772</v>
      </c>
      <c r="G95" s="557">
        <f>_xlfn.IFERROR(IF(VLOOKUP($E95,'BDD'!$A$1:$S$567,MATCH(G$10,'BDD'!$A$1:$P$1,0),FALSE)=0,"",VLOOKUP($E95,'BDD'!$A$1:$S$567,MATCH(G$10,'BDD'!$A$1:$P$1,0),FALSE)),"")</f>
      </c>
      <c r="H95" s="570">
        <f>IF(VLOOKUP(E95,'BDD'!$A$1:$S$567,15,FALSE)=0,"Critère non évalué","")</f>
      </c>
      <c r="I95" s="571">
        <f>_xlfn.IFERROR(IF(VLOOKUP($E95,'BDD'!$A$1:$S$567,MATCH(I$10,'BDD'!$A$1:$P$1,0),FALSE)=0,"",VLOOKUP($E95,'BDD'!$A$1:$S$567,MATCH(I$10,'BDD'!$A$1:$P$1,0),FALSE)),"")</f>
      </c>
      <c r="J95" s="554"/>
      <c r="K95" s="557">
        <f>_xlfn.IFERROR(IF(VLOOKUP($E95,'BDD'!$A$1:$S$567,MATCH(K$10,'BDD'!$A$1:$P$1,0),FALSE)=0,"",VLOOKUP($E95,'BDD'!$A$1:$S$567,MATCH(K$10,'BDD'!$A$1:$P$1,0),FALSE)),"")</f>
      </c>
      <c r="L95" s="550"/>
      <c r="M95" s="555"/>
      <c r="N95" s="555"/>
      <c r="O95" s="534"/>
      <c r="P95" s="890"/>
    </row>
    <row r="96" ht="130.05" customHeight="1" hidden="1">
      <c r="A96" s="887"/>
      <c r="B96" s="542"/>
      <c r="C96" t="s" s="543">
        <f>IF(LEFT(RIGHT($B$1,2),1)=" ",RIGHT($B$1,1),RIGHT($B$1,2))</f>
        <v>2298</v>
      </c>
      <c r="D96" s="550">
        <f>IF(LEFT(F96,14)="Bonne pratique",D95+1,D95)</f>
      </c>
      <c r="E96" s="566">
        <f>C96&amp;D96&amp;RIGHT(F96,1)</f>
      </c>
      <c r="F96" t="s" s="546">
        <v>1774</v>
      </c>
      <c r="G96" s="567">
        <f>_xlfn.IFERROR(IF(VLOOKUP($E96,'BDD'!$A$1:$S$567,MATCH(G$10,'BDD'!$A$1:$P$1,0),FALSE)=0,"",VLOOKUP($E96,'BDD'!$A$1:$S$567,MATCH(G$10,'BDD'!$A$1:$P$1,0),FALSE)),"")</f>
      </c>
      <c r="H96" s="568">
        <f>IF(VLOOKUP(E96,'BDD'!$A$1:$S$567,15,FALSE)=0,"Critère non évalué","")</f>
      </c>
      <c r="I96" s="569">
        <f>_xlfn.IFERROR(IF(VLOOKUP($E96,'BDD'!$A$1:$S$567,MATCH(I$10,'BDD'!$A$1:$P$1,0),FALSE)=0,"",VLOOKUP($E96,'BDD'!$A$1:$S$567,MATCH(I$10,'BDD'!$A$1:$P$1,0),FALSE)),"")</f>
      </c>
      <c r="J96" s="549"/>
      <c r="K96" s="567">
        <f>_xlfn.IFERROR(IF(VLOOKUP($E96,'BDD'!$A$1:$S$567,MATCH(K$10,'BDD'!$A$1:$P$1,0),FALSE)=0,"",VLOOKUP($E96,'BDD'!$A$1:$S$567,MATCH(K$10,'BDD'!$A$1:$P$1,0),FALSE)),"")</f>
      </c>
      <c r="L96" s="550"/>
      <c r="M96" s="551"/>
      <c r="N96" s="551"/>
      <c r="O96" s="534"/>
      <c r="P96" s="890"/>
    </row>
    <row r="97" ht="130.05" customHeight="1" hidden="1">
      <c r="A97" s="887"/>
      <c r="B97" s="542"/>
      <c r="C97" t="s" s="543">
        <f>IF(LEFT(RIGHT($B$1,2),1)=" ",RIGHT($B$1,1),RIGHT($B$1,2))</f>
        <v>2298</v>
      </c>
      <c r="D97" s="550">
        <f>IF(LEFT(F97,14)="Bonne pratique",D96+1,D96)</f>
      </c>
      <c r="E97" s="566">
        <f>C97&amp;D97&amp;RIGHT(F97,1)</f>
      </c>
      <c r="F97" t="s" s="552">
        <v>1776</v>
      </c>
      <c r="G97" s="557">
        <f>_xlfn.IFERROR(IF(VLOOKUP($E97,'BDD'!$A$1:$S$567,MATCH(G$10,'BDD'!$A$1:$P$1,0),FALSE)=0,"",VLOOKUP($E97,'BDD'!$A$1:$S$567,MATCH(G$10,'BDD'!$A$1:$P$1,0),FALSE)),"")</f>
      </c>
      <c r="H97" s="570">
        <f>IF(VLOOKUP(E97,'BDD'!$A$1:$S$567,15,FALSE)=0,"Critère non évalué","")</f>
      </c>
      <c r="I97" s="571">
        <f>_xlfn.IFERROR(IF(VLOOKUP($E97,'BDD'!$A$1:$S$567,MATCH(I$10,'BDD'!$A$1:$P$1,0),FALSE)=0,"",VLOOKUP($E97,'BDD'!$A$1:$S$567,MATCH(I$10,'BDD'!$A$1:$P$1,0),FALSE)),"")</f>
      </c>
      <c r="J97" s="556"/>
      <c r="K97" s="557">
        <f>_xlfn.IFERROR(IF(VLOOKUP($E97,'BDD'!$A$1:$S$567,MATCH(K$10,'BDD'!$A$1:$P$1,0),FALSE)=0,"",VLOOKUP($E97,'BDD'!$A$1:$S$567,MATCH(K$10,'BDD'!$A$1:$P$1,0),FALSE)),"")</f>
      </c>
      <c r="L97" s="550"/>
      <c r="M97" s="555"/>
      <c r="N97" s="555"/>
      <c r="O97" s="534"/>
      <c r="P97" s="890"/>
    </row>
    <row r="98" ht="130.05" customHeight="1" hidden="1">
      <c r="A98" s="887"/>
      <c r="B98" s="542"/>
      <c r="C98" t="s" s="543">
        <f>IF(LEFT(RIGHT($B$1,2),1)=" ",RIGHT($B$1,1),RIGHT($B$1,2))</f>
        <v>2298</v>
      </c>
      <c r="D98" s="550">
        <f>IF(LEFT(F98,14)="Bonne pratique",D97+1,D97)</f>
      </c>
      <c r="E98" s="566">
        <f>C98&amp;D98&amp;RIGHT(F98,1)</f>
      </c>
      <c r="F98" t="s" s="546">
        <v>1778</v>
      </c>
      <c r="G98" s="567">
        <f>_xlfn.IFERROR(IF(VLOOKUP($E98,'BDD'!$A$1:$S$567,MATCH(G$10,'BDD'!$A$1:$P$1,0),FALSE)=0,"",VLOOKUP($E98,'BDD'!$A$1:$S$567,MATCH(G$10,'BDD'!$A$1:$P$1,0),FALSE)),"")</f>
      </c>
      <c r="H98" s="568">
        <f>IF(VLOOKUP(E98,'BDD'!$A$1:$S$567,15,FALSE)=0,"Critère non évalué","")</f>
      </c>
      <c r="I98" s="569">
        <f>_xlfn.IFERROR(IF(VLOOKUP($E98,'BDD'!$A$1:$S$567,MATCH(I$10,'BDD'!$A$1:$P$1,0),FALSE)=0,"",VLOOKUP($E98,'BDD'!$A$1:$S$567,MATCH(I$10,'BDD'!$A$1:$P$1,0),FALSE)),"")</f>
      </c>
      <c r="J98" s="549"/>
      <c r="K98" s="567">
        <f>_xlfn.IFERROR(IF(VLOOKUP($E98,'BDD'!$A$1:$S$567,MATCH(K$10,'BDD'!$A$1:$P$1,0),FALSE)=0,"",VLOOKUP($E98,'BDD'!$A$1:$S$567,MATCH(K$10,'BDD'!$A$1:$P$1,0),FALSE)),"")</f>
      </c>
      <c r="L98" s="550"/>
      <c r="M98" s="557"/>
      <c r="N98" s="557"/>
      <c r="O98" s="534"/>
      <c r="P98" s="890"/>
    </row>
    <row r="99" ht="130.05" customHeight="1" hidden="1">
      <c r="A99" s="887"/>
      <c r="B99" s="542"/>
      <c r="C99" t="s" s="543">
        <f>IF(LEFT(RIGHT($B$1,2),1)=" ",RIGHT($B$1,1),RIGHT($B$1,2))</f>
        <v>2298</v>
      </c>
      <c r="D99" s="550">
        <f>IF(LEFT(F99,14)="Bonne pratique",D98+1,D98)</f>
      </c>
      <c r="E99" s="566">
        <f>C99&amp;D99&amp;RIGHT(F99,1)</f>
      </c>
      <c r="F99" t="s" s="552">
        <v>1780</v>
      </c>
      <c r="G99" s="557">
        <f>_xlfn.IFERROR(IF(VLOOKUP($E99,'BDD'!$A$1:$S$567,MATCH(G$10,'BDD'!$A$1:$P$1,0),FALSE)=0,"",VLOOKUP($E99,'BDD'!$A$1:$S$567,MATCH(G$10,'BDD'!$A$1:$P$1,0),FALSE)),"")</f>
      </c>
      <c r="H99" s="570">
        <f>IF(VLOOKUP(E99,'BDD'!$A$1:$S$567,15,FALSE)=0,"Critère non évalué","")</f>
      </c>
      <c r="I99" s="571">
        <f>_xlfn.IFERROR(IF(VLOOKUP($E99,'BDD'!$A$1:$S$567,MATCH(I$10,'BDD'!$A$1:$P$1,0),FALSE)=0,"",VLOOKUP($E99,'BDD'!$A$1:$S$567,MATCH(I$10,'BDD'!$A$1:$P$1,0),FALSE)),"")</f>
      </c>
      <c r="J99" s="556"/>
      <c r="K99" s="557">
        <f>_xlfn.IFERROR(IF(VLOOKUP($E99,'BDD'!$A$1:$S$567,MATCH(K$10,'BDD'!$A$1:$P$1,0),FALSE)=0,"",VLOOKUP($E99,'BDD'!$A$1:$S$567,MATCH(K$10,'BDD'!$A$1:$P$1,0),FALSE)),"")</f>
      </c>
      <c r="L99" s="550"/>
      <c r="M99" s="555"/>
      <c r="N99" s="555"/>
      <c r="O99" s="534"/>
      <c r="P99" s="890"/>
    </row>
    <row r="100" ht="130.05" customHeight="1" hidden="1">
      <c r="A100" s="887"/>
      <c r="B100" s="542"/>
      <c r="C100" t="s" s="543">
        <f>IF(LEFT(RIGHT($B$1,2),1)=" ",RIGHT($B$1,1),RIGHT($B$1,2))</f>
        <v>2298</v>
      </c>
      <c r="D100" s="550">
        <f>IF(LEFT(F100,14)="Bonne pratique",D99+1,D99)</f>
      </c>
      <c r="E100" s="566">
        <f>C100&amp;D100&amp;RIGHT(F100,1)</f>
      </c>
      <c r="F100" t="s" s="546">
        <v>1782</v>
      </c>
      <c r="G100" s="567">
        <f>_xlfn.IFERROR(IF(VLOOKUP($E100,'BDD'!$A$1:$S$567,MATCH(G$10,'BDD'!$A$1:$P$1,0),FALSE)=0,"",VLOOKUP($E100,'BDD'!$A$1:$S$567,MATCH(G$10,'BDD'!$A$1:$P$1,0),FALSE)),"")</f>
      </c>
      <c r="H100" s="568">
        <f>IF(VLOOKUP(E100,'BDD'!$A$1:$S$567,15,FALSE)=0,"Critère non évalué","")</f>
      </c>
      <c r="I100" s="569">
        <f>_xlfn.IFERROR(IF(VLOOKUP($E100,'BDD'!$A$1:$S$567,MATCH(I$10,'BDD'!$A$1:$P$1,0),FALSE)=0,"",VLOOKUP($E100,'BDD'!$A$1:$S$567,MATCH(I$10,'BDD'!$A$1:$P$1,0),FALSE)),"")</f>
      </c>
      <c r="J100" s="549"/>
      <c r="K100" s="567">
        <f>_xlfn.IFERROR(IF(VLOOKUP($E100,'BDD'!$A$1:$S$567,MATCH(K$10,'BDD'!$A$1:$P$1,0),FALSE)=0,"",VLOOKUP($E100,'BDD'!$A$1:$S$567,MATCH(K$10,'BDD'!$A$1:$P$1,0),FALSE)),"")</f>
      </c>
      <c r="L100" s="550"/>
      <c r="M100" s="557"/>
      <c r="N100" s="557"/>
      <c r="O100" s="534"/>
      <c r="P100" s="890"/>
    </row>
    <row r="101" ht="14.4" customHeight="1" hidden="1">
      <c r="A101" s="887"/>
      <c r="B101" s="61"/>
      <c r="C101" t="s" s="513">
        <f>IF(LEFT(RIGHT($B$1,2),1)=" ",RIGHT($B$1,1),RIGHT($B$1,2))</f>
        <v>2298</v>
      </c>
      <c r="D101" s="61"/>
      <c r="E101" s="61"/>
      <c r="F101" s="541"/>
      <c r="G101" s="541"/>
      <c r="H101" s="541"/>
      <c r="I101" s="541"/>
      <c r="J101" s="541"/>
      <c r="K101" s="541"/>
      <c r="L101" s="61"/>
      <c r="M101" s="541"/>
      <c r="N101" s="541"/>
      <c r="O101" s="61"/>
      <c r="P101" s="890"/>
    </row>
    <row r="102" ht="14.4" customHeight="1" hidden="1">
      <c r="A102" s="887"/>
      <c r="B102" s="61"/>
      <c r="C102" t="s" s="513">
        <f>IF(LEFT(RIGHT($B$1,2),1)=" ",RIGHT($B$1,1),RIGHT($B$1,2))</f>
        <v>2298</v>
      </c>
      <c r="D102" s="61"/>
      <c r="E102" s="61"/>
      <c r="F102" s="541"/>
      <c r="G102" s="541"/>
      <c r="H102" s="541"/>
      <c r="I102" s="541"/>
      <c r="J102" s="541"/>
      <c r="K102" s="541"/>
      <c r="L102" s="61"/>
      <c r="M102" s="541"/>
      <c r="N102" s="541"/>
      <c r="O102" s="61"/>
      <c r="P102" s="890"/>
    </row>
    <row r="103" ht="25.8" customHeight="1" hidden="1">
      <c r="A103" s="891"/>
      <c r="B103" s="512"/>
      <c r="C103" t="s" s="513">
        <f>IF(LEFT(RIGHT($B$1,2),1)=" ",RIGHT($B$1,1),RIGHT($B$1,2))</f>
        <v>2298</v>
      </c>
      <c r="D103" s="61">
        <f>IF(LEFT(F103,14)="Bonne pratique",D99+1,D99)</f>
      </c>
      <c r="E103" s="565">
        <f>C103&amp;D103&amp;RIGHT(F103,1)</f>
      </c>
      <c r="F103" t="s" s="828">
        <v>1888</v>
      </c>
      <c r="G103" s="829"/>
      <c r="H103" s="830"/>
      <c r="I103" s="831"/>
      <c r="J103" s="831">
        <f>VLOOKUP(E110,'BDD'!$A$2:$N$567,6,FALSE)</f>
      </c>
      <c r="K103" s="832"/>
      <c r="L103" s="517"/>
      <c r="M103" s="829"/>
      <c r="N103" s="829"/>
      <c r="O103" s="512"/>
      <c r="P103" s="892"/>
    </row>
    <row r="104" ht="9" customHeight="1" hidden="1">
      <c r="A104" s="887"/>
      <c r="B104" s="61"/>
      <c r="C104" t="s" s="513">
        <f>IF(LEFT(RIGHT($B$1,2),1)=" ",RIGHT($B$1,1),RIGHT($B$1,2))</f>
        <v>2298</v>
      </c>
      <c r="D104" s="61">
        <f>IF(LEFT(F104,14)="Bonne pratique",D103+1,D103)</f>
      </c>
      <c r="E104" s="565">
        <f>C104&amp;D104&amp;RIGHT(F104,1)</f>
      </c>
      <c r="F104" s="541"/>
      <c r="G104" s="541"/>
      <c r="H104" s="541"/>
      <c r="I104" s="541"/>
      <c r="J104" s="541"/>
      <c r="K104" s="541"/>
      <c r="L104" s="61"/>
      <c r="M104" s="541"/>
      <c r="N104" s="541"/>
      <c r="O104" s="61"/>
      <c r="P104" s="890"/>
    </row>
    <row r="105" ht="18" customHeight="1" hidden="1">
      <c r="A105" s="893"/>
      <c r="B105" s="524"/>
      <c r="C105" t="s" s="513">
        <f>IF(LEFT(RIGHT($B$1,2),1)=" ",RIGHT($B$1,1),RIGHT($B$1,2))</f>
        <v>2298</v>
      </c>
      <c r="D105" s="61">
        <f>IF(LEFT(F105,14)="Bonne pratique",D104+1,D104)</f>
      </c>
      <c r="E105" s="565">
        <f>C105&amp;D105&amp;RIGHT(F105,1)</f>
      </c>
      <c r="F105" s="833"/>
      <c r="G105" s="833"/>
      <c r="H105" s="833"/>
      <c r="I105" s="834"/>
      <c r="J105" s="835"/>
      <c r="K105" s="834"/>
      <c r="L105" s="524"/>
      <c r="M105" s="833"/>
      <c r="N105" s="833"/>
      <c r="O105" s="524"/>
      <c r="P105" s="894"/>
    </row>
    <row r="106" ht="18" customHeight="1" hidden="1">
      <c r="A106" s="887"/>
      <c r="B106" s="61"/>
      <c r="C106" t="s" s="513">
        <f>IF(LEFT(RIGHT($B$1,2),1)=" ",RIGHT($B$1,1),RIGHT($B$1,2))</f>
        <v>2298</v>
      </c>
      <c r="D106" s="61">
        <f>IF(LEFT(F106,14)="Bonne pratique",D105+1,D105)</f>
      </c>
      <c r="E106" s="565">
        <f>C106&amp;D106&amp;RIGHT(F106,1)</f>
      </c>
      <c r="F106" s="541"/>
      <c r="G106" s="541"/>
      <c r="H106" s="541"/>
      <c r="I106" s="541"/>
      <c r="J106" s="836"/>
      <c r="K106" s="541"/>
      <c r="L106" s="61"/>
      <c r="M106" s="541"/>
      <c r="N106" s="541"/>
      <c r="O106" s="61"/>
      <c r="P106" s="890"/>
    </row>
    <row r="107" ht="9" customHeight="1" hidden="1">
      <c r="A107" s="887"/>
      <c r="B107" s="61"/>
      <c r="C107" t="s" s="513">
        <f>IF(LEFT(RIGHT($B$1,2),1)=" ",RIGHT($B$1,1),RIGHT($B$1,2))</f>
        <v>2298</v>
      </c>
      <c r="D107" s="61">
        <f>IF(LEFT(F107,14)="Bonne pratique",D106+1,D106)</f>
      </c>
      <c r="E107" s="565">
        <f>C107&amp;D107&amp;RIGHT(F107,1)</f>
      </c>
      <c r="F107" s="541"/>
      <c r="G107" s="541"/>
      <c r="H107" s="541"/>
      <c r="I107" s="541"/>
      <c r="J107" s="837"/>
      <c r="K107" s="541"/>
      <c r="L107" s="542"/>
      <c r="M107" t="s" s="562">
        <v>1763</v>
      </c>
      <c r="N107" s="563"/>
      <c r="O107" s="534"/>
      <c r="P107" s="890"/>
    </row>
    <row r="108" ht="33" customHeight="1" hidden="1">
      <c r="A108" s="887"/>
      <c r="B108" s="61"/>
      <c r="C108" t="s" s="513">
        <f>IF(LEFT(RIGHT($B$1,2),1)=" ",RIGHT($B$1,1),RIGHT($B$1,2))</f>
        <v>2298</v>
      </c>
      <c r="D108" s="61">
        <f>IF(LEFT(F108,14)="Bonne pratique",D107+1,D107)</f>
      </c>
      <c r="E108" s="565">
        <f>C108&amp;D108&amp;RIGHT(F108,1)</f>
      </c>
      <c r="F108" s="838"/>
      <c r="G108" t="s" s="536">
        <v>244</v>
      </c>
      <c r="H108" t="s" s="536">
        <v>1764</v>
      </c>
      <c r="I108" t="s" s="536">
        <v>1787</v>
      </c>
      <c r="J108" t="s" s="536">
        <v>1765</v>
      </c>
      <c r="K108" t="s" s="536">
        <v>1788</v>
      </c>
      <c r="L108" s="538"/>
      <c r="M108" t="s" s="539">
        <v>1766</v>
      </c>
      <c r="N108" t="s" s="540">
        <v>1767</v>
      </c>
      <c r="O108" s="534"/>
      <c r="P108" s="890"/>
    </row>
    <row r="109" ht="9" customHeight="1" hidden="1">
      <c r="A109" s="887"/>
      <c r="B109" s="61"/>
      <c r="C109" t="s" s="513">
        <f>IF(LEFT(RIGHT($B$1,2),1)=" ",RIGHT($B$1,1),RIGHT($B$1,2))</f>
        <v>2298</v>
      </c>
      <c r="D109" s="61">
        <f>IF(LEFT(F109,14)="Bonne pratique",D108+1,D108)</f>
      </c>
      <c r="E109" s="565">
        <f>C109&amp;D109&amp;RIGHT(F109,1)</f>
      </c>
      <c r="F109" s="541"/>
      <c r="G109" s="541"/>
      <c r="H109" s="541"/>
      <c r="I109" s="541"/>
      <c r="J109" s="541"/>
      <c r="K109" s="541"/>
      <c r="L109" s="61"/>
      <c r="M109" s="541"/>
      <c r="N109" s="541"/>
      <c r="O109" s="61"/>
      <c r="P109" s="890"/>
    </row>
    <row r="110" ht="130.05" customHeight="1" hidden="1">
      <c r="A110" s="887"/>
      <c r="B110" s="542"/>
      <c r="C110" t="s" s="543">
        <f>IF(LEFT(RIGHT($B$1,2),1)=" ",RIGHT($B$1,1),RIGHT($B$1,2))</f>
        <v>2298</v>
      </c>
      <c r="D110" s="550">
        <f>IF(LEFT(F110,14)="Bonne pratique",D109+1,D109)</f>
      </c>
      <c r="E110" s="566">
        <f>C110&amp;D110&amp;RIGHT(F110,1)</f>
      </c>
      <c r="F110" t="s" s="546">
        <v>1769</v>
      </c>
      <c r="G110" s="567">
        <f>_xlfn.IFERROR(IF(VLOOKUP($E110,'BDD'!$A$1:$S$567,MATCH(G$10,'BDD'!$A$1:$P$1,0),FALSE)=0,"",VLOOKUP($E110,'BDD'!$A$1:$S$567,MATCH(G$10,'BDD'!$A$1:$P$1,0),FALSE)),"")</f>
      </c>
      <c r="H110" s="568">
        <f>IF(VLOOKUP(E110,'BDD'!$A$1:$S$567,15,FALSE)=0,"Critère non évalué","")</f>
      </c>
      <c r="I110" s="569">
        <f>_xlfn.IFERROR(IF(VLOOKUP($E110,'BDD'!$A$1:$S$567,MATCH(I$10,'BDD'!$A$1:$P$1,0),FALSE)=0,"",VLOOKUP($E110,'BDD'!$A$1:$S$567,MATCH(I$10,'BDD'!$A$1:$P$1,0),FALSE)),"")</f>
      </c>
      <c r="J110" s="549"/>
      <c r="K110" s="567">
        <f>_xlfn.IFERROR(IF(VLOOKUP($E110,'BDD'!$A$1:$S$567,MATCH(K$10,'BDD'!$A$1:$P$1,0),FALSE)=0,"",VLOOKUP($E110,'BDD'!$A$1:$S$567,MATCH(K$10,'BDD'!$A$1:$P$1,0),FALSE)),"")</f>
      </c>
      <c r="L110" s="550"/>
      <c r="M110" s="551"/>
      <c r="N110" s="551"/>
      <c r="O110" s="534"/>
      <c r="P110" s="890"/>
    </row>
    <row r="111" ht="130.05" customHeight="1" hidden="1">
      <c r="A111" s="887"/>
      <c r="B111" s="542"/>
      <c r="C111" t="s" s="543">
        <f>IF(LEFT(RIGHT($B$1,2),1)=" ",RIGHT($B$1,1),RIGHT($B$1,2))</f>
        <v>2298</v>
      </c>
      <c r="D111" s="550">
        <f>IF(LEFT(F111,14)="Bonne pratique",D110+1,D110)</f>
      </c>
      <c r="E111" s="566">
        <f>C111&amp;D111&amp;RIGHT(F111,1)</f>
      </c>
      <c r="F111" t="s" s="552">
        <v>1772</v>
      </c>
      <c r="G111" s="557">
        <f>_xlfn.IFERROR(IF(VLOOKUP($E111,'BDD'!$A$1:$S$567,MATCH(G$10,'BDD'!$A$1:$P$1,0),FALSE)=0,"",VLOOKUP($E111,'BDD'!$A$1:$S$567,MATCH(G$10,'BDD'!$A$1:$P$1,0),FALSE)),"")</f>
      </c>
      <c r="H111" s="570">
        <f>IF(VLOOKUP(E111,'BDD'!$A$1:$S$567,15,FALSE)=0,"Critère non évalué","")</f>
      </c>
      <c r="I111" s="571">
        <f>_xlfn.IFERROR(IF(VLOOKUP($E111,'BDD'!$A$1:$S$567,MATCH(I$10,'BDD'!$A$1:$P$1,0),FALSE)=0,"",VLOOKUP($E111,'BDD'!$A$1:$S$567,MATCH(I$10,'BDD'!$A$1:$P$1,0),FALSE)),"")</f>
      </c>
      <c r="J111" s="554"/>
      <c r="K111" s="557">
        <f>_xlfn.IFERROR(IF(VLOOKUP($E111,'BDD'!$A$1:$S$567,MATCH(K$10,'BDD'!$A$1:$P$1,0),FALSE)=0,"",VLOOKUP($E111,'BDD'!$A$1:$S$567,MATCH(K$10,'BDD'!$A$1:$P$1,0),FALSE)),"")</f>
      </c>
      <c r="L111" s="550"/>
      <c r="M111" s="555"/>
      <c r="N111" s="555"/>
      <c r="O111" s="534"/>
      <c r="P111" s="890"/>
    </row>
    <row r="112" ht="130.05" customHeight="1" hidden="1">
      <c r="A112" s="887"/>
      <c r="B112" s="542"/>
      <c r="C112" t="s" s="543">
        <f>IF(LEFT(RIGHT($B$1,2),1)=" ",RIGHT($B$1,1),RIGHT($B$1,2))</f>
        <v>2298</v>
      </c>
      <c r="D112" s="550">
        <f>IF(LEFT(F112,14)="Bonne pratique",D111+1,D111)</f>
      </c>
      <c r="E112" s="566">
        <f>C112&amp;D112&amp;RIGHT(F112,1)</f>
      </c>
      <c r="F112" t="s" s="546">
        <v>1774</v>
      </c>
      <c r="G112" s="567">
        <f>_xlfn.IFERROR(IF(VLOOKUP($E112,'BDD'!$A$1:$S$567,MATCH(G$10,'BDD'!$A$1:$P$1,0),FALSE)=0,"",VLOOKUP($E112,'BDD'!$A$1:$S$567,MATCH(G$10,'BDD'!$A$1:$P$1,0),FALSE)),"")</f>
      </c>
      <c r="H112" s="568">
        <f>IF(VLOOKUP(E112,'BDD'!$A$1:$S$567,15,FALSE)=0,"Critère non évalué","")</f>
      </c>
      <c r="I112" s="569">
        <f>_xlfn.IFERROR(IF(VLOOKUP($E112,'BDD'!$A$1:$S$567,MATCH(I$10,'BDD'!$A$1:$P$1,0),FALSE)=0,"",VLOOKUP($E112,'BDD'!$A$1:$S$567,MATCH(I$10,'BDD'!$A$1:$P$1,0),FALSE)),"")</f>
      </c>
      <c r="J112" s="549"/>
      <c r="K112" s="567">
        <f>_xlfn.IFERROR(IF(VLOOKUP($E112,'BDD'!$A$1:$S$567,MATCH(K$10,'BDD'!$A$1:$P$1,0),FALSE)=0,"",VLOOKUP($E112,'BDD'!$A$1:$S$567,MATCH(K$10,'BDD'!$A$1:$P$1,0),FALSE)),"")</f>
      </c>
      <c r="L112" s="550"/>
      <c r="M112" s="551"/>
      <c r="N112" s="551"/>
      <c r="O112" s="534"/>
      <c r="P112" s="890"/>
    </row>
    <row r="113" ht="130.05" customHeight="1" hidden="1">
      <c r="A113" s="887"/>
      <c r="B113" s="542"/>
      <c r="C113" t="s" s="543">
        <f>IF(LEFT(RIGHT($B$1,2),1)=" ",RIGHT($B$1,1),RIGHT($B$1,2))</f>
        <v>2298</v>
      </c>
      <c r="D113" s="550">
        <f>IF(LEFT(F113,14)="Bonne pratique",D112+1,D112)</f>
      </c>
      <c r="E113" s="566">
        <f>C113&amp;D113&amp;RIGHT(F113,1)</f>
      </c>
      <c r="F113" t="s" s="552">
        <v>1776</v>
      </c>
      <c r="G113" s="557">
        <f>_xlfn.IFERROR(IF(VLOOKUP($E113,'BDD'!$A$1:$S$567,MATCH(G$10,'BDD'!$A$1:$P$1,0),FALSE)=0,"",VLOOKUP($E113,'BDD'!$A$1:$S$567,MATCH(G$10,'BDD'!$A$1:$P$1,0),FALSE)),"")</f>
      </c>
      <c r="H113" s="570">
        <f>IF(VLOOKUP(E113,'BDD'!$A$1:$S$567,15,FALSE)=0,"Critère non évalué","")</f>
      </c>
      <c r="I113" s="571">
        <f>_xlfn.IFERROR(IF(VLOOKUP($E113,'BDD'!$A$1:$S$567,MATCH(I$10,'BDD'!$A$1:$P$1,0),FALSE)=0,"",VLOOKUP($E113,'BDD'!$A$1:$S$567,MATCH(I$10,'BDD'!$A$1:$P$1,0),FALSE)),"")</f>
      </c>
      <c r="J113" s="556"/>
      <c r="K113" s="557">
        <f>_xlfn.IFERROR(IF(VLOOKUP($E113,'BDD'!$A$1:$S$567,MATCH(K$10,'BDD'!$A$1:$P$1,0),FALSE)=0,"",VLOOKUP($E113,'BDD'!$A$1:$S$567,MATCH(K$10,'BDD'!$A$1:$P$1,0),FALSE)),"")</f>
      </c>
      <c r="L113" s="550"/>
      <c r="M113" s="555"/>
      <c r="N113" s="555"/>
      <c r="O113" s="534"/>
      <c r="P113" s="890"/>
    </row>
    <row r="114" ht="130.05" customHeight="1" hidden="1">
      <c r="A114" s="887"/>
      <c r="B114" s="542"/>
      <c r="C114" t="s" s="543">
        <f>IF(LEFT(RIGHT($B$1,2),1)=" ",RIGHT($B$1,1),RIGHT($B$1,2))</f>
        <v>2298</v>
      </c>
      <c r="D114" s="550">
        <f>IF(LEFT(F114,14)="Bonne pratique",D113+1,D113)</f>
      </c>
      <c r="E114" s="566">
        <f>C114&amp;D114&amp;RIGHT(F114,1)</f>
      </c>
      <c r="F114" t="s" s="546">
        <v>1778</v>
      </c>
      <c r="G114" s="567">
        <f>_xlfn.IFERROR(IF(VLOOKUP($E114,'BDD'!$A$1:$S$567,MATCH(G$10,'BDD'!$A$1:$P$1,0),FALSE)=0,"",VLOOKUP($E114,'BDD'!$A$1:$S$567,MATCH(G$10,'BDD'!$A$1:$P$1,0),FALSE)),"")</f>
      </c>
      <c r="H114" s="568">
        <f>IF(VLOOKUP(E114,'BDD'!$A$1:$S$567,15,FALSE)=0,"Critère non évalué","")</f>
      </c>
      <c r="I114" s="569">
        <f>_xlfn.IFERROR(IF(VLOOKUP($E114,'BDD'!$A$1:$S$567,MATCH(I$10,'BDD'!$A$1:$P$1,0),FALSE)=0,"",VLOOKUP($E114,'BDD'!$A$1:$S$567,MATCH(I$10,'BDD'!$A$1:$P$1,0),FALSE)),"")</f>
      </c>
      <c r="J114" s="549"/>
      <c r="K114" s="567">
        <f>_xlfn.IFERROR(IF(VLOOKUP($E114,'BDD'!$A$1:$S$567,MATCH(K$10,'BDD'!$A$1:$P$1,0),FALSE)=0,"",VLOOKUP($E114,'BDD'!$A$1:$S$567,MATCH(K$10,'BDD'!$A$1:$P$1,0),FALSE)),"")</f>
      </c>
      <c r="L114" s="550"/>
      <c r="M114" s="557"/>
      <c r="N114" s="557"/>
      <c r="O114" s="534"/>
      <c r="P114" s="890"/>
    </row>
    <row r="115" ht="130.05" customHeight="1" hidden="1">
      <c r="A115" s="887"/>
      <c r="B115" s="542"/>
      <c r="C115" t="s" s="543">
        <f>IF(LEFT(RIGHT($B$1,2),1)=" ",RIGHT($B$1,1),RIGHT($B$1,2))</f>
        <v>2298</v>
      </c>
      <c r="D115" s="550">
        <f>IF(LEFT(F115,14)="Bonne pratique",D114+1,D114)</f>
      </c>
      <c r="E115" s="566">
        <f>C115&amp;D115&amp;RIGHT(F115,1)</f>
      </c>
      <c r="F115" t="s" s="552">
        <v>1780</v>
      </c>
      <c r="G115" s="557">
        <f>_xlfn.IFERROR(IF(VLOOKUP($E115,'BDD'!$A$1:$S$567,MATCH(G$10,'BDD'!$A$1:$P$1,0),FALSE)=0,"",VLOOKUP($E115,'BDD'!$A$1:$S$567,MATCH(G$10,'BDD'!$A$1:$P$1,0),FALSE)),"")</f>
      </c>
      <c r="H115" s="570">
        <f>IF(VLOOKUP(E115,'BDD'!$A$1:$S$567,15,FALSE)=0,"Critère non évalué","")</f>
      </c>
      <c r="I115" s="571">
        <f>_xlfn.IFERROR(IF(VLOOKUP($E115,'BDD'!$A$1:$S$567,MATCH(I$10,'BDD'!$A$1:$P$1,0),FALSE)=0,"",VLOOKUP($E115,'BDD'!$A$1:$S$567,MATCH(I$10,'BDD'!$A$1:$P$1,0),FALSE)),"")</f>
      </c>
      <c r="J115" s="556"/>
      <c r="K115" s="557">
        <f>_xlfn.IFERROR(IF(VLOOKUP($E115,'BDD'!$A$1:$S$567,MATCH(K$10,'BDD'!$A$1:$P$1,0),FALSE)=0,"",VLOOKUP($E115,'BDD'!$A$1:$S$567,MATCH(K$10,'BDD'!$A$1:$P$1,0),FALSE)),"")</f>
      </c>
      <c r="L115" s="550"/>
      <c r="M115" s="555"/>
      <c r="N115" s="555"/>
      <c r="O115" s="534"/>
      <c r="P115" s="890"/>
    </row>
    <row r="116" ht="130.05" customHeight="1" hidden="1">
      <c r="A116" s="887"/>
      <c r="B116" s="542"/>
      <c r="C116" t="s" s="543">
        <f>RIGHT($B$1,1)</f>
        <v>2298</v>
      </c>
      <c r="D116" s="550">
        <f>IF(LEFT(F116,14)="Bonne pratique",D115+1,D115)</f>
      </c>
      <c r="E116" s="566">
        <f>C116&amp;D116&amp;RIGHT(F116,1)</f>
      </c>
      <c r="F116" t="s" s="546">
        <v>1782</v>
      </c>
      <c r="G116" s="567">
        <f>_xlfn.IFERROR(IF(VLOOKUP($E116,'BDD'!$A$1:$S$567,MATCH(G$10,'BDD'!$A$1:$P$1,0),FALSE)=0,"",VLOOKUP($E116,'BDD'!$A$1:$S$567,MATCH(G$10,'BDD'!$A$1:$P$1,0),FALSE)),"")</f>
      </c>
      <c r="H116" s="568">
        <f>IF(VLOOKUP(E116,'BDD'!$A$1:$S$567,15,FALSE)=0,"Critère non évalué","")</f>
      </c>
      <c r="I116" s="569">
        <f>_xlfn.IFERROR(IF(VLOOKUP($E116,'BDD'!$A$1:$S$567,MATCH(I$10,'BDD'!$A$1:$P$1,0),FALSE)=0,"",VLOOKUP($E116,'BDD'!$A$1:$S$567,MATCH(I$10,'BDD'!$A$1:$P$1,0),FALSE)),"")</f>
      </c>
      <c r="J116" s="549"/>
      <c r="K116" s="567">
        <f>_xlfn.IFERROR(IF(VLOOKUP($E116,'BDD'!$A$1:$S$567,MATCH(K$10,'BDD'!$A$1:$P$1,0),FALSE)=0,"",VLOOKUP($E116,'BDD'!$A$1:$S$567,MATCH(K$10,'BDD'!$A$1:$P$1,0),FALSE)),"")</f>
      </c>
      <c r="L116" s="550"/>
      <c r="M116" s="557"/>
      <c r="N116" s="557"/>
      <c r="O116" s="534"/>
      <c r="P116" s="890"/>
    </row>
    <row r="117" ht="14.4" customHeight="1">
      <c r="A117" s="887"/>
      <c r="B117" s="61"/>
      <c r="C117" s="61"/>
      <c r="D117" s="61"/>
      <c r="E117" s="61"/>
      <c r="F117" s="559"/>
      <c r="G117" s="559"/>
      <c r="H117" s="559"/>
      <c r="I117" s="559"/>
      <c r="J117" s="559"/>
      <c r="K117" s="559"/>
      <c r="L117" s="61"/>
      <c r="M117" s="559"/>
      <c r="N117" s="559"/>
      <c r="O117" s="61"/>
      <c r="P117" s="890"/>
    </row>
    <row r="118" ht="14.4" customHeight="1">
      <c r="A118" t="s" s="895">
        <v>171</v>
      </c>
      <c r="B118" s="896"/>
      <c r="C118" s="896"/>
      <c r="D118" s="896"/>
      <c r="E118" s="896"/>
      <c r="F118" s="896"/>
      <c r="G118" s="896"/>
      <c r="H118" s="896"/>
      <c r="I118" s="896"/>
      <c r="J118" s="896"/>
      <c r="K118" s="896"/>
      <c r="L118" s="896"/>
      <c r="M118" s="896"/>
      <c r="N118" s="896"/>
      <c r="O118" s="896"/>
      <c r="P118" t="s" s="897">
        <v>171</v>
      </c>
    </row>
  </sheetData>
  <mergeCells count="7">
    <mergeCell ref="M107:N107"/>
    <mergeCell ref="M9:N9"/>
    <mergeCell ref="M25:N25"/>
    <mergeCell ref="M41:N41"/>
    <mergeCell ref="M57:N57"/>
    <mergeCell ref="M75:N75"/>
    <mergeCell ref="M91:N91"/>
  </mergeCells>
  <pageMargins left="0.7" right="0.7" top="0.75" bottom="0.75" header="0.3" footer="0.3"/>
  <pageSetup firstPageNumber="1" fitToHeight="1" fitToWidth="1" scale="100" useFirstPageNumber="0" orientation="portrait" pageOrder="downThenOver"/>
  <headerFooter>
    <oddFooter>&amp;C&amp;"Helvetica Neue,Regular"&amp;12&amp;K000000&amp;P</oddFooter>
  </headerFooter>
  <drawing r:id="rId1"/>
</worksheet>
</file>

<file path=xl/worksheets/sheet25.xml><?xml version="1.0" encoding="utf-8"?>
<worksheet xmlns:r="http://schemas.openxmlformats.org/officeDocument/2006/relationships" xmlns="http://schemas.openxmlformats.org/spreadsheetml/2006/main">
  <dimension ref="A1:AI100"/>
  <sheetViews>
    <sheetView workbookViewId="0" showGridLines="0" defaultGridColor="1"/>
  </sheetViews>
  <sheetFormatPr defaultColWidth="8.83333" defaultRowHeight="14.4" customHeight="1" outlineLevelRow="0" outlineLevelCol="0"/>
  <cols>
    <col min="1" max="2" width="5.85156" style="1016" customWidth="1"/>
    <col min="3" max="5" hidden="1" width="8.83333" style="1016" customWidth="1"/>
    <col min="6" max="6" width="25.6719" style="1016" customWidth="1"/>
    <col min="7" max="7" width="73.5" style="1016" customWidth="1"/>
    <col min="8" max="12" width="5.85156" style="1016" customWidth="1"/>
    <col min="13" max="13" hidden="1" width="8.83333" style="1016" customWidth="1"/>
    <col min="14" max="14" width="50.8516" style="1016" customWidth="1"/>
    <col min="15" max="21" width="4.35156" style="1016" customWidth="1"/>
    <col min="22" max="22" width="3" style="1016" customWidth="1"/>
    <col min="23" max="23" width="23.8516" style="1016" customWidth="1"/>
    <col min="24" max="24" width="59.8516" style="1016" customWidth="1"/>
    <col min="25" max="25" width="4" style="1016" customWidth="1"/>
    <col min="26" max="27" width="17.1719" style="1016" customWidth="1"/>
    <col min="28" max="28" width="5.85156" style="1016" customWidth="1"/>
    <col min="29" max="29" width="7.85156" style="1016" customWidth="1"/>
    <col min="30" max="30" width="2.5" style="1016" customWidth="1"/>
    <col min="31" max="31" width="19" style="1016" customWidth="1"/>
    <col min="32" max="34" width="5.85156" style="1016" customWidth="1"/>
    <col min="35" max="35" width="8.85156" style="1016" customWidth="1"/>
    <col min="36" max="16384" width="8.85156" style="1016" customWidth="1"/>
  </cols>
  <sheetData>
    <row r="1" ht="45" customHeight="1">
      <c r="A1" s="899"/>
      <c r="B1" t="s" s="881">
        <v>2297</v>
      </c>
      <c r="C1" s="900"/>
      <c r="D1" s="900"/>
      <c r="E1" s="882"/>
      <c r="F1" s="882"/>
      <c r="G1" s="882"/>
      <c r="H1" s="882"/>
      <c r="I1" s="882"/>
      <c r="J1" s="901"/>
      <c r="K1" s="902"/>
      <c r="L1" s="882"/>
      <c r="M1" s="882"/>
      <c r="N1" s="903"/>
      <c r="O1" s="903"/>
      <c r="P1" s="903"/>
      <c r="Q1" t="s" s="904">
        <f>VLOOKUP($E$27,'BDD'!$A$2:$N$567,3,FALSE)</f>
        <v>232</v>
      </c>
      <c r="R1" s="883"/>
      <c r="S1" s="884"/>
      <c r="T1" s="884"/>
      <c r="U1" s="884"/>
      <c r="V1" s="884"/>
      <c r="W1" s="884"/>
      <c r="X1" s="884"/>
      <c r="Y1" s="884"/>
      <c r="Z1" s="884"/>
      <c r="AA1" s="884"/>
      <c r="AB1" s="884"/>
      <c r="AC1" s="884"/>
      <c r="AD1" s="884"/>
      <c r="AE1" s="884"/>
      <c r="AF1" s="884"/>
      <c r="AG1" s="884"/>
      <c r="AH1" s="884"/>
      <c r="AI1" s="582"/>
    </row>
    <row r="2" ht="45" customHeight="1">
      <c r="A2" s="887"/>
      <c r="B2" s="888"/>
      <c r="C2" s="888"/>
      <c r="D2" s="888"/>
      <c r="E2" s="888"/>
      <c r="F2" s="888"/>
      <c r="G2" s="888"/>
      <c r="H2" s="888"/>
      <c r="I2" s="888"/>
      <c r="J2" s="888"/>
      <c r="K2" s="888"/>
      <c r="L2" s="888"/>
      <c r="M2" s="888"/>
      <c r="N2" s="905"/>
      <c r="O2" s="905"/>
      <c r="P2" s="905"/>
      <c r="Q2" t="s" s="889">
        <f>VLOOKUP($E$27,'BDD'!$A$2:$N$567,4,FALSE)</f>
        <v>1454</v>
      </c>
      <c r="R2" s="888"/>
      <c r="S2" s="906"/>
      <c r="T2" s="906"/>
      <c r="U2" s="906"/>
      <c r="V2" s="906"/>
      <c r="W2" s="906"/>
      <c r="X2" s="906"/>
      <c r="Y2" s="906"/>
      <c r="Z2" s="906"/>
      <c r="AA2" s="906"/>
      <c r="AB2" s="906"/>
      <c r="AC2" s="906"/>
      <c r="AD2" s="906"/>
      <c r="AE2" s="906"/>
      <c r="AF2" s="906"/>
      <c r="AG2" s="906"/>
      <c r="AH2" s="906"/>
      <c r="AI2" s="585"/>
    </row>
    <row r="3" ht="45" customHeight="1">
      <c r="A3" s="887"/>
      <c r="B3" s="586"/>
      <c r="C3" s="586"/>
      <c r="D3" s="586"/>
      <c r="E3" s="586"/>
      <c r="F3" s="586"/>
      <c r="G3" s="587"/>
      <c r="H3" s="587"/>
      <c r="I3" s="587"/>
      <c r="J3" s="587"/>
      <c r="K3" s="587"/>
      <c r="L3" s="587"/>
      <c r="M3" s="587"/>
      <c r="N3" s="586"/>
      <c r="O3" s="586"/>
      <c r="P3" s="586"/>
      <c r="Q3" s="586"/>
      <c r="R3" s="586"/>
      <c r="S3" s="586"/>
      <c r="T3" s="586"/>
      <c r="U3" s="586"/>
      <c r="V3" s="586"/>
      <c r="W3" s="588"/>
      <c r="X3" s="586"/>
      <c r="Y3" s="586"/>
      <c r="Z3" s="586"/>
      <c r="AA3" s="589"/>
      <c r="AB3" s="586"/>
      <c r="AC3" s="586"/>
      <c r="AD3" s="586"/>
      <c r="AE3" s="586"/>
      <c r="AF3" s="586"/>
      <c r="AG3" s="586"/>
      <c r="AH3" s="888"/>
      <c r="AI3" s="585"/>
    </row>
    <row r="4" ht="26.4" customHeight="1">
      <c r="A4" s="887"/>
      <c r="B4" s="586"/>
      <c r="C4" s="586"/>
      <c r="D4" s="586"/>
      <c r="E4" s="586"/>
      <c r="F4" s="586"/>
      <c r="G4" t="s" s="590">
        <v>1817</v>
      </c>
      <c r="H4" s="591"/>
      <c r="I4" s="587"/>
      <c r="J4" s="591"/>
      <c r="K4" s="591"/>
      <c r="L4" s="591"/>
      <c r="M4" s="591"/>
      <c r="N4" s="586"/>
      <c r="O4" s="586"/>
      <c r="P4" s="586"/>
      <c r="Q4" s="586"/>
      <c r="R4" s="586"/>
      <c r="S4" s="586"/>
      <c r="T4" s="586"/>
      <c r="U4" s="586"/>
      <c r="V4" s="586"/>
      <c r="W4" t="s" s="907">
        <v>1818</v>
      </c>
      <c r="X4" s="586"/>
      <c r="Y4" s="586"/>
      <c r="Z4" s="593"/>
      <c r="AA4" s="594"/>
      <c r="AB4" t="s" s="595">
        <v>1819</v>
      </c>
      <c r="AC4" s="586"/>
      <c r="AD4" s="586"/>
      <c r="AE4" s="586"/>
      <c r="AF4" s="596"/>
      <c r="AG4" s="596"/>
      <c r="AH4" s="908"/>
      <c r="AI4" s="585"/>
    </row>
    <row r="5" ht="30" customHeight="1">
      <c r="A5" s="887"/>
      <c r="B5" s="586"/>
      <c r="C5" s="586"/>
      <c r="D5" s="586"/>
      <c r="E5" t="s" s="744">
        <f>$C$25&amp;"11"</f>
        <v>2299</v>
      </c>
      <c r="F5" s="586"/>
      <c r="G5" t="s" s="598">
        <f>IF(VLOOKUP(E5,'BDD'!$A$2:$N$567,13,FALSE)=0,"",VLOOKUP(E5,'BDD'!$A$2:$N$567,13,FALSE))</f>
        <v>1458</v>
      </c>
      <c r="H5" s="599"/>
      <c r="I5" s="587"/>
      <c r="J5" s="25"/>
      <c r="K5" s="599"/>
      <c r="L5" s="909"/>
      <c r="M5" s="909"/>
      <c r="N5" s="910"/>
      <c r="O5" s="910"/>
      <c r="P5" s="910"/>
      <c r="Q5" s="910"/>
      <c r="R5" s="910"/>
      <c r="S5" s="910"/>
      <c r="T5" s="910"/>
      <c r="U5" s="910"/>
      <c r="V5" s="910"/>
      <c r="W5" s="911"/>
      <c r="X5" s="910"/>
      <c r="Y5" s="910"/>
      <c r="Z5" s="910"/>
      <c r="AA5" s="912"/>
      <c r="AB5" s="910"/>
      <c r="AC5" s="586"/>
      <c r="AD5" s="586"/>
      <c r="AE5" s="586"/>
      <c r="AF5" s="586"/>
      <c r="AG5" s="586"/>
      <c r="AH5" s="888"/>
      <c r="AI5" s="585"/>
    </row>
    <row r="6" ht="30" customHeight="1">
      <c r="A6" s="913"/>
      <c r="B6" s="565"/>
      <c r="C6" s="565"/>
      <c r="D6" s="565"/>
      <c r="E6" t="s" s="744">
        <f>$C$25&amp;"12"</f>
        <v>2300</v>
      </c>
      <c r="F6" s="565"/>
      <c r="G6" t="s" s="598">
        <f>IF(VLOOKUP(E6,'BDD'!$A$2:$N$567,13,FALSE)=0,"",VLOOKUP(E6,'BDD'!$A$2:$N$567,13,FALSE))</f>
        <v>1463</v>
      </c>
      <c r="H6" s="605"/>
      <c r="I6" s="587"/>
      <c r="J6" t="s" s="646">
        <v>171</v>
      </c>
      <c r="K6" s="914"/>
      <c r="L6" s="915"/>
      <c r="M6" s="916"/>
      <c r="N6" s="917"/>
      <c r="O6" s="918"/>
      <c r="P6" s="918"/>
      <c r="Q6" s="918"/>
      <c r="R6" s="918"/>
      <c r="S6" s="918"/>
      <c r="T6" s="918"/>
      <c r="U6" s="918"/>
      <c r="V6" s="919"/>
      <c r="W6" s="918"/>
      <c r="X6" s="918"/>
      <c r="Y6" s="919"/>
      <c r="Z6" s="920"/>
      <c r="AA6" s="920"/>
      <c r="AB6" s="921"/>
      <c r="AC6" s="922"/>
      <c r="AD6" s="615"/>
      <c r="AE6" s="615"/>
      <c r="AF6" s="587"/>
      <c r="AG6" s="587"/>
      <c r="AH6" s="923"/>
      <c r="AI6" s="617"/>
    </row>
    <row r="7" ht="31.8" customHeight="1">
      <c r="A7" s="913"/>
      <c r="B7" s="565"/>
      <c r="C7" s="565"/>
      <c r="D7" s="565"/>
      <c r="E7" t="s" s="744">
        <f>$C$25&amp;"13"</f>
        <v>2301</v>
      </c>
      <c r="F7" s="565"/>
      <c r="G7" t="s" s="598">
        <f>IF(VLOOKUP(E7,'BDD'!$A$2:$N$567,13,FALSE)=0,"",VLOOKUP(E7,'BDD'!$A$2:$N$567,13,FALSE))</f>
      </c>
      <c r="H7" s="605"/>
      <c r="I7" s="587"/>
      <c r="J7" s="25"/>
      <c r="K7" s="914"/>
      <c r="L7" s="1017"/>
      <c r="M7" s="1018"/>
      <c r="N7" t="s" s="620">
        <v>11</v>
      </c>
      <c r="O7" t="s" s="621">
        <v>12</v>
      </c>
      <c r="P7" t="s" s="621">
        <v>13</v>
      </c>
      <c r="Q7" t="s" s="621">
        <v>14</v>
      </c>
      <c r="R7" t="s" s="621">
        <v>15</v>
      </c>
      <c r="S7" t="s" s="621">
        <v>16</v>
      </c>
      <c r="T7" t="s" s="621">
        <v>17</v>
      </c>
      <c r="U7" t="s" s="621">
        <v>18</v>
      </c>
      <c r="V7" s="163"/>
      <c r="W7" t="s" s="622">
        <v>20</v>
      </c>
      <c r="X7" t="s" s="623">
        <v>21</v>
      </c>
      <c r="Y7" s="926"/>
      <c r="Z7" t="s" s="625">
        <v>22</v>
      </c>
      <c r="AA7" t="s" s="626">
        <v>223</v>
      </c>
      <c r="AB7" s="927"/>
      <c r="AC7" s="928"/>
      <c r="AD7" t="s" s="629">
        <v>1820</v>
      </c>
      <c r="AE7" t="s" s="630">
        <v>1752</v>
      </c>
      <c r="AF7" s="631"/>
      <c r="AG7" s="587"/>
      <c r="AH7" s="923"/>
      <c r="AI7" s="617"/>
    </row>
    <row r="8" ht="41.4" customHeight="1">
      <c r="A8" s="913"/>
      <c r="B8" s="565"/>
      <c r="C8" s="565"/>
      <c r="D8" s="565"/>
      <c r="E8" t="s" s="744">
        <f>$C$25&amp;"14"</f>
        <v>2302</v>
      </c>
      <c r="F8" s="565"/>
      <c r="G8" t="s" s="598">
        <f>IF(VLOOKUP(E8,'BDD'!$A$2:$N$567,13,FALSE)=0,"",VLOOKUP(E8,'BDD'!$A$2:$N$567,13,FALSE))</f>
      </c>
      <c r="H8" s="605"/>
      <c r="I8" s="587"/>
      <c r="J8" s="25"/>
      <c r="K8" s="914"/>
      <c r="L8" s="1017"/>
      <c r="M8" t="s" s="1019">
        <f>IF(LEFT(RIGHT($B$1,2),1)=" ",RIGHT($B$1,1),RIGHT($B$1,2))&amp;1</f>
        <v>2329</v>
      </c>
      <c r="N8" t="s" s="539">
        <f>RIGHT(M8,1)&amp;" : "&amp;VLOOKUP($M8&amp;"1",'BDD'!$A$2:$N$567,6,FALSE)</f>
        <v>2330</v>
      </c>
      <c r="O8" t="s" s="71">
        <f>IF(VLOOKUP($M8&amp;RIGHT(O$7,1),'BDD'!$A$1:$S$600,15,FALSE)=4,"NE",IF(VLOOKUP($M8&amp;RIGHT(O$7,1),'BDD'!$A$1:$S$600,15,FALSE)=0,"NE",VLOOKUP($M8&amp;RIGHT(O$7,1),'BDD'!$A$1:$S$600,15,FALSE)))</f>
        <v>27</v>
      </c>
      <c r="P8" t="s" s="71">
        <f>IF(VLOOKUP($M8&amp;RIGHT(P$7,1),'BDD'!$A$1:$S$600,15,FALSE)=4,"NE",IF(VLOOKUP($M8&amp;RIGHT(P$7,1),'BDD'!$A$1:$S$600,15,FALSE)=0,"NE",VLOOKUP($M8&amp;RIGHT(P$7,1),'BDD'!$A$1:$S$600,15,FALSE)))</f>
        <v>27</v>
      </c>
      <c r="Q8" t="s" s="71">
        <f>IF(VLOOKUP($M8&amp;RIGHT(Q$7,1),'BDD'!$A$1:$S$600,15,FALSE)=4,"NE",IF(VLOOKUP($M8&amp;RIGHT(Q$7,1),'BDD'!$A$1:$S$600,15,FALSE)=0,"NE",VLOOKUP($M8&amp;RIGHT(Q$7,1),'BDD'!$A$1:$S$600,15,FALSE)))</f>
        <v>27</v>
      </c>
      <c r="R8" t="s" s="71">
        <f>IF(VLOOKUP($M8&amp;RIGHT(R$7,1),'BDD'!$A$1:$S$600,15,FALSE)=4,"NE",IF(VLOOKUP($M8&amp;RIGHT(R$7,1),'BDD'!$A$1:$S$600,15,FALSE)=0,"NE",VLOOKUP($M8&amp;RIGHT(R$7,1),'BDD'!$A$1:$S$600,15,FALSE)))</f>
        <v>27</v>
      </c>
      <c r="S8" t="s" s="71">
        <f>IF(VLOOKUP($M8&amp;RIGHT(S$7,1),'BDD'!$A$1:$S$600,15,FALSE)=4,"NE",IF(VLOOKUP($M8&amp;RIGHT(S$7,1),'BDD'!$A$1:$S$600,15,FALSE)=0,"NE",VLOOKUP($M8&amp;RIGHT(S$7,1),'BDD'!$A$1:$S$600,15,FALSE)))</f>
        <v>27</v>
      </c>
      <c r="T8" t="s" s="71">
        <f>IF(VLOOKUP($M8&amp;RIGHT(T$7,1),'BDD'!$A$1:$S$600,15,FALSE)=4,"NE",IF(VLOOKUP($M8&amp;RIGHT(T$7,1),'BDD'!$A$1:$S$600,15,FALSE)=0,"NE",VLOOKUP($M8&amp;RIGHT(T$7,1),'BDD'!$A$1:$S$600,15,FALSE)))</f>
        <v>27</v>
      </c>
      <c r="U8" s="72"/>
      <c r="V8" s="930"/>
      <c r="W8" t="s" s="634">
        <v>28</v>
      </c>
      <c r="X8" s="635"/>
      <c r="Y8" s="931"/>
      <c r="Z8" s="637">
        <f>O25</f>
        <v>0</v>
      </c>
      <c r="AA8" s="77">
        <f>S25</f>
      </c>
      <c r="AB8" s="927"/>
      <c r="AC8" s="928"/>
      <c r="AD8" s="638"/>
      <c r="AE8" t="s" s="639">
        <v>1753</v>
      </c>
      <c r="AF8" s="631"/>
      <c r="AG8" s="587"/>
      <c r="AH8" s="923"/>
      <c r="AI8" s="617"/>
    </row>
    <row r="9" ht="30" customHeight="1">
      <c r="A9" s="913"/>
      <c r="B9" s="565"/>
      <c r="C9" s="565"/>
      <c r="D9" s="565"/>
      <c r="E9" t="s" s="744">
        <f>$C$25&amp;"15"</f>
        <v>2303</v>
      </c>
      <c r="F9" s="565"/>
      <c r="G9" t="s" s="598">
        <f>IF(VLOOKUP(E9,'BDD'!$A$2:$N$567,13,FALSE)=0,"",VLOOKUP(E9,'BDD'!$A$2:$N$567,13,FALSE))</f>
      </c>
      <c r="H9" s="605"/>
      <c r="I9" s="587"/>
      <c r="J9" s="25"/>
      <c r="K9" s="914"/>
      <c r="L9" s="1017"/>
      <c r="M9" t="s" s="1019">
        <f>IF(LEFT(RIGHT($B$1,2),1)=" ",RIGHT($B$1,1),RIGHT($B$1,2))&amp;2</f>
        <v>2331</v>
      </c>
      <c r="N9" t="s" s="640">
        <f>RIGHT(M9,1)&amp;" : "&amp;VLOOKUP($M9&amp;"1",'BDD'!$A$2:$N$567,6,FALSE)</f>
        <v>2332</v>
      </c>
      <c r="O9" t="s" s="85">
        <f>IF(VLOOKUP($M9&amp;RIGHT(O$7,1),'BDD'!$A$1:$S$600,15,FALSE)=4,"NE",IF(VLOOKUP($M9&amp;RIGHT(O$7,1),'BDD'!$A$1:$S$600,15,FALSE)=0,"NE",VLOOKUP($M9&amp;RIGHT(O$7,1),'BDD'!$A$1:$S$600,15,FALSE)))</f>
        <v>27</v>
      </c>
      <c r="P9" t="s" s="85">
        <f>IF(VLOOKUP($M9&amp;RIGHT(P$7,1),'BDD'!$A$1:$S$600,15,FALSE)=4,"NE",IF(VLOOKUP($M9&amp;RIGHT(P$7,1),'BDD'!$A$1:$S$600,15,FALSE)=0,"NE",VLOOKUP($M9&amp;RIGHT(P$7,1),'BDD'!$A$1:$S$600,15,FALSE)))</f>
        <v>27</v>
      </c>
      <c r="Q9" t="s" s="85">
        <f>IF(VLOOKUP($M9&amp;RIGHT(Q$7,1),'BDD'!$A$1:$S$600,15,FALSE)=4,"NE",IF(VLOOKUP($M9&amp;RIGHT(Q$7,1),'BDD'!$A$1:$S$600,15,FALSE)=0,"NE",VLOOKUP($M9&amp;RIGHT(Q$7,1),'BDD'!$A$1:$S$600,15,FALSE)))</f>
        <v>27</v>
      </c>
      <c r="R9" s="86"/>
      <c r="S9" s="86"/>
      <c r="T9" s="86"/>
      <c r="U9" s="86"/>
      <c r="V9" s="930"/>
      <c r="W9" t="s" s="641">
        <v>28</v>
      </c>
      <c r="X9" s="642"/>
      <c r="Y9" s="932"/>
      <c r="Z9" s="644">
        <f>O33</f>
        <v>0</v>
      </c>
      <c r="AA9" s="90">
        <f>S33</f>
      </c>
      <c r="AB9" s="927"/>
      <c r="AC9" s="928"/>
      <c r="AD9" s="638"/>
      <c r="AE9" t="s" s="645">
        <v>1754</v>
      </c>
      <c r="AF9" s="631"/>
      <c r="AG9" s="587"/>
      <c r="AH9" s="923"/>
      <c r="AI9" s="617"/>
    </row>
    <row r="10" ht="30" customHeight="1">
      <c r="A10" s="913"/>
      <c r="B10" s="565"/>
      <c r="C10" s="565"/>
      <c r="D10" s="565"/>
      <c r="E10" t="s" s="744">
        <f>$C$25&amp;"16"</f>
        <v>2304</v>
      </c>
      <c r="F10" s="565"/>
      <c r="G10" t="s" s="999">
        <f>IF(VLOOKUP(E10,'BDD'!$A$2:$N$567,13,FALSE)=0,"",VLOOKUP(E10,'BDD'!$A$2:$N$567,13,FALSE))</f>
      </c>
      <c r="H10" s="605"/>
      <c r="I10" s="587"/>
      <c r="J10" s="25"/>
      <c r="K10" s="914"/>
      <c r="L10" s="1017"/>
      <c r="M10" t="s" s="1019">
        <f>IF(LEFT(RIGHT($B$1,2),1)=" ",RIGHT($B$1,1),RIGHT($B$1,2))&amp;3</f>
        <v>2333</v>
      </c>
      <c r="N10" t="s" s="539">
        <f>RIGHT(M10,1)&amp;" : "&amp;VLOOKUP($M10&amp;"1",'BDD'!$A$2:$N$567,6,FALSE)</f>
        <v>2334</v>
      </c>
      <c r="O10" t="s" s="71">
        <f>IF(VLOOKUP($M10&amp;RIGHT(O$7,1),'BDD'!$A$1:$S$600,15,FALSE)=4,"NE",IF(VLOOKUP($M10&amp;RIGHT(O$7,1),'BDD'!$A$1:$S$600,15,FALSE)=0,"NE",VLOOKUP($M10&amp;RIGHT(O$7,1),'BDD'!$A$1:$S$600,15,FALSE)))</f>
        <v>27</v>
      </c>
      <c r="P10" t="s" s="71">
        <f>IF(VLOOKUP($M10&amp;RIGHT(P$7,1),'BDD'!$A$1:$S$600,15,FALSE)=4,"NE",IF(VLOOKUP($M10&amp;RIGHT(P$7,1),'BDD'!$A$1:$S$600,15,FALSE)=0,"NE",VLOOKUP($M10&amp;RIGHT(P$7,1),'BDD'!$A$1:$S$600,15,FALSE)))</f>
        <v>27</v>
      </c>
      <c r="Q10" t="s" s="71">
        <f>IF(VLOOKUP($M10&amp;RIGHT(Q$7,1),'BDD'!$A$1:$S$600,15,FALSE)=4,"NE",IF(VLOOKUP($M10&amp;RIGHT(Q$7,1),'BDD'!$A$1:$S$600,15,FALSE)=0,"NE",VLOOKUP($M10&amp;RIGHT(Q$7,1),'BDD'!$A$1:$S$600,15,FALSE)))</f>
        <v>27</v>
      </c>
      <c r="R10" t="s" s="71">
        <f>IF(VLOOKUP($M10&amp;RIGHT(R$7,1),'BDD'!$A$1:$S$600,15,FALSE)=4,"NE",IF(VLOOKUP($M10&amp;RIGHT(R$7,1),'BDD'!$A$1:$S$600,15,FALSE)=0,"NE",VLOOKUP($M10&amp;RIGHT(R$7,1),'BDD'!$A$1:$S$600,15,FALSE)))</f>
        <v>27</v>
      </c>
      <c r="S10" t="s" s="71">
        <f>IF(VLOOKUP($M10&amp;RIGHT(S$7,1),'BDD'!$A$1:$S$600,15,FALSE)=4,"NE",IF(VLOOKUP($M10&amp;RIGHT(S$7,1),'BDD'!$A$1:$S$600,15,FALSE)=0,"NE",VLOOKUP($M10&amp;RIGHT(S$7,1),'BDD'!$A$1:$S$600,15,FALSE)))</f>
        <v>27</v>
      </c>
      <c r="T10" t="s" s="71">
        <f>IF(VLOOKUP($M10&amp;RIGHT(T$7,1),'BDD'!$A$1:$S$600,15,FALSE)=4,"NE",IF(VLOOKUP($M10&amp;RIGHT(T$7,1),'BDD'!$A$1:$S$600,15,FALSE)=0,"NE",VLOOKUP($M10&amp;RIGHT(T$7,1),'BDD'!$A$1:$S$600,15,FALSE)))</f>
        <v>27</v>
      </c>
      <c r="U10" s="72"/>
      <c r="V10" s="930"/>
      <c r="W10" t="s" s="647">
        <v>28</v>
      </c>
      <c r="X10" s="648"/>
      <c r="Y10" s="931"/>
      <c r="Z10" s="637">
        <f>O38</f>
        <v>0</v>
      </c>
      <c r="AA10" s="77">
        <f>S38</f>
      </c>
      <c r="AB10" s="927"/>
      <c r="AC10" s="928"/>
      <c r="AD10" s="649"/>
      <c r="AE10" t="s" s="650">
        <v>1824</v>
      </c>
      <c r="AF10" s="651"/>
      <c r="AG10" s="652"/>
      <c r="AH10" s="933"/>
      <c r="AI10" s="617"/>
    </row>
    <row r="11" ht="30" customHeight="1">
      <c r="A11" s="887"/>
      <c r="B11" s="586"/>
      <c r="C11" s="586"/>
      <c r="D11" s="586"/>
      <c r="E11" t="s" s="744">
        <f>$C$25&amp;"17"</f>
        <v>2305</v>
      </c>
      <c r="F11" s="586"/>
      <c r="G11" t="s" s="646">
        <f>IF(VLOOKUP(E11,'BDD'!$A$2:$N$567,13,FALSE)=0,"",VLOOKUP(E11,'BDD'!$A$2:$N$567,13,FALSE))</f>
      </c>
      <c r="H11" s="652"/>
      <c r="I11" s="587"/>
      <c r="J11" s="25"/>
      <c r="K11" s="934"/>
      <c r="L11" s="1020"/>
      <c r="M11" t="s" s="1019">
        <f>IF(LEFT(RIGHT($B$1,2),1)=" ",RIGHT($B$1,1),RIGHT($B$1,2))&amp;4</f>
        <v>2335</v>
      </c>
      <c r="N11" t="s" s="640">
        <f>RIGHT(M11,1)&amp;" : "&amp;VLOOKUP($M11&amp;"1",'BDD'!$A$2:$N$567,6,FALSE)</f>
        <v>2336</v>
      </c>
      <c r="O11" t="s" s="85">
        <f>IF(VLOOKUP($M11&amp;RIGHT(O$7,1),'BDD'!$A$1:$S$600,15,FALSE)=4,"NE",IF(VLOOKUP($M11&amp;RIGHT(O$7,1),'BDD'!$A$1:$S$600,15,FALSE)=0,"NE",VLOOKUP($M11&amp;RIGHT(O$7,1),'BDD'!$A$1:$S$600,15,FALSE)))</f>
        <v>27</v>
      </c>
      <c r="P11" t="s" s="85">
        <f>IF(VLOOKUP($M11&amp;RIGHT(P$7,1),'BDD'!$A$1:$S$600,15,FALSE)=4,"NE",IF(VLOOKUP($M11&amp;RIGHT(P$7,1),'BDD'!$A$1:$S$600,15,FALSE)=0,"NE",VLOOKUP($M11&amp;RIGHT(P$7,1),'BDD'!$A$1:$S$600,15,FALSE)))</f>
        <v>27</v>
      </c>
      <c r="Q11" t="s" s="85">
        <f>IF(VLOOKUP($M11&amp;RIGHT(Q$7,1),'BDD'!$A$1:$S$600,15,FALSE)=4,"NE",IF(VLOOKUP($M11&amp;RIGHT(Q$7,1),'BDD'!$A$1:$S$600,15,FALSE)=0,"NE",VLOOKUP($M11&amp;RIGHT(Q$7,1),'BDD'!$A$1:$S$600,15,FALSE)))</f>
        <v>27</v>
      </c>
      <c r="R11" s="86"/>
      <c r="S11" s="86"/>
      <c r="T11" s="86"/>
      <c r="U11" s="86"/>
      <c r="V11" s="930"/>
      <c r="W11" t="s" s="641">
        <v>28</v>
      </c>
      <c r="X11" s="642"/>
      <c r="Y11" s="931"/>
      <c r="Z11" s="644">
        <f>O46</f>
        <v>0</v>
      </c>
      <c r="AA11" s="90">
        <f>S46</f>
      </c>
      <c r="AB11" s="927"/>
      <c r="AC11" s="936"/>
      <c r="AD11" s="658"/>
      <c r="AE11" s="659"/>
      <c r="AF11" s="652"/>
      <c r="AG11" s="652"/>
      <c r="AH11" s="933"/>
      <c r="AI11" s="585"/>
    </row>
    <row r="12" ht="30" customHeight="1">
      <c r="A12" s="887"/>
      <c r="B12" s="586"/>
      <c r="C12" s="586"/>
      <c r="D12" s="586"/>
      <c r="E12" s="586"/>
      <c r="F12" s="586"/>
      <c r="G12" t="s" s="660">
        <v>1826</v>
      </c>
      <c r="H12" s="587"/>
      <c r="I12" s="587"/>
      <c r="J12" s="25"/>
      <c r="K12" s="937"/>
      <c r="L12" s="1021"/>
      <c r="M12" t="s" s="1019">
        <f>IF(LEFT(RIGHT($B$1,2),1)=" ",RIGHT($B$1,1),RIGHT($B$1,2))&amp;5</f>
        <v>2337</v>
      </c>
      <c r="N12" t="s" s="539">
        <f>RIGHT(M12,1)&amp;" : "&amp;VLOOKUP($M12&amp;"1",'BDD'!$A$2:$N$567,6,FALSE)</f>
        <v>2338</v>
      </c>
      <c r="O12" t="s" s="71">
        <f>IF(VLOOKUP($M12&amp;RIGHT(O$7,1),'BDD'!$A$1:$S$600,15,FALSE)=4,"NE",IF(VLOOKUP($M12&amp;RIGHT(O$7,1),'BDD'!$A$1:$S$600,15,FALSE)=0,"NE",VLOOKUP($M12&amp;RIGHT(O$7,1),'BDD'!$A$1:$S$600,15,FALSE)))</f>
        <v>27</v>
      </c>
      <c r="P12" t="s" s="71">
        <f>IF(VLOOKUP($M12&amp;RIGHT(P$7,1),'BDD'!$A$1:$S$600,15,FALSE)=4,"NE",IF(VLOOKUP($M12&amp;RIGHT(P$7,1),'BDD'!$A$1:$S$600,15,FALSE)=0,"NE",VLOOKUP($M12&amp;RIGHT(P$7,1),'BDD'!$A$1:$S$600,15,FALSE)))</f>
        <v>27</v>
      </c>
      <c r="Q12" t="s" s="71">
        <f>IF(VLOOKUP($M12&amp;RIGHT(Q$7,1),'BDD'!$A$1:$S$600,15,FALSE)=4,"NE",IF(VLOOKUP($M12&amp;RIGHT(Q$7,1),'BDD'!$A$1:$S$600,15,FALSE)=0,"NE",VLOOKUP($M12&amp;RIGHT(Q$7,1),'BDD'!$A$1:$S$600,15,FALSE)))</f>
        <v>27</v>
      </c>
      <c r="R12" t="s" s="71">
        <f>IF(VLOOKUP($M12&amp;RIGHT(R$7,1),'BDD'!$A$1:$S$600,15,FALSE)=4,"NE",IF(VLOOKUP($M12&amp;RIGHT(R$7,1),'BDD'!$A$1:$S$600,15,FALSE)=0,"NE",VLOOKUP($M12&amp;RIGHT(R$7,1),'BDD'!$A$1:$S$600,15,FALSE)))</f>
        <v>27</v>
      </c>
      <c r="S12" t="s" s="71">
        <f>IF(VLOOKUP($M12&amp;RIGHT(S$7,1),'BDD'!$A$1:$S$600,15,FALSE)=4,"NE",IF(VLOOKUP($M12&amp;RIGHT(S$7,1),'BDD'!$A$1:$S$600,15,FALSE)=0,"NE",VLOOKUP($M12&amp;RIGHT(S$7,1),'BDD'!$A$1:$S$600,15,FALSE)))</f>
        <v>27</v>
      </c>
      <c r="T12" t="s" s="71">
        <f>IF(VLOOKUP($M12&amp;RIGHT(T$7,1),'BDD'!$A$1:$S$600,15,FALSE)=4,"NE",IF(VLOOKUP($M12&amp;RIGHT(T$7,1),'BDD'!$A$1:$S$600,15,FALSE)=0,"NE",VLOOKUP($M12&amp;RIGHT(T$7,1),'BDD'!$A$1:$S$600,15,FALSE)))</f>
        <v>27</v>
      </c>
      <c r="U12" t="s" s="71">
        <f>IF(VLOOKUP($M12&amp;RIGHT(U$7,1),'BDD'!$A$1:$S$600,15,FALSE)=4,"NE",IF(VLOOKUP($M12&amp;RIGHT(U$7,1),'BDD'!$A$1:$S$600,15,FALSE)=0,"NE",VLOOKUP($M12&amp;RIGHT(U$7,1),'BDD'!$A$1:$S$600,15,FALSE)))</f>
        <v>27</v>
      </c>
      <c r="V12" s="930"/>
      <c r="W12" t="s" s="664">
        <v>28</v>
      </c>
      <c r="X12" s="665"/>
      <c r="Y12" s="931"/>
      <c r="Z12" s="637">
        <f>O51</f>
        <v>0</v>
      </c>
      <c r="AA12" s="77">
        <f>S51</f>
      </c>
      <c r="AB12" s="927"/>
      <c r="AC12" s="936"/>
      <c r="AD12" s="666"/>
      <c r="AE12" s="25"/>
      <c r="AF12" s="586"/>
      <c r="AG12" s="586"/>
      <c r="AH12" s="888"/>
      <c r="AI12" s="585"/>
    </row>
    <row r="13" ht="41.4" customHeight="1">
      <c r="A13" s="887"/>
      <c r="B13" s="586"/>
      <c r="C13" s="586"/>
      <c r="D13" s="586"/>
      <c r="E13" t="s" s="744">
        <f>$C$25&amp;"11"</f>
        <v>2299</v>
      </c>
      <c r="F13" s="586"/>
      <c r="G13" t="s" s="667">
        <f>IF(VLOOKUP(E13,'BDD'!$A$2:$N$567,14,FALSE)=0,"",VLOOKUP(E13,'BDD'!$A$2:$N$567,14,FALSE))</f>
        <v>1459</v>
      </c>
      <c r="H13" s="591"/>
      <c r="I13" s="587"/>
      <c r="J13" s="25"/>
      <c r="K13" s="939"/>
      <c r="L13" s="940"/>
      <c r="M13" s="941"/>
      <c r="N13" s="942"/>
      <c r="O13" s="943"/>
      <c r="P13" s="943"/>
      <c r="Q13" s="943"/>
      <c r="R13" s="943"/>
      <c r="S13" s="943"/>
      <c r="T13" s="943"/>
      <c r="U13" s="943"/>
      <c r="V13" s="944"/>
      <c r="W13" s="945"/>
      <c r="X13" s="945"/>
      <c r="Y13" s="944"/>
      <c r="Z13" s="946"/>
      <c r="AA13" s="946"/>
      <c r="AB13" s="947"/>
      <c r="AC13" s="948"/>
      <c r="AD13" s="586"/>
      <c r="AE13" s="586"/>
      <c r="AF13" s="679"/>
      <c r="AG13" s="679"/>
      <c r="AH13" s="949"/>
      <c r="AI13" s="585"/>
    </row>
    <row r="14" ht="30" customHeight="1">
      <c r="A14" s="887"/>
      <c r="B14" s="586"/>
      <c r="C14" s="586"/>
      <c r="D14" s="586"/>
      <c r="E14" t="s" s="744">
        <f>$C$25&amp;"12"</f>
        <v>2300</v>
      </c>
      <c r="F14" s="586"/>
      <c r="G14" t="s" s="667">
        <f>IF(VLOOKUP(E14,'BDD'!$A$2:$N$567,14,FALSE)=0,"",VLOOKUP(E14,'BDD'!$A$2:$N$567,14,FALSE))</f>
        <v>1464</v>
      </c>
      <c r="H14" s="681"/>
      <c r="I14" s="587"/>
      <c r="J14" s="25"/>
      <c r="K14" s="1009"/>
      <c r="L14" s="1022"/>
      <c r="M14" s="1023"/>
      <c r="N14" t="s" s="953">
        <f>"Evaluation globale du vecteur "&amp;RIGHT(B1,2)</f>
        <v>2339</v>
      </c>
      <c r="O14" s="954"/>
      <c r="P14" s="955"/>
      <c r="Q14" s="955"/>
      <c r="R14" s="955"/>
      <c r="S14" s="955"/>
      <c r="T14" s="955"/>
      <c r="U14" s="955"/>
      <c r="V14" s="955"/>
      <c r="W14" s="956"/>
      <c r="X14" s="957"/>
      <c r="Y14" s="958"/>
      <c r="Z14" t="s" s="959">
        <v>1829</v>
      </c>
      <c r="AA14" t="s" s="960">
        <v>1830</v>
      </c>
      <c r="AB14" s="961"/>
      <c r="AC14" s="948"/>
      <c r="AD14" s="679"/>
      <c r="AE14" s="679"/>
      <c r="AF14" s="586"/>
      <c r="AG14" s="586"/>
      <c r="AH14" s="888"/>
      <c r="AI14" s="585"/>
    </row>
    <row r="15" ht="28.2" customHeight="1">
      <c r="A15" s="887"/>
      <c r="B15" s="586"/>
      <c r="C15" s="586"/>
      <c r="D15" s="586"/>
      <c r="E15" t="s" s="744">
        <f>$C$25&amp;"13"</f>
        <v>2301</v>
      </c>
      <c r="F15" s="586"/>
      <c r="G15" t="s" s="667">
        <f>IF(VLOOKUP(E15,'BDD'!$A$2:$N$567,14,FALSE)=0,"",VLOOKUP(E15,'BDD'!$A$2:$N$567,14,FALSE))</f>
        <v>1469</v>
      </c>
      <c r="H15" s="694"/>
      <c r="I15" s="587"/>
      <c r="J15" s="25"/>
      <c r="K15" s="950"/>
      <c r="L15" s="1024"/>
      <c r="M15" s="1025"/>
      <c r="N15" s="697"/>
      <c r="O15" s="963"/>
      <c r="P15" s="955"/>
      <c r="Q15" s="955"/>
      <c r="R15" s="955"/>
      <c r="S15" s="955"/>
      <c r="T15" s="955"/>
      <c r="U15" s="955"/>
      <c r="V15" s="964"/>
      <c r="W15" t="s" s="701">
        <v>28</v>
      </c>
      <c r="X15" s="702"/>
      <c r="Y15" s="965"/>
      <c r="Z15" s="966">
        <f>O22</f>
        <v>0</v>
      </c>
      <c r="AA15" s="967">
        <f>SUM($W$26:$W$61)</f>
      </c>
      <c r="AB15" s="968"/>
      <c r="AC15" s="948"/>
      <c r="AD15" s="586"/>
      <c r="AE15" s="586"/>
      <c r="AF15" s="586"/>
      <c r="AG15" s="586"/>
      <c r="AH15" s="888"/>
      <c r="AI15" s="585"/>
    </row>
    <row r="16" ht="30" customHeight="1">
      <c r="A16" s="887"/>
      <c r="B16" s="586"/>
      <c r="C16" s="586"/>
      <c r="D16" s="586"/>
      <c r="E16" t="s" s="744">
        <f>$C$25&amp;"14"</f>
        <v>2302</v>
      </c>
      <c r="F16" s="586"/>
      <c r="G16" t="s" s="667">
        <f>IF(VLOOKUP(E16,'BDD'!$A$2:$N$567,14,FALSE)=0,"",VLOOKUP(E16,'BDD'!$A$2:$N$567,14,FALSE))</f>
      </c>
      <c r="H16" s="694"/>
      <c r="I16" s="587"/>
      <c r="J16" s="25"/>
      <c r="K16" s="937"/>
      <c r="L16" s="969"/>
      <c r="M16" s="970"/>
      <c r="N16" s="971"/>
      <c r="O16" s="972"/>
      <c r="P16" s="972"/>
      <c r="Q16" s="972"/>
      <c r="R16" s="972"/>
      <c r="S16" s="972"/>
      <c r="T16" s="972"/>
      <c r="U16" s="972"/>
      <c r="V16" s="972"/>
      <c r="W16" s="973"/>
      <c r="X16" s="971"/>
      <c r="Y16" s="972"/>
      <c r="Z16" s="974"/>
      <c r="AA16" s="974"/>
      <c r="AB16" s="975"/>
      <c r="AC16" s="948"/>
      <c r="AD16" s="586"/>
      <c r="AE16" s="586"/>
      <c r="AF16" s="586"/>
      <c r="AG16" s="586"/>
      <c r="AH16" s="888"/>
      <c r="AI16" s="585"/>
    </row>
    <row r="17" ht="15.5" customHeight="1">
      <c r="A17" s="887"/>
      <c r="B17" s="586"/>
      <c r="C17" s="586"/>
      <c r="D17" s="586"/>
      <c r="E17" t="s" s="744">
        <f>$C$25&amp;"15"</f>
        <v>2303</v>
      </c>
      <c r="F17" s="586"/>
      <c r="G17" t="s" s="667">
        <f>IF(VLOOKUP(E17,'BDD'!$A$2:$N$567,14,FALSE)=0,"",VLOOKUP(E17,'BDD'!$A$2:$N$567,14,FALSE))</f>
      </c>
      <c r="H17" s="694"/>
      <c r="I17" s="587"/>
      <c r="J17" s="25"/>
      <c r="K17" s="694"/>
      <c r="L17" s="976"/>
      <c r="M17" s="977"/>
      <c r="N17" s="979"/>
      <c r="O17" s="979"/>
      <c r="P17" s="979"/>
      <c r="Q17" s="979"/>
      <c r="R17" s="979"/>
      <c r="S17" s="979"/>
      <c r="T17" s="979"/>
      <c r="U17" s="979"/>
      <c r="V17" s="979"/>
      <c r="W17" s="979"/>
      <c r="X17" s="979"/>
      <c r="Y17" s="979"/>
      <c r="Z17" s="979"/>
      <c r="AA17" s="979"/>
      <c r="AB17" s="979"/>
      <c r="AC17" s="586"/>
      <c r="AD17" s="586"/>
      <c r="AE17" s="586"/>
      <c r="AF17" s="586"/>
      <c r="AG17" s="586"/>
      <c r="AH17" s="888"/>
      <c r="AI17" s="585"/>
    </row>
    <row r="18" ht="15" customHeight="1">
      <c r="A18" s="887"/>
      <c r="B18" s="586"/>
      <c r="C18" s="586"/>
      <c r="D18" s="586"/>
      <c r="E18" t="s" s="744">
        <f>$C$25&amp;"16"</f>
        <v>2304</v>
      </c>
      <c r="F18" s="586"/>
      <c r="G18" t="s" s="667">
        <f>IF(VLOOKUP(E18,'BDD'!$A$2:$N$567,14,FALSE)=0,"",VLOOKUP(E18,'BDD'!$A$2:$N$567,14,FALSE))</f>
      </c>
      <c r="H18" s="694"/>
      <c r="I18" s="694"/>
      <c r="J18" s="25"/>
      <c r="K18" s="25"/>
      <c r="L18" s="25"/>
      <c r="M18" s="25"/>
      <c r="N18" s="872"/>
      <c r="O18" s="872"/>
      <c r="P18" s="872"/>
      <c r="Q18" s="872"/>
      <c r="R18" s="872"/>
      <c r="S18" s="25"/>
      <c r="T18" s="25"/>
      <c r="U18" s="25"/>
      <c r="V18" s="25"/>
      <c r="W18" s="25"/>
      <c r="X18" s="25"/>
      <c r="Y18" s="25"/>
      <c r="Z18" s="25"/>
      <c r="AA18" s="25"/>
      <c r="AB18" s="25"/>
      <c r="AC18" s="586"/>
      <c r="AD18" s="586"/>
      <c r="AE18" s="586"/>
      <c r="AF18" s="586"/>
      <c r="AG18" s="586"/>
      <c r="AH18" s="888"/>
      <c r="AI18" s="585"/>
    </row>
    <row r="19" ht="14.4" customHeight="1" hidden="1">
      <c r="A19" s="887"/>
      <c r="B19" s="586"/>
      <c r="C19" s="586"/>
      <c r="D19" s="586"/>
      <c r="E19" s="586"/>
      <c r="F19" s="586"/>
      <c r="G19" s="717"/>
      <c r="H19" s="694"/>
      <c r="I19" s="694"/>
      <c r="J19" s="25"/>
      <c r="K19" s="25"/>
      <c r="L19" s="25"/>
      <c r="M19" s="25"/>
      <c r="N19" s="1026"/>
      <c r="O19" s="1026"/>
      <c r="P19" s="1026"/>
      <c r="Q19" s="1026"/>
      <c r="R19" s="1026"/>
      <c r="S19" s="25"/>
      <c r="T19" s="25"/>
      <c r="U19" s="25"/>
      <c r="V19" s="25"/>
      <c r="W19" s="25"/>
      <c r="X19" s="25"/>
      <c r="Y19" s="25"/>
      <c r="Z19" s="25"/>
      <c r="AA19" s="25"/>
      <c r="AB19" s="25"/>
      <c r="AC19" s="586"/>
      <c r="AD19" s="586"/>
      <c r="AE19" s="586"/>
      <c r="AF19" s="586"/>
      <c r="AG19" s="586"/>
      <c r="AH19" s="888"/>
      <c r="AI19" s="585"/>
    </row>
    <row r="20" ht="30" customHeight="1">
      <c r="A20" s="887"/>
      <c r="B20" s="586"/>
      <c r="C20" s="586"/>
      <c r="D20" s="586"/>
      <c r="E20" s="586"/>
      <c r="F20" s="586"/>
      <c r="G20" s="717"/>
      <c r="H20" s="694"/>
      <c r="I20" s="587"/>
      <c r="J20" s="25"/>
      <c r="K20" s="694"/>
      <c r="L20" s="853"/>
      <c r="M20" s="854"/>
      <c r="N20" t="s" s="536">
        <v>1831</v>
      </c>
      <c r="O20" s="1027">
        <f>COUNTIF(N27:N100,"Non renseigné")</f>
      </c>
      <c r="P20" s="722"/>
      <c r="Q20" s="722"/>
      <c r="R20" s="723"/>
      <c r="S20" s="724"/>
      <c r="T20" s="586"/>
      <c r="U20" s="586"/>
      <c r="V20" s="586"/>
      <c r="W20" s="586"/>
      <c r="X20" s="586"/>
      <c r="Y20" s="586"/>
      <c r="Z20" s="586"/>
      <c r="AA20" s="586"/>
      <c r="AB20" s="586"/>
      <c r="AC20" s="586"/>
      <c r="AD20" s="586"/>
      <c r="AE20" s="586"/>
      <c r="AF20" s="586"/>
      <c r="AG20" s="586"/>
      <c r="AH20" s="888"/>
      <c r="AI20" s="585"/>
    </row>
    <row r="21" ht="30" customHeight="1">
      <c r="A21" s="887"/>
      <c r="B21" s="586"/>
      <c r="C21" s="586"/>
      <c r="D21" s="586"/>
      <c r="E21" t="s" s="744">
        <f>RIGHT($B$1,1)&amp;"17"</f>
        <v>1478</v>
      </c>
      <c r="F21" s="586"/>
      <c r="G21" t="s" s="667">
        <f>IF(VLOOKUP(E21,'BDD'!$A$2:$N$567,14,FALSE)=0,"",VLOOKUP(E21,'BDD'!$A$2:$N$567,14,FALSE))</f>
      </c>
      <c r="H21" s="694"/>
      <c r="I21" s="694"/>
      <c r="J21" s="25"/>
      <c r="K21" s="694"/>
      <c r="L21" s="853"/>
      <c r="M21" s="854"/>
      <c r="N21" t="s" s="855">
        <v>1832</v>
      </c>
      <c r="O21" s="1028">
        <f>COUNTIF($N$27:$N$81,"Non évalué")</f>
      </c>
      <c r="P21" s="857"/>
      <c r="Q21" s="857"/>
      <c r="R21" s="858"/>
      <c r="S21" s="724"/>
      <c r="T21" s="586"/>
      <c r="U21" s="586"/>
      <c r="V21" s="586"/>
      <c r="W21" s="586"/>
      <c r="X21" s="586"/>
      <c r="Y21" s="586"/>
      <c r="Z21" s="586"/>
      <c r="AA21" s="586"/>
      <c r="AB21" s="586"/>
      <c r="AC21" s="586"/>
      <c r="AD21" s="586"/>
      <c r="AE21" s="586"/>
      <c r="AF21" s="586"/>
      <c r="AG21" s="586"/>
      <c r="AH21" s="888"/>
      <c r="AI21" s="585"/>
    </row>
    <row r="22" ht="50.4" customHeight="1">
      <c r="A22" s="887"/>
      <c r="B22" s="586"/>
      <c r="C22" s="586"/>
      <c r="D22" s="586"/>
      <c r="E22" s="586"/>
      <c r="F22" s="586"/>
      <c r="G22" s="717"/>
      <c r="H22" s="730"/>
      <c r="I22" s="730"/>
      <c r="J22" s="730"/>
      <c r="K22" s="730"/>
      <c r="L22" s="860"/>
      <c r="M22" s="854"/>
      <c r="N22" t="s" s="732">
        <v>1833</v>
      </c>
      <c r="O22" s="733">
        <v>0</v>
      </c>
      <c r="P22" s="734"/>
      <c r="Q22" s="734"/>
      <c r="R22" s="734"/>
      <c r="S22" s="586"/>
      <c r="T22" s="586"/>
      <c r="U22" s="586"/>
      <c r="V22" s="586"/>
      <c r="W22" s="586"/>
      <c r="X22" s="586"/>
      <c r="Y22" s="586"/>
      <c r="Z22" s="586"/>
      <c r="AA22" s="586"/>
      <c r="AB22" s="586"/>
      <c r="AC22" s="586"/>
      <c r="AD22" s="586"/>
      <c r="AE22" s="586"/>
      <c r="AF22" s="586"/>
      <c r="AG22" s="586"/>
      <c r="AH22" s="888"/>
      <c r="AI22" s="585"/>
    </row>
    <row r="23" ht="30" customHeight="1">
      <c r="A23" s="887"/>
      <c r="B23" s="586"/>
      <c r="C23" s="25"/>
      <c r="D23" s="586"/>
      <c r="E23" s="586"/>
      <c r="F23" s="586"/>
      <c r="G23" s="736"/>
      <c r="H23" t="s" s="737">
        <v>245</v>
      </c>
      <c r="I23" s="738"/>
      <c r="J23" s="739"/>
      <c r="K23" s="739"/>
      <c r="L23" s="740"/>
      <c r="M23" s="861"/>
      <c r="N23" s="862"/>
      <c r="O23" s="730"/>
      <c r="P23" s="730"/>
      <c r="Q23" s="730"/>
      <c r="R23" s="730"/>
      <c r="S23" s="730"/>
      <c r="T23" s="730"/>
      <c r="U23" s="730"/>
      <c r="V23" s="730"/>
      <c r="W23" s="586"/>
      <c r="X23" s="586"/>
      <c r="Y23" s="586"/>
      <c r="Z23" s="586"/>
      <c r="AA23" s="586"/>
      <c r="AB23" s="586"/>
      <c r="AC23" s="586"/>
      <c r="AD23" s="586"/>
      <c r="AE23" s="586"/>
      <c r="AF23" s="586"/>
      <c r="AG23" s="586"/>
      <c r="AH23" s="888"/>
      <c r="AI23" s="585"/>
    </row>
    <row r="24" ht="39.6" customHeight="1">
      <c r="A24" s="887"/>
      <c r="B24" s="586"/>
      <c r="C24" t="s" s="744">
        <v>10</v>
      </c>
      <c r="D24" t="s" s="745">
        <v>1745</v>
      </c>
      <c r="E24" t="s" s="745">
        <v>1834</v>
      </c>
      <c r="F24" s="746"/>
      <c r="G24" t="s" s="747">
        <v>244</v>
      </c>
      <c r="H24" t="s" s="747">
        <v>283</v>
      </c>
      <c r="I24" t="s" s="747">
        <v>263</v>
      </c>
      <c r="J24" t="s" s="747">
        <v>271</v>
      </c>
      <c r="K24" t="s" s="747">
        <v>291</v>
      </c>
      <c r="L24" t="s" s="747">
        <v>256</v>
      </c>
      <c r="M24" s="748"/>
      <c r="N24" t="s" s="747">
        <v>1764</v>
      </c>
      <c r="O24" t="s" s="749">
        <v>22</v>
      </c>
      <c r="P24" s="750"/>
      <c r="Q24" s="750"/>
      <c r="R24" s="750"/>
      <c r="S24" t="s" s="751">
        <v>223</v>
      </c>
      <c r="T24" s="750"/>
      <c r="U24" s="750"/>
      <c r="V24" s="752"/>
      <c r="W24" s="724"/>
      <c r="X24" s="586"/>
      <c r="Y24" s="586"/>
      <c r="Z24" s="586"/>
      <c r="AA24" s="586"/>
      <c r="AB24" s="586"/>
      <c r="AC24" s="586"/>
      <c r="AD24" s="586"/>
      <c r="AE24" s="586"/>
      <c r="AF24" s="586"/>
      <c r="AG24" s="586"/>
      <c r="AH24" s="888"/>
      <c r="AI24" s="585"/>
    </row>
    <row r="25" ht="30" customHeight="1">
      <c r="A25" s="887"/>
      <c r="B25" s="753"/>
      <c r="C25" t="s" s="754">
        <f>IF(LEFT(RIGHT($B$1,2),1)=" ",RIGHT($B$1,1),RIGHT($B$1,2))</f>
        <v>2298</v>
      </c>
      <c r="D25" s="755">
        <f>IF(LEFT(F25,5)="Bonne",B23+1,D24)</f>
        <v>1</v>
      </c>
      <c r="E25" s="756"/>
      <c r="F25" t="s" s="757">
        <v>1762</v>
      </c>
      <c r="G25" t="s" s="758">
        <f>VLOOKUP(E27,'BDD'!$A$2:$N$567,6,FALSE)</f>
        <v>1455</v>
      </c>
      <c r="H25" s="759"/>
      <c r="I25" s="760"/>
      <c r="J25" s="760"/>
      <c r="K25" s="760"/>
      <c r="L25" s="761"/>
      <c r="M25" s="762"/>
      <c r="N25" s="763"/>
      <c r="O25" s="764">
        <v>0</v>
      </c>
      <c r="P25" s="764"/>
      <c r="Q25" s="764"/>
      <c r="R25" s="764"/>
      <c r="S25" s="765">
        <f>_xlfn.SUMIFS(S1:S100,$D1:$D100,D25,$N1:$N100,"Exigences"&amp;"*")</f>
      </c>
      <c r="T25" s="765"/>
      <c r="U25" s="765"/>
      <c r="V25" s="766"/>
      <c r="W25" s="767"/>
      <c r="X25" s="586"/>
      <c r="Y25" s="586"/>
      <c r="Z25" s="586"/>
      <c r="AA25" s="586"/>
      <c r="AB25" s="586"/>
      <c r="AC25" s="586"/>
      <c r="AD25" s="586"/>
      <c r="AE25" s="586"/>
      <c r="AF25" s="586"/>
      <c r="AG25" s="586"/>
      <c r="AH25" s="888"/>
      <c r="AI25" s="585"/>
    </row>
    <row r="26" ht="30" customHeight="1">
      <c r="A26" s="887"/>
      <c r="B26" s="753"/>
      <c r="C26" t="s" s="754">
        <f>IF(LEFT(RIGHT($B$1,2),1)=" ",RIGHT($B$1,1),RIGHT($B$1,2))</f>
        <v>2298</v>
      </c>
      <c r="D26" s="755">
        <f>IF(LEFT(F26,5)="Bonne",D24+1,D25)</f>
        <v>1</v>
      </c>
      <c r="E26" s="768"/>
      <c r="F26" t="s" s="769">
        <v>1835</v>
      </c>
      <c r="G26" t="s" s="770">
        <f>VLOOKUP(E28,'BDD'!$A$2:$N$567,7,FALSE)</f>
        <v>2340</v>
      </c>
      <c r="H26" s="771"/>
      <c r="I26" s="771"/>
      <c r="J26" s="771"/>
      <c r="K26" s="771"/>
      <c r="L26" s="772"/>
      <c r="M26" s="773"/>
      <c r="N26" s="774"/>
      <c r="O26" s="775"/>
      <c r="P26" s="775"/>
      <c r="Q26" s="775"/>
      <c r="R26" s="775"/>
      <c r="S26" s="776"/>
      <c r="T26" s="776"/>
      <c r="U26" s="776"/>
      <c r="V26" s="777"/>
      <c r="W26" s="789">
        <f>_xlfn.IFERROR(IF(N26='Suppl'!$E$65,0,IF(N26='Suppl'!$E$66,1/2/(_xlfn.COUNTIFS($N1:$N100,"Exigences"&amp;"*")+_xlfn.COUNTIFS($N1:$N100,"Non"&amp;"*")),IF(N26='Suppl'!$E$67,1/(_xlfn.COUNTIFS($N1:$N100,"Exigences"&amp;"*")+_xlfn.COUNTIFS($N1:$N100,"Non"&amp;"*")),0))),0)</f>
      </c>
      <c r="X26" s="586"/>
      <c r="Y26" s="586"/>
      <c r="Z26" s="586"/>
      <c r="AA26" s="586"/>
      <c r="AB26" s="586"/>
      <c r="AC26" s="586"/>
      <c r="AD26" s="586"/>
      <c r="AE26" s="586"/>
      <c r="AF26" s="586"/>
      <c r="AG26" s="586"/>
      <c r="AH26" s="888"/>
      <c r="AI26" s="585"/>
    </row>
    <row r="27" ht="30" customHeight="1">
      <c r="A27" s="887"/>
      <c r="B27" s="753"/>
      <c r="C27" t="s" s="754">
        <f>IF(LEFT(RIGHT($B$1,2),1)=" ",RIGHT($B$1,1),RIGHT($B$1,2))</f>
        <v>2298</v>
      </c>
      <c r="D27" s="755">
        <f>IF(LEFT(F27,5)="Bonne",D25+1,D26)</f>
        <v>1</v>
      </c>
      <c r="E27" t="s" s="778">
        <f>C27&amp;D27&amp;RIGHT(F27,1)</f>
        <v>2299</v>
      </c>
      <c r="F27" t="s" s="779">
        <v>1769</v>
      </c>
      <c r="G27" t="s" s="780">
        <f>VLOOKUP(E27,'BDD'!$A$2:$N$567,MATCH(G$24,'BDD'!$A$1:$P$1,0),FALSE)</f>
        <v>1457</v>
      </c>
      <c r="H27" t="s" s="799">
        <f>IF(VLOOKUP($E27,'BDD'!$A$2:$N$567,MATCH($H$23,'BDD'!$A$1:$P$1,0),FALSE)=H$24,H$24,"")</f>
        <v>1966</v>
      </c>
      <c r="I27" t="s" s="792">
        <f>IF(VLOOKUP($E27,'BDD'!$A$2:$N$567,MATCH($H$23,'BDD'!$A$1:$P$1,0),FALSE)=I$24,I$24,"")</f>
      </c>
      <c r="J27" t="s" s="792">
        <f>IF(VLOOKUP($E27,'BDD'!$A$2:$N$567,MATCH($H$23,'BDD'!$A$1:$P$1,0),FALSE)=J$24,J$24,"")</f>
      </c>
      <c r="K27" t="s" s="792">
        <f>IF(VLOOKUP($E27,'BDD'!$A$2:$N$567,MATCH($H$23,'BDD'!$A$1:$P$1,0),FALSE)=K$24,K$24,"")</f>
      </c>
      <c r="L27" t="s" s="783">
        <f>IF(VLOOKUP($E27,'BDD'!$A$2:$N$567,MATCH($H$23,'BDD'!$A$1:$P$1,0),FALSE)=L$24,L$24,"")</f>
      </c>
      <c r="M27" s="784">
        <f>IF(N27="Exigences partiellement respectées",1,IF(N27="Exigences respectées",2,0))</f>
        <v>0</v>
      </c>
      <c r="N27" t="s" s="780">
        <f>VLOOKUP(VLOOKUP(E27,'BDD'!$A$2:$P$567,15,FALSE),'Suppl'!$D$64:$E$68,2,FALSE)</f>
        <v>1751</v>
      </c>
      <c r="O27" s="785"/>
      <c r="P27" s="786"/>
      <c r="Q27" s="786"/>
      <c r="R27" s="786"/>
      <c r="S27" s="787">
        <f>IF(N27='Suppl'!$E$65,0,IF(N27='Suppl'!$E$66,1/2/(_xlfn.COUNTIFS($D1:$D100,D27,$N1:$N100,"Exigences"&amp;"*",G1:G100,"&lt;&gt;0")+_xlfn.COUNTIFS($D1:$D100,D27,$N1:$N100,"Non"&amp;"*",G1:G100,"&lt;&gt;0")),IF(N27='Suppl'!$E$67,1/(_xlfn.COUNTIFS($D1:$D100,D27,$N1:$N100,"Exigences"&amp;"*",G1:G100,"&lt;&gt;0")+_xlfn.COUNTIFS($D1:$D100,D27,$N1:$N100,"Non"&amp;"*",G1:G100,"&lt;&gt;0")),0)))</f>
      </c>
      <c r="T27" s="787"/>
      <c r="U27" s="787"/>
      <c r="V27" s="788"/>
      <c r="W27" s="789">
        <f>_xlfn.IFERROR(IF(N27='Suppl'!$E$65,0,IF(N27='Suppl'!$E$66,1/2/(_xlfn.COUNTIFS($N1:$N100,"Exigences"&amp;"*")+_xlfn.COUNTIFS($N1:$N100,"Non"&amp;"*")),IF(N27='Suppl'!$E$67,1/(_xlfn.COUNTIFS($N1:$N100,"Exigences"&amp;"*")+_xlfn.COUNTIFS($N1:$N100,"Non"&amp;"*")),0))),0)</f>
      </c>
      <c r="X27" s="586"/>
      <c r="Y27" s="586"/>
      <c r="Z27" s="586"/>
      <c r="AA27" s="586"/>
      <c r="AB27" s="586"/>
      <c r="AC27" s="586"/>
      <c r="AD27" s="586"/>
      <c r="AE27" s="586"/>
      <c r="AF27" s="586"/>
      <c r="AG27" s="586"/>
      <c r="AH27" s="888"/>
      <c r="AI27" s="585"/>
    </row>
    <row r="28" ht="30" customHeight="1">
      <c r="A28" s="887"/>
      <c r="B28" s="753"/>
      <c r="C28" t="s" s="754">
        <f>IF(LEFT(RIGHT($B$1,2),1)=" ",RIGHT($B$1,1),RIGHT($B$1,2))</f>
        <v>2298</v>
      </c>
      <c r="D28" s="755">
        <f>IF(LEFT(F28,5)="Bonne",D26+1,D27)</f>
        <v>1</v>
      </c>
      <c r="E28" t="s" s="778">
        <f>C28&amp;D28&amp;RIGHT(F28,1)</f>
        <v>2300</v>
      </c>
      <c r="F28" t="s" s="790">
        <v>1837</v>
      </c>
      <c r="G28" t="s" s="791">
        <f>VLOOKUP(E28,'BDD'!$A$2:$N$567,MATCH(G$24,'BDD'!$A$1:$P$1,0),FALSE)</f>
        <v>1461</v>
      </c>
      <c r="H28" t="s" s="799">
        <f>IF(VLOOKUP($E28,'BDD'!$A$2:$N$567,MATCH($H$23,'BDD'!$A$1:$P$1,0),FALSE)=H$24,H$24,"")</f>
      </c>
      <c r="I28" t="s" s="792">
        <f>IF(VLOOKUP($E28,'BDD'!$A$2:$N$567,MATCH($H$23,'BDD'!$A$1:$P$1,0),FALSE)=I$24,I$24,"")</f>
        <v>1969</v>
      </c>
      <c r="J28" t="s" s="792">
        <f>IF(VLOOKUP($E28,'BDD'!$A$2:$N$567,MATCH($H$23,'BDD'!$A$1:$P$1,0),FALSE)=J$24,J$24,"")</f>
      </c>
      <c r="K28" t="s" s="792">
        <f>IF(VLOOKUP($E28,'BDD'!$A$2:$N$567,MATCH($H$23,'BDD'!$A$1:$P$1,0),FALSE)=K$24,K$24,"")</f>
      </c>
      <c r="L28" t="s" s="783">
        <f>IF(VLOOKUP($E28,'BDD'!$A$2:$N$567,MATCH($H$23,'BDD'!$A$1:$P$1,0),FALSE)=L$24,L$24,"")</f>
      </c>
      <c r="M28" s="794">
        <f>IF(N28="Exigences partiellement respectées",1,IF(N28="Exigences respectées",2,0))</f>
        <v>0</v>
      </c>
      <c r="N28" t="s" s="791">
        <f>VLOOKUP(VLOOKUP(E28,'BDD'!$A$2:$P$567,15,FALSE),'Suppl'!$D$64:$E$68,2,FALSE)</f>
        <v>1751</v>
      </c>
      <c r="O28" s="795"/>
      <c r="P28" s="796"/>
      <c r="Q28" s="796"/>
      <c r="R28" s="796"/>
      <c r="S28" s="797">
        <f>IF(N28='Suppl'!$E$65,0,IF(N28='Suppl'!$E$66,1/2/(_xlfn.COUNTIFS($D1:$D100,D28,$N1:$N100,"Exigences"&amp;"*",G1:G100,"&lt;&gt;0")+_xlfn.COUNTIFS($D1:$D100,D28,$N1:$N100,"Non"&amp;"*",G1:G100,"&lt;&gt;0")),IF(N28='Suppl'!$E$67,1/(_xlfn.COUNTIFS($D1:$D100,D28,$N1:$N100,"Exigences"&amp;"*",G1:G100,"&lt;&gt;0")+_xlfn.COUNTIFS($D1:$D100,D28,$N1:$N100,"Non"&amp;"*",G1:G100,"&lt;&gt;0")),0)))</f>
      </c>
      <c r="T28" s="797"/>
      <c r="U28" s="797"/>
      <c r="V28" s="798"/>
      <c r="W28" s="789">
        <f>_xlfn.IFERROR(IF(N28='Suppl'!$E$65,0,IF(N28='Suppl'!$E$66,1/2/(_xlfn.COUNTIFS($N1:$N100,"Exigences"&amp;"*")+_xlfn.COUNTIFS($N1:$N100,"Non"&amp;"*")),IF(N28='Suppl'!$E$67,1/(_xlfn.COUNTIFS($N1:$N100,"Exigences"&amp;"*")+_xlfn.COUNTIFS($N1:$N100,"Non"&amp;"*")),0))),0)</f>
      </c>
      <c r="X28" s="586"/>
      <c r="Y28" s="586"/>
      <c r="Z28" s="586"/>
      <c r="AA28" s="586"/>
      <c r="AB28" s="586"/>
      <c r="AC28" s="586"/>
      <c r="AD28" s="586"/>
      <c r="AE28" s="586"/>
      <c r="AF28" s="586"/>
      <c r="AG28" s="586"/>
      <c r="AH28" s="888"/>
      <c r="AI28" s="585"/>
    </row>
    <row r="29" ht="30" customHeight="1">
      <c r="A29" s="887"/>
      <c r="B29" s="753"/>
      <c r="C29" t="s" s="754">
        <f>IF(LEFT(RIGHT($B$1,2),1)=" ",RIGHT($B$1,1),RIGHT($B$1,2))</f>
        <v>2298</v>
      </c>
      <c r="D29" s="755">
        <f>IF(LEFT(F29,5)="Bonne",D27+1,D28)</f>
        <v>1</v>
      </c>
      <c r="E29" t="s" s="778">
        <f>C29&amp;D29&amp;RIGHT(F29,1)</f>
        <v>2301</v>
      </c>
      <c r="F29" t="s" s="779">
        <v>1774</v>
      </c>
      <c r="G29" t="s" s="780">
        <f>VLOOKUP(E29,'BDD'!$A$2:$N$567,MATCH(G$24,'BDD'!$A$1:$P$1,0),FALSE)</f>
        <v>1467</v>
      </c>
      <c r="H29" t="s" s="799">
        <f>IF(VLOOKUP($E29,'BDD'!$A$2:$N$567,MATCH($H$23,'BDD'!$A$1:$P$1,0),FALSE)=H$24,H$24,"")</f>
      </c>
      <c r="I29" t="s" s="792">
        <f>IF(VLOOKUP($E29,'BDD'!$A$2:$N$567,MATCH($H$23,'BDD'!$A$1:$P$1,0),FALSE)=I$24,I$24,"")</f>
      </c>
      <c r="J29" t="s" s="792">
        <f>IF(VLOOKUP($E29,'BDD'!$A$2:$N$567,MATCH($H$23,'BDD'!$A$1:$P$1,0),FALSE)=J$24,J$24,"")</f>
        <v>1967</v>
      </c>
      <c r="K29" t="s" s="792">
        <f>IF(VLOOKUP($E29,'BDD'!$A$2:$N$567,MATCH($H$23,'BDD'!$A$1:$P$1,0),FALSE)=K$24,K$24,"")</f>
      </c>
      <c r="L29" t="s" s="783">
        <f>IF(VLOOKUP($E29,'BDD'!$A$2:$N$567,MATCH($H$23,'BDD'!$A$1:$P$1,0),FALSE)=L$24,L$24,"")</f>
      </c>
      <c r="M29" s="794">
        <f>IF(N29="Exigences partiellement respectées",1,IF(N29="Exigences respectées",2,0))</f>
        <v>0</v>
      </c>
      <c r="N29" t="s" s="780">
        <f>VLOOKUP(VLOOKUP(E29,'BDD'!$A$2:$P$567,15,FALSE),'Suppl'!$D$64:$E$68,2,FALSE)</f>
        <v>1751</v>
      </c>
      <c r="O29" s="795"/>
      <c r="P29" s="796"/>
      <c r="Q29" s="796"/>
      <c r="R29" s="796"/>
      <c r="S29" s="797">
        <f>IF(N29='Suppl'!$E$65,0,IF(N29='Suppl'!$E$66,1/2/(_xlfn.COUNTIFS($D1:$D100,D29,$N1:$N100,"Exigences"&amp;"*",G1:G100,"&lt;&gt;0")+_xlfn.COUNTIFS($D1:$D100,D29,$N1:$N100,"Non"&amp;"*",G1:G100,"&lt;&gt;0")),IF(N29='Suppl'!$E$67,1/(_xlfn.COUNTIFS($D1:$D100,D29,$N1:$N100,"Exigences"&amp;"*",G1:G100,"&lt;&gt;0")+_xlfn.COUNTIFS($D1:$D100,D29,$N1:$N100,"Non"&amp;"*",G1:G100,"&lt;&gt;0")),0)))</f>
      </c>
      <c r="T29" s="797"/>
      <c r="U29" s="797"/>
      <c r="V29" s="798"/>
      <c r="W29" s="789">
        <f>_xlfn.IFERROR(IF(N29='Suppl'!$E$65,0,IF(N29='Suppl'!$E$66,1/2/(_xlfn.COUNTIFS($N1:$N100,"Exigences"&amp;"*")+_xlfn.COUNTIFS($N1:$N100,"Non"&amp;"*")),IF(N29='Suppl'!$E$67,1/(_xlfn.COUNTIFS($N1:$N100,"Exigences"&amp;"*")+_xlfn.COUNTIFS($N1:$N100,"Non"&amp;"*")),0))),0)</f>
      </c>
      <c r="X29" s="586"/>
      <c r="Y29" s="586"/>
      <c r="Z29" s="586"/>
      <c r="AA29" s="586"/>
      <c r="AB29" s="586"/>
      <c r="AC29" s="586"/>
      <c r="AD29" s="586"/>
      <c r="AE29" s="586"/>
      <c r="AF29" s="586"/>
      <c r="AG29" s="586"/>
      <c r="AH29" s="888"/>
      <c r="AI29" s="585"/>
    </row>
    <row r="30" ht="41.4" customHeight="1">
      <c r="A30" s="887"/>
      <c r="B30" s="753"/>
      <c r="C30" t="s" s="754">
        <f>IF(LEFT(RIGHT($B$1,2),1)=" ",RIGHT($B$1,1),RIGHT($B$1,2))</f>
        <v>2298</v>
      </c>
      <c r="D30" s="755">
        <f>IF(LEFT(F30,5)="Bonne",D28+1,D29)</f>
        <v>1</v>
      </c>
      <c r="E30" t="s" s="778">
        <f>C30&amp;D30&amp;RIGHT(F30,1)</f>
        <v>2302</v>
      </c>
      <c r="F30" t="s" s="790">
        <v>1776</v>
      </c>
      <c r="G30" t="s" s="791">
        <f>VLOOKUP(E30,'BDD'!$A$2:$N$567,MATCH(G$24,'BDD'!$A$1:$P$1,0),FALSE)</f>
        <v>1471</v>
      </c>
      <c r="H30" t="s" s="799">
        <f>IF(VLOOKUP($E30,'BDD'!$A$2:$N$567,MATCH($H$23,'BDD'!$A$1:$P$1,0),FALSE)=H$24,H$24,"")</f>
      </c>
      <c r="I30" t="s" s="792">
        <f>IF(VLOOKUP($E30,'BDD'!$A$2:$N$567,MATCH($H$23,'BDD'!$A$1:$P$1,0),FALSE)=I$24,I$24,"")</f>
      </c>
      <c r="J30" t="s" s="792">
        <f>IF(VLOOKUP($E30,'BDD'!$A$2:$N$567,MATCH($H$23,'BDD'!$A$1:$P$1,0),FALSE)=J$24,J$24,"")</f>
      </c>
      <c r="K30" t="s" s="792">
        <f>IF(VLOOKUP($E30,'BDD'!$A$2:$N$567,MATCH($H$23,'BDD'!$A$1:$P$1,0),FALSE)=K$24,K$24,"")</f>
        <v>1968</v>
      </c>
      <c r="L30" t="s" s="783">
        <f>IF(VLOOKUP($E30,'BDD'!$A$2:$N$567,MATCH($H$23,'BDD'!$A$1:$P$1,0),FALSE)=L$24,L$24,"")</f>
      </c>
      <c r="M30" s="1029">
        <f>IF(N30="Exigences partiellement respectées",1,IF(N30="Exigences respectées",2,0))</f>
      </c>
      <c r="N30" t="s" s="791">
        <f>VLOOKUP(VLOOKUP(E30,'BDD'!$A$2:$P$567,15,FALSE),'Suppl'!$D$64:$E$68,2,FALSE)</f>
        <v>1751</v>
      </c>
      <c r="O30" s="795"/>
      <c r="P30" s="796"/>
      <c r="Q30" s="796"/>
      <c r="R30" s="796"/>
      <c r="S30" s="797">
        <f>IF(N30='Suppl'!$E$65,0,IF(N30='Suppl'!$E$66,1/2/(_xlfn.COUNTIFS($D1:$D100,D30,$N1:$N100,"Exigences"&amp;"*",G1:G100,"&lt;&gt;0")+_xlfn.COUNTIFS($D1:$D100,D30,$N1:$N100,"Non"&amp;"*",G1:G100,"&lt;&gt;0")),IF(N30='Suppl'!$E$67,1/(_xlfn.COUNTIFS($D1:$D100,D30,$N1:$N100,"Exigences"&amp;"*",G1:G100,"&lt;&gt;0")+_xlfn.COUNTIFS($D1:$D100,D30,$N1:$N100,"Non"&amp;"*",G1:G100,"&lt;&gt;0")),0)))</f>
      </c>
      <c r="T30" s="797"/>
      <c r="U30" s="797"/>
      <c r="V30" s="798"/>
      <c r="W30" s="789">
        <f>_xlfn.IFERROR(IF(N30='Suppl'!$E$65,0,IF(N30='Suppl'!$E$66,1/2/(_xlfn.COUNTIFS($N1:$N100,"Exigences"&amp;"*")+_xlfn.COUNTIFS($N1:$N100,"Non"&amp;"*")),IF(N30='Suppl'!$E$67,1/(_xlfn.COUNTIFS($N1:$N100,"Exigences"&amp;"*")+_xlfn.COUNTIFS($N1:$N100,"Non"&amp;"*")),0))),0)</f>
      </c>
      <c r="X30" t="s" s="744">
        <v>171</v>
      </c>
      <c r="Y30" s="586"/>
      <c r="Z30" s="586"/>
      <c r="AA30" s="586"/>
      <c r="AB30" s="586"/>
      <c r="AC30" s="586"/>
      <c r="AD30" s="586"/>
      <c r="AE30" s="586"/>
      <c r="AF30" s="586"/>
      <c r="AG30" s="586"/>
      <c r="AH30" s="888"/>
      <c r="AI30" s="585"/>
    </row>
    <row r="31" ht="30" customHeight="1">
      <c r="A31" s="887"/>
      <c r="B31" s="753"/>
      <c r="C31" t="s" s="754">
        <f>IF(LEFT(RIGHT($B$1,2),1)=" ",RIGHT($B$1,1),RIGHT($B$1,2))</f>
        <v>2298</v>
      </c>
      <c r="D31" s="755">
        <f>IF(LEFT(F31,5)="Bonne",D29+1,D30)</f>
        <v>1</v>
      </c>
      <c r="E31" t="s" s="778">
        <f>C31&amp;D31&amp;RIGHT(F31,1)</f>
        <v>2303</v>
      </c>
      <c r="F31" t="s" s="779">
        <v>1778</v>
      </c>
      <c r="G31" t="s" s="780">
        <f>VLOOKUP(E31,'BDD'!$A$2:$N$567,MATCH(G$24,'BDD'!$A$1:$P$1,0),FALSE)</f>
        <v>1474</v>
      </c>
      <c r="H31" t="s" s="799">
        <f>IF(VLOOKUP($E31,'BDD'!$A$2:$N$567,MATCH($H$23,'BDD'!$A$1:$P$1,0),FALSE)=H$24,H$24,"")</f>
      </c>
      <c r="I31" t="s" s="792">
        <f>IF(VLOOKUP($E31,'BDD'!$A$2:$N$567,MATCH($H$23,'BDD'!$A$1:$P$1,0),FALSE)=I$24,I$24,"")</f>
      </c>
      <c r="J31" t="s" s="792">
        <f>IF(VLOOKUP($E31,'BDD'!$A$2:$N$567,MATCH($H$23,'BDD'!$A$1:$P$1,0),FALSE)=J$24,J$24,"")</f>
      </c>
      <c r="K31" t="s" s="792">
        <f>IF(VLOOKUP($E31,'BDD'!$A$2:$N$567,MATCH($H$23,'BDD'!$A$1:$P$1,0),FALSE)=K$24,K$24,"")</f>
        <v>1968</v>
      </c>
      <c r="L31" t="s" s="783">
        <f>IF(VLOOKUP($E31,'BDD'!$A$2:$N$567,MATCH($H$23,'BDD'!$A$1:$P$1,0),FALSE)=L$24,L$24,"")</f>
      </c>
      <c r="M31" s="794">
        <f>IF(N31="Exigences partiellement respectées",1,IF(N31="Exigences respectées",2,0))</f>
        <v>0</v>
      </c>
      <c r="N31" t="s" s="780">
        <f>VLOOKUP(VLOOKUP(E31,'BDD'!$A$2:$P$567,15,FALSE),'Suppl'!$D$64:$E$68,2,FALSE)</f>
        <v>1751</v>
      </c>
      <c r="O31" s="795"/>
      <c r="P31" s="796"/>
      <c r="Q31" s="796"/>
      <c r="R31" s="796"/>
      <c r="S31" s="797">
        <f>IF(N31='Suppl'!$E$65,0,IF(N31='Suppl'!$E$66,1/2/(_xlfn.COUNTIFS($D1:$D100,D31,$N1:$N100,"Exigences"&amp;"*",G1:G100,"&lt;&gt;0")+_xlfn.COUNTIFS($D1:$D100,D31,$N1:$N100,"Non"&amp;"*",G1:G100,"&lt;&gt;0")),IF(N31='Suppl'!$E$67,1/(_xlfn.COUNTIFS($D1:$D100,D31,$N1:$N100,"Exigences"&amp;"*",G1:G100,"&lt;&gt;0")+_xlfn.COUNTIFS($D1:$D100,D31,$N1:$N100,"Non"&amp;"*",G1:G100,"&lt;&gt;0")),0)))</f>
      </c>
      <c r="T31" s="797"/>
      <c r="U31" s="797"/>
      <c r="V31" s="798"/>
      <c r="W31" s="789">
        <f>_xlfn.IFERROR(IF(N31='Suppl'!$E$65,0,IF(N31='Suppl'!$E$66,1/2/(_xlfn.COUNTIFS($N1:$N100,"Exigences"&amp;"*")+_xlfn.COUNTIFS($N1:$N100,"Non"&amp;"*")),IF(N31='Suppl'!$E$67,1/(_xlfn.COUNTIFS($N1:$N100,"Exigences"&amp;"*")+_xlfn.COUNTIFS($N1:$N100,"Non"&amp;"*")),0))),0)</f>
      </c>
      <c r="X31" s="586"/>
      <c r="Y31" s="586"/>
      <c r="Z31" s="586"/>
      <c r="AA31" s="586"/>
      <c r="AB31" s="586"/>
      <c r="AC31" s="586"/>
      <c r="AD31" s="586"/>
      <c r="AE31" s="586"/>
      <c r="AF31" s="586"/>
      <c r="AG31" s="586"/>
      <c r="AH31" s="888"/>
      <c r="AI31" s="585"/>
    </row>
    <row r="32" ht="30" customHeight="1">
      <c r="A32" s="887"/>
      <c r="B32" s="753"/>
      <c r="C32" t="s" s="754">
        <f>IF(LEFT(RIGHT($B$1,2),1)=" ",RIGHT($B$1,1),RIGHT($B$1,2))</f>
        <v>2298</v>
      </c>
      <c r="D32" s="755">
        <f>IF(LEFT(F32,5)="Bonne",D30+1,D31)</f>
        <v>1</v>
      </c>
      <c r="E32" t="s" s="778">
        <f>C32&amp;D32&amp;RIGHT(F32,1)</f>
        <v>2304</v>
      </c>
      <c r="F32" t="s" s="790">
        <v>1780</v>
      </c>
      <c r="G32" t="s" s="791">
        <f>VLOOKUP(E32,'BDD'!$A$2:$N$567,MATCH(G$24,'BDD'!$A$1:$P$1,0),FALSE)</f>
        <v>1477</v>
      </c>
      <c r="H32" t="s" s="799">
        <f>IF(VLOOKUP($E32,'BDD'!$A$2:$N$567,MATCH($H$23,'BDD'!$A$1:$P$1,0),FALSE)=H$24,H$24,"")</f>
      </c>
      <c r="I32" t="s" s="792">
        <f>IF(VLOOKUP($E32,'BDD'!$A$2:$N$567,MATCH($H$23,'BDD'!$A$1:$P$1,0),FALSE)=I$24,I$24,"")</f>
      </c>
      <c r="J32" t="s" s="792">
        <f>IF(VLOOKUP($E32,'BDD'!$A$2:$N$567,MATCH($H$23,'BDD'!$A$1:$P$1,0),FALSE)=J$24,J$24,"")</f>
      </c>
      <c r="K32" t="s" s="792">
        <f>IF(VLOOKUP($E32,'BDD'!$A$2:$N$567,MATCH($H$23,'BDD'!$A$1:$P$1,0),FALSE)=K$24,K$24,"")</f>
        <v>1968</v>
      </c>
      <c r="L32" t="s" s="783">
        <f>IF(VLOOKUP($E32,'BDD'!$A$2:$N$567,MATCH($H$23,'BDD'!$A$1:$P$1,0),FALSE)=L$24,L$24,"")</f>
      </c>
      <c r="M32" s="800">
        <f>IF(N32="Exigences partiellement respectées",1,IF(N32="Exigences respectées",2,0))</f>
        <v>0</v>
      </c>
      <c r="N32" t="s" s="791">
        <f>VLOOKUP(VLOOKUP(E32,'BDD'!$A$2:$P$567,15,FALSE),'Suppl'!$D$64:$E$68,2,FALSE)</f>
        <v>1751</v>
      </c>
      <c r="O32" s="801"/>
      <c r="P32" s="802"/>
      <c r="Q32" s="802"/>
      <c r="R32" s="802"/>
      <c r="S32" s="803">
        <f>IF(N32='Suppl'!$E$65,0,IF(N32='Suppl'!$E$66,1/2/(_xlfn.COUNTIFS($D1:$D100,D32,$N1:$N100,"Exigences"&amp;"*",G1:G100,"&lt;&gt;0")+_xlfn.COUNTIFS($D1:$D100,D32,$N1:$N100,"Non"&amp;"*",G1:G100,"&lt;&gt;0")),IF(N32='Suppl'!$E$67,1/(_xlfn.COUNTIFS($D1:$D100,D32,$N1:$N100,"Exigences"&amp;"*",G1:G100,"&lt;&gt;0")+_xlfn.COUNTIFS($D1:$D100,D32,$N1:$N100,"Non"&amp;"*",G1:G100,"&lt;&gt;0")),0)))</f>
      </c>
      <c r="T32" s="803"/>
      <c r="U32" s="803"/>
      <c r="V32" s="804"/>
      <c r="W32" s="789">
        <f>_xlfn.IFERROR(IF(N32='Suppl'!$E$65,0,IF(N32='Suppl'!$E$66,1/2/(_xlfn.COUNTIFS($N1:$N100,"Exigences"&amp;"*")+_xlfn.COUNTIFS($N1:$N100,"Non"&amp;"*")),IF(N32='Suppl'!$E$67,1/(_xlfn.COUNTIFS($N1:$N100,"Exigences"&amp;"*")+_xlfn.COUNTIFS($N1:$N100,"Non"&amp;"*")),0))),0)</f>
      </c>
      <c r="X32" s="586"/>
      <c r="Y32" s="586"/>
      <c r="Z32" s="586"/>
      <c r="AA32" s="586"/>
      <c r="AB32" s="586"/>
      <c r="AC32" s="586"/>
      <c r="AD32" s="586"/>
      <c r="AE32" s="586"/>
      <c r="AF32" s="586"/>
      <c r="AG32" s="586"/>
      <c r="AH32" s="888"/>
      <c r="AI32" s="585"/>
    </row>
    <row r="33" ht="30" customHeight="1">
      <c r="A33" s="887"/>
      <c r="B33" s="753"/>
      <c r="C33" t="s" s="754">
        <f>IF(LEFT(RIGHT($B$1,2),1)=" ",RIGHT($B$1,1),RIGHT($B$1,2))</f>
        <v>2298</v>
      </c>
      <c r="D33" s="755">
        <v>2</v>
      </c>
      <c r="E33" s="756"/>
      <c r="F33" t="s" s="757">
        <v>1785</v>
      </c>
      <c r="G33" t="s" s="758">
        <f>VLOOKUP(E35,'BDD'!$A$2:$N$567,6,FALSE)</f>
        <v>1479</v>
      </c>
      <c r="H33" t="s" s="805">
        <f>VLOOKUP(E35,'BDD'!$A$2:$N$567,6,FALSE)</f>
        <v>1479</v>
      </c>
      <c r="I33" s="760"/>
      <c r="J33" s="760"/>
      <c r="K33" s="760"/>
      <c r="L33" s="761"/>
      <c r="M33" s="762"/>
      <c r="N33" s="763"/>
      <c r="O33" s="764">
        <v>0</v>
      </c>
      <c r="P33" s="764"/>
      <c r="Q33" s="764"/>
      <c r="R33" s="764"/>
      <c r="S33" s="765">
        <f>_xlfn.SUMIFS(S1:S100,$D1:$D100,D33,$N1:$N100,"Exigences"&amp;"*")</f>
      </c>
      <c r="T33" s="765"/>
      <c r="U33" s="765"/>
      <c r="V33" s="766"/>
      <c r="W33" s="789">
        <f>_xlfn.IFERROR(IF(N33='Suppl'!$E$65,0,IF(N33='Suppl'!$E$66,1/2/(_xlfn.COUNTIFS($N1:$N100,"Exigences"&amp;"*")+_xlfn.COUNTIFS($N1:$N100,"Non"&amp;"*")),IF(N33='Suppl'!$E$67,1/(_xlfn.COUNTIFS($N1:$N100,"Exigences"&amp;"*")+_xlfn.COUNTIFS($N1:$N100,"Non"&amp;"*")),0))),0)</f>
      </c>
      <c r="X33" s="586"/>
      <c r="Y33" s="586"/>
      <c r="Z33" s="586"/>
      <c r="AA33" s="586"/>
      <c r="AB33" s="586"/>
      <c r="AC33" s="586"/>
      <c r="AD33" s="586"/>
      <c r="AE33" s="586"/>
      <c r="AF33" s="586"/>
      <c r="AG33" s="586"/>
      <c r="AH33" s="888"/>
      <c r="AI33" s="585"/>
    </row>
    <row r="34" ht="30" customHeight="1">
      <c r="A34" s="887"/>
      <c r="B34" s="753"/>
      <c r="C34" t="s" s="754">
        <f>IF(LEFT(RIGHT($B$1,2),1)=" ",RIGHT($B$1,1),RIGHT($B$1,2))</f>
        <v>2298</v>
      </c>
      <c r="D34" s="755">
        <v>2</v>
      </c>
      <c r="E34" s="756"/>
      <c r="F34" t="s" s="769">
        <v>1835</v>
      </c>
      <c r="G34" t="s" s="770">
        <f>VLOOKUP(E36,'BDD'!$A$2:$N$567,7,FALSE)</f>
        <v>2341</v>
      </c>
      <c r="H34" s="771"/>
      <c r="I34" s="771"/>
      <c r="J34" s="771"/>
      <c r="K34" s="771"/>
      <c r="L34" s="772"/>
      <c r="M34" s="773"/>
      <c r="N34" s="774"/>
      <c r="O34" s="775"/>
      <c r="P34" s="775"/>
      <c r="Q34" s="775"/>
      <c r="R34" s="775"/>
      <c r="S34" s="776"/>
      <c r="T34" s="776"/>
      <c r="U34" s="776"/>
      <c r="V34" s="777"/>
      <c r="W34" s="789">
        <f>_xlfn.IFERROR(IF(N34='Suppl'!$E$65,0,IF(N34='Suppl'!$E$66,1/2/(_xlfn.COUNTIFS($N1:$N100,"Exigences"&amp;"*")+_xlfn.COUNTIFS($N1:$N100,"Non"&amp;"*")),IF(N34='Suppl'!$E$67,1/(_xlfn.COUNTIFS($N1:$N100,"Exigences"&amp;"*")+_xlfn.COUNTIFS($N1:$N100,"Non"&amp;"*")),0))),0)</f>
      </c>
      <c r="X34" s="586"/>
      <c r="Y34" s="586"/>
      <c r="Z34" s="586"/>
      <c r="AA34" s="586"/>
      <c r="AB34" s="586"/>
      <c r="AC34" s="586"/>
      <c r="AD34" s="586"/>
      <c r="AE34" s="586"/>
      <c r="AF34" s="586"/>
      <c r="AG34" s="586"/>
      <c r="AH34" s="888"/>
      <c r="AI34" s="585"/>
    </row>
    <row r="35" ht="30" customHeight="1">
      <c r="A35" s="887"/>
      <c r="B35" s="753"/>
      <c r="C35" t="s" s="754">
        <f>IF(LEFT(RIGHT($B$1,2),1)=" ",RIGHT($B$1,1),RIGHT($B$1,2))</f>
        <v>2298</v>
      </c>
      <c r="D35" s="755">
        <f>IF(LEFT(F35,5)="Bonne",D33+1,D34)</f>
        <v>2</v>
      </c>
      <c r="E35" t="s" s="778">
        <f>C35&amp;D35&amp;RIGHT(F35,1)</f>
        <v>2309</v>
      </c>
      <c r="F35" t="s" s="779">
        <v>1769</v>
      </c>
      <c r="G35" t="s" s="780">
        <f>VLOOKUP(E35,'BDD'!$A$2:$N$567,MATCH(G$24,'BDD'!$A$1:$P$1,0),FALSE)</f>
        <v>1481</v>
      </c>
      <c r="H35" t="s" s="799">
        <f>IF(VLOOKUP($E35,'BDD'!$A$2:$N$567,MATCH($H$23,'BDD'!$A$1:$P$1,0),FALSE)=H$24,H$24,"")</f>
        <v>1966</v>
      </c>
      <c r="I35" t="s" s="792">
        <f>IF(VLOOKUP($E35,'BDD'!$A$2:$N$567,MATCH($H$23,'BDD'!$A$1:$P$1,0),FALSE)=I$24,I$24,"")</f>
      </c>
      <c r="J35" t="s" s="792">
        <f>IF(VLOOKUP($E35,'BDD'!$A$2:$N$567,MATCH($H$23,'BDD'!$A$1:$P$1,0),FALSE)=J$24,J$24,"")</f>
      </c>
      <c r="K35" t="s" s="792">
        <f>IF(VLOOKUP($E35,'BDD'!$A$2:$N$567,MATCH($H$23,'BDD'!$A$1:$P$1,0),FALSE)=K$24,K$24,"")</f>
      </c>
      <c r="L35" t="s" s="783">
        <f>IF(VLOOKUP($E35,'BDD'!$A$2:$N$567,MATCH($H$23,'BDD'!$A$1:$P$1,0),FALSE)=L$24,L$24,"")</f>
      </c>
      <c r="M35" s="784">
        <f>IF(N35="Exigences partiellement respectées",1,IF(N35="Exigences respectées",2,0))</f>
        <v>0</v>
      </c>
      <c r="N35" t="s" s="780">
        <f>VLOOKUP(VLOOKUP(E35,'BDD'!$A$2:$P$567,15,FALSE),'Suppl'!$D$64:$E$68,2,FALSE)</f>
        <v>1751</v>
      </c>
      <c r="O35" s="785"/>
      <c r="P35" s="786"/>
      <c r="Q35" s="786"/>
      <c r="R35" s="786"/>
      <c r="S35" s="787">
        <f>IF(N35='Suppl'!$E$65,0,IF(N35='Suppl'!$E$66,1/2/(_xlfn.COUNTIFS($D1:$D100,D35,$N1:$N100,"Exigences"&amp;"*",G1:G100,"&lt;&gt;0")+_xlfn.COUNTIFS($D1:$D100,D35,$N1:$N100,"Non"&amp;"*",G1:G100,"&lt;&gt;0")),IF(N35='Suppl'!$E$67,1/(_xlfn.COUNTIFS($D1:$D100,D35,$N1:$N100,"Exigences"&amp;"*",G1:G100,"&lt;&gt;0")+_xlfn.COUNTIFS($D1:$D100,D35,$N1:$N100,"Non"&amp;"*",G1:G100,"&lt;&gt;0")),0)))</f>
      </c>
      <c r="T35" s="787"/>
      <c r="U35" s="787"/>
      <c r="V35" s="788"/>
      <c r="W35" s="789">
        <f>_xlfn.IFERROR(IF(N35='Suppl'!$E$65,0,IF(N35='Suppl'!$E$66,1/2/(_xlfn.COUNTIFS($N1:$N100,"Exigences"&amp;"*")+_xlfn.COUNTIFS($N1:$N100,"Non"&amp;"*")),IF(N35='Suppl'!$E$67,1/(_xlfn.COUNTIFS($N1:$N100,"Exigences"&amp;"*")+_xlfn.COUNTIFS($N1:$N100,"Non"&amp;"*")),0))),0)</f>
      </c>
      <c r="X35" s="586"/>
      <c r="Y35" s="586"/>
      <c r="Z35" s="586"/>
      <c r="AA35" s="586"/>
      <c r="AB35" s="586"/>
      <c r="AC35" s="586"/>
      <c r="AD35" s="586"/>
      <c r="AE35" s="586"/>
      <c r="AF35" s="586"/>
      <c r="AG35" s="586"/>
      <c r="AH35" s="888"/>
      <c r="AI35" s="585"/>
    </row>
    <row r="36" ht="41.4" customHeight="1">
      <c r="A36" s="887"/>
      <c r="B36" s="753"/>
      <c r="C36" t="s" s="754">
        <f>IF(LEFT(RIGHT($B$1,2),1)=" ",RIGHT($B$1,1),RIGHT($B$1,2))</f>
        <v>2298</v>
      </c>
      <c r="D36" s="755">
        <f>IF(LEFT(F36,5)="Bonne",D34+1,D35)</f>
        <v>2</v>
      </c>
      <c r="E36" t="s" s="778">
        <f>C36&amp;D36&amp;RIGHT(F36,1)</f>
        <v>2307</v>
      </c>
      <c r="F36" t="s" s="790">
        <v>1837</v>
      </c>
      <c r="G36" t="s" s="791">
        <f>VLOOKUP(E36,'BDD'!$A$2:$N$567,MATCH(G$24,'BDD'!$A$1:$P$1,0),FALSE)</f>
        <v>1484</v>
      </c>
      <c r="H36" t="s" s="799">
        <f>IF(VLOOKUP($E36,'BDD'!$A$2:$N$567,MATCH($H$23,'BDD'!$A$1:$P$1,0),FALSE)=H$24,H$24,"")</f>
      </c>
      <c r="I36" t="s" s="792">
        <f>IF(VLOOKUP($E36,'BDD'!$A$2:$N$567,MATCH($H$23,'BDD'!$A$1:$P$1,0),FALSE)=I$24,I$24,"")</f>
      </c>
      <c r="J36" t="s" s="792">
        <f>IF(VLOOKUP($E36,'BDD'!$A$2:$N$567,MATCH($H$23,'BDD'!$A$1:$P$1,0),FALSE)=J$24,J$24,"")</f>
        <v>1967</v>
      </c>
      <c r="K36" t="s" s="792">
        <f>IF(VLOOKUP($E36,'BDD'!$A$2:$N$567,MATCH($H$23,'BDD'!$A$1:$P$1,0),FALSE)=K$24,K$24,"")</f>
      </c>
      <c r="L36" t="s" s="783">
        <f>IF(VLOOKUP($E36,'BDD'!$A$2:$N$567,MATCH($H$23,'BDD'!$A$1:$P$1,0),FALSE)=L$24,L$24,"")</f>
      </c>
      <c r="M36" s="794">
        <f>IF(N36="Exigences partiellement respectées",1,IF(N36="Exigences respectées",2,0))</f>
        <v>0</v>
      </c>
      <c r="N36" t="s" s="791">
        <f>VLOOKUP(VLOOKUP(E36,'BDD'!$A$2:$P$567,15,FALSE),'Suppl'!$D$64:$E$68,2,FALSE)</f>
        <v>1751</v>
      </c>
      <c r="O36" s="795"/>
      <c r="P36" s="796"/>
      <c r="Q36" s="796"/>
      <c r="R36" s="796"/>
      <c r="S36" s="797">
        <f>IF(N36='Suppl'!$E$65,0,IF(N36='Suppl'!$E$66,1/2/(_xlfn.COUNTIFS($D1:$D100,D36,$N1:$N100,"Exigences"&amp;"*",G1:G100,"&lt;&gt;0")+_xlfn.COUNTIFS($D1:$D100,D36,$N1:$N100,"Non"&amp;"*",G1:G100,"&lt;&gt;0")),IF(N36='Suppl'!$E$67,1/(_xlfn.COUNTIFS($D1:$D100,D36,$N1:$N100,"Exigences"&amp;"*",G1:G100,"&lt;&gt;0")+_xlfn.COUNTIFS($D1:$D100,D36,$N1:$N100,"Non"&amp;"*",G1:G100,"&lt;&gt;0")),0)))</f>
      </c>
      <c r="T36" s="797"/>
      <c r="U36" s="797"/>
      <c r="V36" s="798"/>
      <c r="W36" s="789">
        <f>_xlfn.IFERROR(IF(N36='Suppl'!$E$65,0,IF(N36='Suppl'!$E$66,1/2/(_xlfn.COUNTIFS($N1:$N100,"Exigences"&amp;"*")+_xlfn.COUNTIFS($N1:$N100,"Non"&amp;"*")),IF(N36='Suppl'!$E$67,1/(_xlfn.COUNTIFS($N1:$N100,"Exigences"&amp;"*")+_xlfn.COUNTIFS($N1:$N100,"Non"&amp;"*")),0))),0)</f>
      </c>
      <c r="X36" s="586"/>
      <c r="Y36" s="586"/>
      <c r="Z36" s="586"/>
      <c r="AA36" s="586"/>
      <c r="AB36" s="586"/>
      <c r="AC36" s="586"/>
      <c r="AD36" s="586"/>
      <c r="AE36" s="586"/>
      <c r="AF36" s="586"/>
      <c r="AG36" s="586"/>
      <c r="AH36" s="888"/>
      <c r="AI36" s="585"/>
    </row>
    <row r="37" ht="41.4" customHeight="1">
      <c r="A37" s="887"/>
      <c r="B37" s="753"/>
      <c r="C37" t="s" s="754">
        <f>IF(LEFT(RIGHT($B$1,2),1)=" ",RIGHT($B$1,1),RIGHT($B$1,2))</f>
        <v>2298</v>
      </c>
      <c r="D37" s="755">
        <f>IF(LEFT(F37,5)="Bonne",D35+1,D36)</f>
        <v>2</v>
      </c>
      <c r="E37" t="s" s="778">
        <f>C37&amp;D37&amp;RIGHT(F37,1)</f>
        <v>2310</v>
      </c>
      <c r="F37" t="s" s="779">
        <v>1774</v>
      </c>
      <c r="G37" t="s" s="780">
        <f>VLOOKUP(E37,'BDD'!$A$2:$N$567,MATCH(G$24,'BDD'!$A$1:$P$1,0),FALSE)</f>
        <v>1487</v>
      </c>
      <c r="H37" t="s" s="799">
        <f>IF(VLOOKUP($E37,'BDD'!$A$2:$N$567,MATCH($H$23,'BDD'!$A$1:$P$1,0),FALSE)=H$24,H$24,"")</f>
      </c>
      <c r="I37" t="s" s="792">
        <f>IF(VLOOKUP($E37,'BDD'!$A$2:$N$567,MATCH($H$23,'BDD'!$A$1:$P$1,0),FALSE)=I$24,I$24,"")</f>
      </c>
      <c r="J37" t="s" s="792">
        <f>IF(VLOOKUP($E37,'BDD'!$A$2:$N$567,MATCH($H$23,'BDD'!$A$1:$P$1,0),FALSE)=J$24,J$24,"")</f>
      </c>
      <c r="K37" t="s" s="792">
        <f>IF(VLOOKUP($E37,'BDD'!$A$2:$N$567,MATCH($H$23,'BDD'!$A$1:$P$1,0),FALSE)=K$24,K$24,"")</f>
      </c>
      <c r="L37" t="s" s="783">
        <f>IF(VLOOKUP($E37,'BDD'!$A$2:$N$567,MATCH($H$23,'BDD'!$A$1:$P$1,0),FALSE)=L$24,L$24,"")</f>
        <v>1985</v>
      </c>
      <c r="M37" s="800">
        <f>IF(N37="Exigences partiellement respectées",1,IF(N37="Exigences respectées",2,0))</f>
        <v>0</v>
      </c>
      <c r="N37" t="s" s="780">
        <f>VLOOKUP(VLOOKUP(E37,'BDD'!$A$2:$P$567,15,FALSE),'Suppl'!$D$64:$E$68,2,FALSE)</f>
        <v>1751</v>
      </c>
      <c r="O37" s="801"/>
      <c r="P37" s="802"/>
      <c r="Q37" s="802"/>
      <c r="R37" s="802"/>
      <c r="S37" s="803">
        <f>IF(N37='Suppl'!$E$65,0,IF(N37='Suppl'!$E$66,1/2/(_xlfn.COUNTIFS($D1:$D100,D37,$N1:$N100,"Exigences"&amp;"*",G1:G100,"&lt;&gt;0")+_xlfn.COUNTIFS($D1:$D100,D37,$N1:$N100,"Non"&amp;"*",G1:G100,"&lt;&gt;0")),IF(N37='Suppl'!$E$67,1/(_xlfn.COUNTIFS($D1:$D100,D37,$N1:$N100,"Exigences"&amp;"*",G1:G100,"&lt;&gt;0")+_xlfn.COUNTIFS($D1:$D100,D37,$N1:$N100,"Non"&amp;"*",G1:G100,"&lt;&gt;0")),0)))</f>
      </c>
      <c r="T37" s="803"/>
      <c r="U37" s="803"/>
      <c r="V37" s="804"/>
      <c r="W37" s="789">
        <f>_xlfn.IFERROR(IF(N37='Suppl'!$E$65,0,IF(N37='Suppl'!$E$66,1/2/(_xlfn.COUNTIFS($N1:$N100,"Exigences"&amp;"*")+_xlfn.COUNTIFS($N1:$N100,"Non"&amp;"*")),IF(N37='Suppl'!$E$67,1/(_xlfn.COUNTIFS($N1:$N100,"Exigences"&amp;"*")+_xlfn.COUNTIFS($N1:$N100,"Non"&amp;"*")),0))),0)</f>
      </c>
      <c r="X37" s="586"/>
      <c r="Y37" s="586"/>
      <c r="Z37" s="586"/>
      <c r="AA37" s="586"/>
      <c r="AB37" s="586"/>
      <c r="AC37" s="586"/>
      <c r="AD37" s="586"/>
      <c r="AE37" s="586"/>
      <c r="AF37" s="586"/>
      <c r="AG37" s="586"/>
      <c r="AH37" s="888"/>
      <c r="AI37" s="585"/>
    </row>
    <row r="38" ht="30" customHeight="1">
      <c r="A38" s="887"/>
      <c r="B38" s="753"/>
      <c r="C38" t="s" s="754">
        <f>IF(LEFT(RIGHT($B$1,2),1)=" ",RIGHT($B$1,1),RIGHT($B$1,2))</f>
        <v>2298</v>
      </c>
      <c r="D38" s="755">
        <f>IF(LEFT(F38,5)="Bonne",D36+1,D37)</f>
        <v>3</v>
      </c>
      <c r="E38" t="s" s="778">
        <f>C38&amp;D38&amp;RIGHT(F38,1)</f>
        <v>2315</v>
      </c>
      <c r="F38" t="s" s="757">
        <v>1797</v>
      </c>
      <c r="G38" t="s" s="758">
        <f>VLOOKUP(E40,'BDD'!$A$2:$N$567,6,FALSE)</f>
        <v>1493</v>
      </c>
      <c r="H38" s="759"/>
      <c r="I38" s="760"/>
      <c r="J38" s="760"/>
      <c r="K38" s="760"/>
      <c r="L38" s="761"/>
      <c r="M38" s="762"/>
      <c r="N38" s="763"/>
      <c r="O38" s="764">
        <v>0</v>
      </c>
      <c r="P38" s="764"/>
      <c r="Q38" s="764"/>
      <c r="R38" s="764"/>
      <c r="S38" s="765">
        <f>_xlfn.SUMIFS(S1:S100,$D1:$D100,D38,$N1:$N100,"Exigences"&amp;"*")</f>
      </c>
      <c r="T38" s="765"/>
      <c r="U38" s="765"/>
      <c r="V38" s="766"/>
      <c r="W38" s="789">
        <f>_xlfn.IFERROR(IF(N38='Suppl'!$E$65,0,IF(N38='Suppl'!$E$66,1/2/(_xlfn.COUNTIFS($N1:$N100,"Exigences"&amp;"*")+_xlfn.COUNTIFS($N1:$N100,"Non"&amp;"*")),IF(N38='Suppl'!$E$67,1/(_xlfn.COUNTIFS($N1:$N100,"Exigences"&amp;"*")+_xlfn.COUNTIFS($N1:$N100,"Non"&amp;"*")),0))),0)</f>
      </c>
      <c r="X38" s="586"/>
      <c r="Y38" s="586"/>
      <c r="Z38" s="586"/>
      <c r="AA38" s="586"/>
      <c r="AB38" s="586"/>
      <c r="AC38" s="586"/>
      <c r="AD38" s="586"/>
      <c r="AE38" s="586"/>
      <c r="AF38" s="586"/>
      <c r="AG38" s="586"/>
      <c r="AH38" s="888"/>
      <c r="AI38" s="585"/>
    </row>
    <row r="39" ht="30" customHeight="1">
      <c r="A39" s="887"/>
      <c r="B39" s="753"/>
      <c r="C39" t="s" s="754">
        <f>IF(LEFT(RIGHT($B$1,2),1)=" ",RIGHT($B$1,1),RIGHT($B$1,2))</f>
        <v>2298</v>
      </c>
      <c r="D39" s="755">
        <f>IF(LEFT(F39,5)="Bonne",D37+1,D38)</f>
        <v>3</v>
      </c>
      <c r="E39" t="s" s="778">
        <f>C39&amp;D39&amp;RIGHT(F39,1)</f>
        <v>2317</v>
      </c>
      <c r="F39" t="s" s="769">
        <v>1835</v>
      </c>
      <c r="G39" t="s" s="770">
        <f>VLOOKUP(E41,'BDD'!$A$2:$N$567,7,FALSE)</f>
        <v>2342</v>
      </c>
      <c r="H39" s="771"/>
      <c r="I39" s="771"/>
      <c r="J39" s="771"/>
      <c r="K39" s="771"/>
      <c r="L39" s="772"/>
      <c r="M39" s="773"/>
      <c r="N39" s="774"/>
      <c r="O39" s="775"/>
      <c r="P39" s="775"/>
      <c r="Q39" s="775"/>
      <c r="R39" s="775"/>
      <c r="S39" s="776"/>
      <c r="T39" s="776"/>
      <c r="U39" s="776"/>
      <c r="V39" s="777"/>
      <c r="W39" s="789">
        <f>_xlfn.IFERROR(IF(N39='Suppl'!$E$65,0,IF(N39='Suppl'!$E$66,1/2/(_xlfn.COUNTIFS($N1:$N100,"Exigences"&amp;"*")+_xlfn.COUNTIFS($N1:$N100,"Non"&amp;"*")),IF(N39='Suppl'!$E$67,1/(_xlfn.COUNTIFS($N1:$N100,"Exigences"&amp;"*")+_xlfn.COUNTIFS($N1:$N100,"Non"&amp;"*")),0))),0)</f>
      </c>
      <c r="X39" s="586"/>
      <c r="Y39" s="586"/>
      <c r="Z39" s="586"/>
      <c r="AA39" s="586"/>
      <c r="AB39" s="586"/>
      <c r="AC39" s="586"/>
      <c r="AD39" s="586"/>
      <c r="AE39" s="586"/>
      <c r="AF39" s="586"/>
      <c r="AG39" s="586"/>
      <c r="AH39" s="888"/>
      <c r="AI39" s="585"/>
    </row>
    <row r="40" ht="30" customHeight="1">
      <c r="A40" s="887"/>
      <c r="B40" s="753"/>
      <c r="C40" t="s" s="754">
        <f>IF(LEFT(RIGHT($B$1,2),1)=" ",RIGHT($B$1,1),RIGHT($B$1,2))</f>
        <v>2298</v>
      </c>
      <c r="D40" s="755">
        <f>IF(LEFT(F40,5)="Bonne",D38+1,D39)</f>
        <v>3</v>
      </c>
      <c r="E40" t="s" s="778">
        <f>C40&amp;D40&amp;RIGHT(F40,1)</f>
        <v>2317</v>
      </c>
      <c r="F40" t="s" s="779">
        <v>1769</v>
      </c>
      <c r="G40" t="s" s="780">
        <f>VLOOKUP(E40,'BDD'!$A$2:$N$567,MATCH(G$24,'BDD'!$A$1:$P$1,0),FALSE)</f>
        <v>1496</v>
      </c>
      <c r="H40" t="s" s="799">
        <f>IF(VLOOKUP($E40,'BDD'!$A$2:$N$567,MATCH($H$23,'BDD'!$A$1:$P$1,0),FALSE)=H$24,H$24,"")</f>
        <v>1966</v>
      </c>
      <c r="I40" t="s" s="792">
        <f>IF(VLOOKUP($E40,'BDD'!$A$2:$N$567,MATCH($H$23,'BDD'!$A$1:$P$1,0),FALSE)=I$24,I$24,"")</f>
      </c>
      <c r="J40" t="s" s="792">
        <f>IF(VLOOKUP($E40,'BDD'!$A$2:$N$567,MATCH($H$23,'BDD'!$A$1:$P$1,0),FALSE)=J$24,J$24,"")</f>
      </c>
      <c r="K40" t="s" s="792">
        <f>IF(VLOOKUP($E40,'BDD'!$A$2:$N$567,MATCH($H$23,'BDD'!$A$1:$P$1,0),FALSE)=K$24,K$24,"")</f>
      </c>
      <c r="L40" t="s" s="783">
        <f>IF(VLOOKUP($E40,'BDD'!$A$2:$N$567,MATCH($H$23,'BDD'!$A$1:$P$1,0),FALSE)=L$24,L$24,"")</f>
      </c>
      <c r="M40" s="1030">
        <f>IF(N40="Exigences partiellement respectées",1,IF(N40="Exigences respectées",2,0))</f>
      </c>
      <c r="N40" t="s" s="780">
        <f>VLOOKUP(VLOOKUP(E40,'BDD'!$A$2:$P$567,15,FALSE),'Suppl'!$D$64:$E$68,2,FALSE)</f>
        <v>1751</v>
      </c>
      <c r="O40" s="785"/>
      <c r="P40" s="786"/>
      <c r="Q40" s="786"/>
      <c r="R40" s="786"/>
      <c r="S40" s="787">
        <f>IF(N40='Suppl'!$E$65,0,IF(N40='Suppl'!$E$66,1/2/(_xlfn.COUNTIFS($D1:$D100,D40,$N1:$N100,"Exigences"&amp;"*",G1:G100,"&lt;&gt;0")+_xlfn.COUNTIFS($D1:$D100,D40,$N1:$N100,"Non"&amp;"*",G1:G100,"&lt;&gt;0")),IF(N40='Suppl'!$E$67,1/(_xlfn.COUNTIFS($D1:$D100,D40,$N1:$N100,"Exigences"&amp;"*",G1:G100,"&lt;&gt;0")+_xlfn.COUNTIFS($D1:$D100,D40,$N1:$N100,"Non"&amp;"*",G1:G100,"&lt;&gt;0")),0)))</f>
      </c>
      <c r="T40" s="787"/>
      <c r="U40" s="787"/>
      <c r="V40" s="788"/>
      <c r="W40" s="789">
        <f>_xlfn.IFERROR(IF(N40='Suppl'!$E$65,0,IF(N40='Suppl'!$E$66,1/2/(_xlfn.COUNTIFS($N1:$N100,"Exigences"&amp;"*")+_xlfn.COUNTIFS($N1:$N100,"Non"&amp;"*")),IF(N40='Suppl'!$E$67,1/(_xlfn.COUNTIFS($N1:$N100,"Exigences"&amp;"*")+_xlfn.COUNTIFS($N1:$N100,"Non"&amp;"*")),0))),0)</f>
      </c>
      <c r="X40" s="586"/>
      <c r="Y40" s="586"/>
      <c r="Z40" s="586"/>
      <c r="AA40" s="586"/>
      <c r="AB40" s="586"/>
      <c r="AC40" s="586"/>
      <c r="AD40" s="586"/>
      <c r="AE40" s="586"/>
      <c r="AF40" s="586"/>
      <c r="AG40" s="586"/>
      <c r="AH40" s="888"/>
      <c r="AI40" s="585"/>
    </row>
    <row r="41" ht="41.4" customHeight="1">
      <c r="A41" s="887"/>
      <c r="B41" s="753"/>
      <c r="C41" t="s" s="754">
        <f>IF(LEFT(RIGHT($B$1,2),1)=" ",RIGHT($B$1,1),RIGHT($B$1,2))</f>
        <v>2298</v>
      </c>
      <c r="D41" s="755">
        <f>IF(LEFT(F41,5)="Bonne",D39+1,D40)</f>
        <v>3</v>
      </c>
      <c r="E41" t="s" s="778">
        <f>C41&amp;D41&amp;RIGHT(F41,1)</f>
        <v>2318</v>
      </c>
      <c r="F41" t="s" s="790">
        <v>1837</v>
      </c>
      <c r="G41" t="s" s="791">
        <f>VLOOKUP(E41,'BDD'!$A$2:$N$567,MATCH(G$24,'BDD'!$A$1:$P$1,0),FALSE)</f>
        <v>1498</v>
      </c>
      <c r="H41" t="s" s="799">
        <f>IF(VLOOKUP($E41,'BDD'!$A$2:$N$567,MATCH($H$23,'BDD'!$A$1:$P$1,0),FALSE)=H$24,H$24,"")</f>
      </c>
      <c r="I41" t="s" s="792">
        <f>IF(VLOOKUP($E41,'BDD'!$A$2:$N$567,MATCH($H$23,'BDD'!$A$1:$P$1,0),FALSE)=I$24,I$24,"")</f>
        <v>1969</v>
      </c>
      <c r="J41" t="s" s="792">
        <f>IF(VLOOKUP($E41,'BDD'!$A$2:$N$567,MATCH($H$23,'BDD'!$A$1:$P$1,0),FALSE)=J$24,J$24,"")</f>
      </c>
      <c r="K41" t="s" s="792">
        <f>IF(VLOOKUP($E41,'BDD'!$A$2:$N$567,MATCH($H$23,'BDD'!$A$1:$P$1,0),FALSE)=K$24,K$24,"")</f>
      </c>
      <c r="L41" t="s" s="783">
        <f>IF(VLOOKUP($E41,'BDD'!$A$2:$N$567,MATCH($H$23,'BDD'!$A$1:$P$1,0),FALSE)=L$24,L$24,"")</f>
      </c>
      <c r="M41" s="794">
        <f>IF(N41="Exigences partiellement respectées",1,IF(N41="Exigences respectées",2,0))</f>
        <v>0</v>
      </c>
      <c r="N41" t="s" s="791">
        <f>VLOOKUP(VLOOKUP(E41,'BDD'!$A$2:$P$567,15,FALSE),'Suppl'!$D$64:$E$68,2,FALSE)</f>
        <v>1751</v>
      </c>
      <c r="O41" s="795"/>
      <c r="P41" s="796"/>
      <c r="Q41" s="796"/>
      <c r="R41" s="796"/>
      <c r="S41" s="797">
        <f>IF(N41='Suppl'!$E$65,0,IF(N41='Suppl'!$E$66,1/2/(_xlfn.COUNTIFS($D1:$D100,D41,$N1:$N100,"Exigences"&amp;"*",G1:G100,"&lt;&gt;0")+_xlfn.COUNTIFS($D1:$D100,D41,$N1:$N100,"Non"&amp;"*",G1:G100,"&lt;&gt;0")),IF(N41='Suppl'!$E$67,1/(_xlfn.COUNTIFS($D1:$D100,D41,$N1:$N100,"Exigences"&amp;"*",G1:G100,"&lt;&gt;0")+_xlfn.COUNTIFS($D1:$D100,D41,$N1:$N100,"Non"&amp;"*",G1:G100,"&lt;&gt;0")),0)))</f>
      </c>
      <c r="T41" s="797"/>
      <c r="U41" s="797"/>
      <c r="V41" s="798"/>
      <c r="W41" s="789">
        <f>_xlfn.IFERROR(IF(N41='Suppl'!$E$65,0,IF(N41='Suppl'!$E$66,1/2/(_xlfn.COUNTIFS($N1:$N100,"Exigences"&amp;"*")+_xlfn.COUNTIFS($N1:$N100,"Non"&amp;"*")),IF(N41='Suppl'!$E$67,1/(_xlfn.COUNTIFS($N1:$N100,"Exigences"&amp;"*")+_xlfn.COUNTIFS($N1:$N100,"Non"&amp;"*")),0))),0)</f>
      </c>
      <c r="X41" s="586"/>
      <c r="Y41" s="586"/>
      <c r="Z41" s="586"/>
      <c r="AA41" s="586"/>
      <c r="AB41" s="586"/>
      <c r="AC41" s="586"/>
      <c r="AD41" s="586"/>
      <c r="AE41" s="586"/>
      <c r="AF41" s="586"/>
      <c r="AG41" s="586"/>
      <c r="AH41" s="888"/>
      <c r="AI41" s="585"/>
    </row>
    <row r="42" ht="30" customHeight="1">
      <c r="A42" s="887"/>
      <c r="B42" s="753"/>
      <c r="C42" t="s" s="754">
        <f>IF(LEFT(RIGHT($B$1,2),1)=" ",RIGHT($B$1,1),RIGHT($B$1,2))</f>
        <v>2298</v>
      </c>
      <c r="D42" s="755">
        <f>IF(LEFT(F42,5)="Bonne",D40+1,D41)</f>
        <v>3</v>
      </c>
      <c r="E42" t="s" s="778">
        <f>C42&amp;D42&amp;RIGHT(F42,1)</f>
        <v>2315</v>
      </c>
      <c r="F42" t="s" s="779">
        <v>1774</v>
      </c>
      <c r="G42" t="s" s="780">
        <f>VLOOKUP(E42,'BDD'!$A$2:$N$567,MATCH(G$24,'BDD'!$A$1:$P$1,0),FALSE)</f>
        <v>1501</v>
      </c>
      <c r="H42" t="s" s="799">
        <f>IF(VLOOKUP($E42,'BDD'!$A$2:$N$567,MATCH($H$23,'BDD'!$A$1:$P$1,0),FALSE)=H$24,H$24,"")</f>
      </c>
      <c r="I42" t="s" s="792">
        <f>IF(VLOOKUP($E42,'BDD'!$A$2:$N$567,MATCH($H$23,'BDD'!$A$1:$P$1,0),FALSE)=I$24,I$24,"")</f>
      </c>
      <c r="J42" t="s" s="792">
        <f>IF(VLOOKUP($E42,'BDD'!$A$2:$N$567,MATCH($H$23,'BDD'!$A$1:$P$1,0),FALSE)=J$24,J$24,"")</f>
        <v>1967</v>
      </c>
      <c r="K42" t="s" s="792">
        <f>IF(VLOOKUP($E42,'BDD'!$A$2:$N$567,MATCH($H$23,'BDD'!$A$1:$P$1,0),FALSE)=K$24,K$24,"")</f>
      </c>
      <c r="L42" t="s" s="783">
        <f>IF(VLOOKUP($E42,'BDD'!$A$2:$N$567,MATCH($H$23,'BDD'!$A$1:$P$1,0),FALSE)=L$24,L$24,"")</f>
      </c>
      <c r="M42" s="794">
        <f>IF(N42="Exigences partiellement respectées",1,IF(N42="Exigences respectées",2,0))</f>
        <v>0</v>
      </c>
      <c r="N42" t="s" s="780">
        <f>VLOOKUP(VLOOKUP(E42,'BDD'!$A$2:$P$567,15,FALSE),'Suppl'!$D$64:$E$68,2,FALSE)</f>
        <v>1751</v>
      </c>
      <c r="O42" s="795"/>
      <c r="P42" s="796"/>
      <c r="Q42" s="796"/>
      <c r="R42" s="796"/>
      <c r="S42" s="797">
        <f>IF(N42='Suppl'!$E$65,0,IF(N42='Suppl'!$E$66,1/2/(_xlfn.COUNTIFS($D1:$D100,D42,$N1:$N100,"Exigences"&amp;"*",G1:G100,"&lt;&gt;0")+_xlfn.COUNTIFS($D1:$D100,D42,$N1:$N100,"Non"&amp;"*",G1:G100,"&lt;&gt;0")),IF(N42='Suppl'!$E$67,1/(_xlfn.COUNTIFS($D1:$D100,D42,$N1:$N100,"Exigences"&amp;"*",G1:G100,"&lt;&gt;0")+_xlfn.COUNTIFS($D1:$D100,D42,$N1:$N100,"Non"&amp;"*",G1:G100,"&lt;&gt;0")),0)))</f>
      </c>
      <c r="T42" s="797"/>
      <c r="U42" s="797"/>
      <c r="V42" s="798"/>
      <c r="W42" s="789">
        <f>_xlfn.IFERROR(IF(N42='Suppl'!$E$65,0,IF(N42='Suppl'!$E$66,1/2/(_xlfn.COUNTIFS($N1:$N100,"Exigences"&amp;"*")+_xlfn.COUNTIFS($N1:$N100,"Non"&amp;"*")),IF(N42='Suppl'!$E$67,1/(_xlfn.COUNTIFS($N1:$N100,"Exigences"&amp;"*")+_xlfn.COUNTIFS($N1:$N100,"Non"&amp;"*")),0))),0)</f>
      </c>
      <c r="X42" s="586"/>
      <c r="Y42" s="586"/>
      <c r="Z42" s="586"/>
      <c r="AA42" s="586"/>
      <c r="AB42" s="586"/>
      <c r="AC42" s="586"/>
      <c r="AD42" s="586"/>
      <c r="AE42" s="586"/>
      <c r="AF42" s="586"/>
      <c r="AG42" s="586"/>
      <c r="AH42" s="888"/>
      <c r="AI42" s="585"/>
    </row>
    <row r="43" ht="42.6" customHeight="1">
      <c r="A43" s="887"/>
      <c r="B43" s="753"/>
      <c r="C43" t="s" s="754">
        <f>IF(LEFT(RIGHT($B$1,2),1)=" ",RIGHT($B$1,1),RIGHT($B$1,2))</f>
        <v>2298</v>
      </c>
      <c r="D43" s="755">
        <f>IF(LEFT(F43,5)="Bonne",D41+1,D42)</f>
        <v>3</v>
      </c>
      <c r="E43" t="s" s="778">
        <f>C43&amp;D43&amp;RIGHT(F43,1)</f>
        <v>2319</v>
      </c>
      <c r="F43" t="s" s="790">
        <v>1776</v>
      </c>
      <c r="G43" t="s" s="791">
        <f>VLOOKUP(E43,'BDD'!$A$2:$N$567,MATCH(G$24,'BDD'!$A$1:$P$1,0),FALSE)</f>
        <v>1503</v>
      </c>
      <c r="H43" t="s" s="799">
        <f>IF(VLOOKUP($E43,'BDD'!$A$2:$N$567,MATCH($H$23,'BDD'!$A$1:$P$1,0),FALSE)=H$24,H$24,"")</f>
      </c>
      <c r="I43" t="s" s="792">
        <f>IF(VLOOKUP($E43,'BDD'!$A$2:$N$567,MATCH($H$23,'BDD'!$A$1:$P$1,0),FALSE)=I$24,I$24,"")</f>
      </c>
      <c r="J43" t="s" s="792">
        <f>IF(VLOOKUP($E43,'BDD'!$A$2:$N$567,MATCH($H$23,'BDD'!$A$1:$P$1,0),FALSE)=J$24,J$24,"")</f>
      </c>
      <c r="K43" t="s" s="792">
        <f>IF(VLOOKUP($E43,'BDD'!$A$2:$N$567,MATCH($H$23,'BDD'!$A$1:$P$1,0),FALSE)=K$24,K$24,"")</f>
        <v>1968</v>
      </c>
      <c r="L43" t="s" s="783">
        <f>IF(VLOOKUP($E43,'BDD'!$A$2:$N$567,MATCH($H$23,'BDD'!$A$1:$P$1,0),FALSE)=L$24,L$24,"")</f>
      </c>
      <c r="M43" s="794">
        <f>IF(N43="Exigences partiellement respectées",1,IF(N43="Exigences respectées",2,0))</f>
        <v>0</v>
      </c>
      <c r="N43" t="s" s="791">
        <f>VLOOKUP(VLOOKUP(E43,'BDD'!$A$2:$P$567,15,FALSE),'Suppl'!$D$64:$E$68,2,FALSE)</f>
        <v>1751</v>
      </c>
      <c r="O43" s="795"/>
      <c r="P43" s="796"/>
      <c r="Q43" s="796"/>
      <c r="R43" s="796"/>
      <c r="S43" s="797">
        <f>IF(N43='Suppl'!$E$65,0,IF(N43='Suppl'!$E$66,1/2/(_xlfn.COUNTIFS($D1:$D100,D43,$N1:$N100,"Exigences"&amp;"*",G1:G100,"&lt;&gt;0")+_xlfn.COUNTIFS($D1:$D100,D43,$N1:$N100,"Non"&amp;"*",G1:G100,"&lt;&gt;0")),IF(N43='Suppl'!$E$67,1/(_xlfn.COUNTIFS($D1:$D100,D43,$N1:$N100,"Exigences"&amp;"*",G1:G100,"&lt;&gt;0")+_xlfn.COUNTIFS($D1:$D100,D43,$N1:$N100,"Non"&amp;"*",G1:G100,"&lt;&gt;0")),0)))</f>
      </c>
      <c r="T43" s="797"/>
      <c r="U43" s="797"/>
      <c r="V43" s="798"/>
      <c r="W43" s="789">
        <f>_xlfn.IFERROR(IF(N43='Suppl'!$E$65,0,IF(N43='Suppl'!$E$66,1/2/(_xlfn.COUNTIFS($N1:$N100,"Exigences"&amp;"*")+_xlfn.COUNTIFS($N1:$N100,"Non"&amp;"*")),IF(N43='Suppl'!$E$67,1/(_xlfn.COUNTIFS($N1:$N100,"Exigences"&amp;"*")+_xlfn.COUNTIFS($N1:$N100,"Non"&amp;"*")),0))),0)</f>
      </c>
      <c r="X43" s="586"/>
      <c r="Y43" s="586"/>
      <c r="Z43" s="586"/>
      <c r="AA43" s="586"/>
      <c r="AB43" s="586"/>
      <c r="AC43" s="586"/>
      <c r="AD43" s="586"/>
      <c r="AE43" s="586"/>
      <c r="AF43" s="586"/>
      <c r="AG43" s="586"/>
      <c r="AH43" s="888"/>
      <c r="AI43" s="585"/>
    </row>
    <row r="44" ht="30" customHeight="1">
      <c r="A44" s="887"/>
      <c r="B44" s="753"/>
      <c r="C44" t="s" s="754">
        <f>IF(LEFT(RIGHT($B$1,2),1)=" ",RIGHT($B$1,1),RIGHT($B$1,2))</f>
        <v>2298</v>
      </c>
      <c r="D44" s="755">
        <f>IF(LEFT(F44,5)="Bonne",D42+1,D43)</f>
        <v>3</v>
      </c>
      <c r="E44" t="s" s="778">
        <f>C44&amp;D44&amp;RIGHT(F44,1)</f>
        <v>2320</v>
      </c>
      <c r="F44" t="s" s="779">
        <v>1778</v>
      </c>
      <c r="G44" t="s" s="780">
        <f>VLOOKUP(E44,'BDD'!$A$2:$N$567,MATCH(G$24,'BDD'!$A$1:$P$1,0),FALSE)</f>
        <v>1506</v>
      </c>
      <c r="H44" t="s" s="799">
        <f>IF(VLOOKUP($E44,'BDD'!$A$2:$N$567,MATCH($H$23,'BDD'!$A$1:$P$1,0),FALSE)=H$24,H$24,"")</f>
      </c>
      <c r="I44" t="s" s="792">
        <f>IF(VLOOKUP($E44,'BDD'!$A$2:$N$567,MATCH($H$23,'BDD'!$A$1:$P$1,0),FALSE)=I$24,I$24,"")</f>
      </c>
      <c r="J44" t="s" s="792">
        <f>IF(VLOOKUP($E44,'BDD'!$A$2:$N$567,MATCH($H$23,'BDD'!$A$1:$P$1,0),FALSE)=J$24,J$24,"")</f>
      </c>
      <c r="K44" t="s" s="792">
        <f>IF(VLOOKUP($E44,'BDD'!$A$2:$N$567,MATCH($H$23,'BDD'!$A$1:$P$1,0),FALSE)=K$24,K$24,"")</f>
        <v>1968</v>
      </c>
      <c r="L44" t="s" s="783">
        <f>IF(VLOOKUP($E44,'BDD'!$A$2:$N$567,MATCH($H$23,'BDD'!$A$1:$P$1,0),FALSE)=L$24,L$24,"")</f>
      </c>
      <c r="M44" s="794">
        <f>IF(N44="Exigences partiellement respectées",1,IF(N44="Exigences respectées",2,0))</f>
        <v>0</v>
      </c>
      <c r="N44" t="s" s="780">
        <f>VLOOKUP(VLOOKUP(E44,'BDD'!$A$2:$P$567,15,FALSE),'Suppl'!$D$64:$E$68,2,FALSE)</f>
        <v>1751</v>
      </c>
      <c r="O44" s="795"/>
      <c r="P44" s="796"/>
      <c r="Q44" s="796"/>
      <c r="R44" s="796"/>
      <c r="S44" s="797">
        <f>IF(N44='Suppl'!$E$65,0,IF(N44='Suppl'!$E$66,1/2/(_xlfn.COUNTIFS($D1:$D100,D44,$N1:$N100,"Exigences"&amp;"*",G1:G100,"&lt;&gt;0")+_xlfn.COUNTIFS($D1:$D100,D44,$N1:$N100,"Non"&amp;"*",G1:G100,"&lt;&gt;0")),IF(N44='Suppl'!$E$67,1/(_xlfn.COUNTIFS($D1:$D100,D44,$N1:$N100,"Exigences"&amp;"*",G1:G100,"&lt;&gt;0")+_xlfn.COUNTIFS($D1:$D100,D44,$N1:$N100,"Non"&amp;"*",G1:G100,"&lt;&gt;0")),0)))</f>
      </c>
      <c r="T44" s="797"/>
      <c r="U44" s="797"/>
      <c r="V44" s="798"/>
      <c r="W44" s="789">
        <f>_xlfn.IFERROR(IF(N44='Suppl'!$E$65,0,IF(N44='Suppl'!$E$66,1/2/(_xlfn.COUNTIFS($N1:$N100,"Exigences"&amp;"*")+_xlfn.COUNTIFS($N1:$N100,"Non"&amp;"*")),IF(N44='Suppl'!$E$67,1/(_xlfn.COUNTIFS($N1:$N100,"Exigences"&amp;"*")+_xlfn.COUNTIFS($N1:$N100,"Non"&amp;"*")),0))),0)</f>
      </c>
      <c r="X44" s="586"/>
      <c r="Y44" s="586"/>
      <c r="Z44" s="586"/>
      <c r="AA44" s="586"/>
      <c r="AB44" s="586"/>
      <c r="AC44" s="586"/>
      <c r="AD44" s="586"/>
      <c r="AE44" s="586"/>
      <c r="AF44" s="586"/>
      <c r="AG44" s="586"/>
      <c r="AH44" s="888"/>
      <c r="AI44" s="585"/>
    </row>
    <row r="45" ht="30" customHeight="1">
      <c r="A45" s="887"/>
      <c r="B45" s="753"/>
      <c r="C45" t="s" s="754">
        <f>IF(LEFT(RIGHT($B$1,2),1)=" ",RIGHT($B$1,1),RIGHT($B$1,2))</f>
        <v>2298</v>
      </c>
      <c r="D45" s="755">
        <f>IF(LEFT(F45,5)="Bonne",D43+1,D44)</f>
        <v>3</v>
      </c>
      <c r="E45" t="s" s="778">
        <f>C45&amp;D45&amp;RIGHT(F45,1)</f>
        <v>2321</v>
      </c>
      <c r="F45" t="s" s="790">
        <v>1780</v>
      </c>
      <c r="G45" t="s" s="791">
        <f>VLOOKUP(E45,'BDD'!$A$2:$N$567,MATCH(G$24,'BDD'!$A$1:$P$1,0),FALSE)</f>
        <v>1509</v>
      </c>
      <c r="H45" t="s" s="799">
        <f>IF(VLOOKUP($E45,'BDD'!$A$2:$N$567,MATCH($H$23,'BDD'!$A$1:$P$1,0),FALSE)=H$24,H$24,"")</f>
      </c>
      <c r="I45" t="s" s="792">
        <f>IF(VLOOKUP($E45,'BDD'!$A$2:$N$567,MATCH($H$23,'BDD'!$A$1:$P$1,0),FALSE)=I$24,I$24,"")</f>
      </c>
      <c r="J45" t="s" s="792">
        <f>IF(VLOOKUP($E45,'BDD'!$A$2:$N$567,MATCH($H$23,'BDD'!$A$1:$P$1,0),FALSE)=J$24,J$24,"")</f>
      </c>
      <c r="K45" t="s" s="792">
        <f>IF(VLOOKUP($E45,'BDD'!$A$2:$N$567,MATCH($H$23,'BDD'!$A$1:$P$1,0),FALSE)=K$24,K$24,"")</f>
      </c>
      <c r="L45" t="s" s="783">
        <f>IF(VLOOKUP($E45,'BDD'!$A$2:$N$567,MATCH($H$23,'BDD'!$A$1:$P$1,0),FALSE)=L$24,L$24,"")</f>
        <v>1985</v>
      </c>
      <c r="M45" s="800">
        <f>IF(N45="Exigences partiellement respectées",1,IF(N45="Exigences respectées",2,0))</f>
        <v>0</v>
      </c>
      <c r="N45" t="s" s="791">
        <f>VLOOKUP(VLOOKUP(E45,'BDD'!$A$2:$P$567,15,FALSE),'Suppl'!$D$64:$E$68,2,FALSE)</f>
        <v>1751</v>
      </c>
      <c r="O45" s="801"/>
      <c r="P45" s="802"/>
      <c r="Q45" s="802"/>
      <c r="R45" s="802"/>
      <c r="S45" s="803">
        <f>IF(N45='Suppl'!$E$65,0,IF(N45='Suppl'!$E$66,1/2/(_xlfn.COUNTIFS($D1:$D100,D45,$N1:$N100,"Exigences"&amp;"*",G1:G100,"&lt;&gt;0")+_xlfn.COUNTIFS($D1:$D100,D45,$N1:$N100,"Non"&amp;"*",G1:G100,"&lt;&gt;0")),IF(N45='Suppl'!$E$67,1/(_xlfn.COUNTIFS($D1:$D100,D45,$N1:$N100,"Exigences"&amp;"*",G1:G100,"&lt;&gt;0")+_xlfn.COUNTIFS($D1:$D100,D45,$N1:$N100,"Non"&amp;"*",G1:G100,"&lt;&gt;0")),0)))</f>
      </c>
      <c r="T45" s="803"/>
      <c r="U45" s="803"/>
      <c r="V45" s="804"/>
      <c r="W45" s="789">
        <f>_xlfn.IFERROR(IF(N45='Suppl'!$E$65,0,IF(N45='Suppl'!$E$66,1/2/(_xlfn.COUNTIFS($N1:$N100,"Exigences"&amp;"*")+_xlfn.COUNTIFS($N1:$N100,"Non"&amp;"*")),IF(N45='Suppl'!$E$67,1/(_xlfn.COUNTIFS($N1:$N100,"Exigences"&amp;"*")+_xlfn.COUNTIFS($N1:$N100,"Non"&amp;"*")),0))),0)</f>
      </c>
      <c r="X45" s="586"/>
      <c r="Y45" s="586"/>
      <c r="Z45" s="586"/>
      <c r="AA45" s="586"/>
      <c r="AB45" s="586"/>
      <c r="AC45" s="586"/>
      <c r="AD45" s="586"/>
      <c r="AE45" s="586"/>
      <c r="AF45" s="586"/>
      <c r="AG45" s="586"/>
      <c r="AH45" s="888"/>
      <c r="AI45" s="585"/>
    </row>
    <row r="46" ht="30" customHeight="1">
      <c r="A46" s="887"/>
      <c r="B46" s="753"/>
      <c r="C46" t="s" s="754">
        <f>IF(LEFT(RIGHT($B$1,2),1)=" ",RIGHT($B$1,1),RIGHT($B$1,2))</f>
        <v>2298</v>
      </c>
      <c r="D46" s="755">
        <f>IF(LEFT(F46,5)="Bonne",D44+1,D45)</f>
        <v>4</v>
      </c>
      <c r="E46" t="s" s="778">
        <f>C46&amp;D46&amp;RIGHT(F46,1)</f>
        <v>2323</v>
      </c>
      <c r="F46" t="s" s="757">
        <v>1806</v>
      </c>
      <c r="G46" t="s" s="758">
        <f>VLOOKUP(E48,'BDD'!$A$2:$N$567,6,FALSE)</f>
        <v>1511</v>
      </c>
      <c r="H46" s="759"/>
      <c r="I46" s="760"/>
      <c r="J46" s="760"/>
      <c r="K46" s="760"/>
      <c r="L46" s="761"/>
      <c r="M46" s="762"/>
      <c r="N46" s="763"/>
      <c r="O46" s="764">
        <v>0</v>
      </c>
      <c r="P46" s="764"/>
      <c r="Q46" s="764"/>
      <c r="R46" s="764"/>
      <c r="S46" s="765">
        <f>_xlfn.SUMIFS(S1:S100,$D1:$D100,D46,$N1:$N100,"Exigences"&amp;"*")</f>
      </c>
      <c r="T46" s="765"/>
      <c r="U46" s="765"/>
      <c r="V46" s="766"/>
      <c r="W46" s="789">
        <f>_xlfn.IFERROR(IF(N46='Suppl'!$E$65,0,IF(N46='Suppl'!$E$66,1/2/(_xlfn.COUNTIFS($N1:$N100,"Exigences"&amp;"*")+_xlfn.COUNTIFS($N1:$N100,"Non"&amp;"*")),IF(N46='Suppl'!$E$67,1/(_xlfn.COUNTIFS($N1:$N100,"Exigences"&amp;"*")+_xlfn.COUNTIFS($N1:$N100,"Non"&amp;"*")),0))),0)</f>
      </c>
      <c r="X46" s="586"/>
      <c r="Y46" s="586"/>
      <c r="Z46" s="586"/>
      <c r="AA46" s="586"/>
      <c r="AB46" s="586"/>
      <c r="AC46" s="586"/>
      <c r="AD46" s="586"/>
      <c r="AE46" s="586"/>
      <c r="AF46" s="586"/>
      <c r="AG46" s="586"/>
      <c r="AH46" s="888"/>
      <c r="AI46" s="585"/>
    </row>
    <row r="47" ht="30" customHeight="1">
      <c r="A47" s="887"/>
      <c r="B47" s="753"/>
      <c r="C47" t="s" s="754">
        <f>IF(LEFT(RIGHT($B$1,2),1)=" ",RIGHT($B$1,1),RIGHT($B$1,2))</f>
        <v>2298</v>
      </c>
      <c r="D47" s="755">
        <f>IF(LEFT(F47,5)="Bonne",D45+1,D46)</f>
        <v>4</v>
      </c>
      <c r="E47" t="s" s="778">
        <f>C47&amp;D47&amp;RIGHT(F47,1)</f>
        <v>2325</v>
      </c>
      <c r="F47" t="s" s="769">
        <v>1835</v>
      </c>
      <c r="G47" t="s" s="770">
        <f>VLOOKUP(E49,'BDD'!$A$2:$N$567,7,FALSE)</f>
        <v>2343</v>
      </c>
      <c r="H47" s="771"/>
      <c r="I47" s="771"/>
      <c r="J47" s="771"/>
      <c r="K47" s="771"/>
      <c r="L47" s="772"/>
      <c r="M47" s="773"/>
      <c r="N47" s="774"/>
      <c r="O47" s="775"/>
      <c r="P47" s="775"/>
      <c r="Q47" s="775"/>
      <c r="R47" s="775"/>
      <c r="S47" s="776"/>
      <c r="T47" s="776"/>
      <c r="U47" s="776"/>
      <c r="V47" s="777"/>
      <c r="W47" s="789">
        <f>_xlfn.IFERROR(IF(N47='Suppl'!$E$65,0,IF(N47='Suppl'!$E$66,1/2/(_xlfn.COUNTIFS($N1:$N100,"Exigences"&amp;"*")+_xlfn.COUNTIFS($N1:$N100,"Non"&amp;"*")),IF(N47='Suppl'!$E$67,1/(_xlfn.COUNTIFS($N1:$N100,"Exigences"&amp;"*")+_xlfn.COUNTIFS($N1:$N100,"Non"&amp;"*")),0))),0)</f>
      </c>
      <c r="X47" s="586"/>
      <c r="Y47" s="586"/>
      <c r="Z47" s="586"/>
      <c r="AA47" s="586"/>
      <c r="AB47" s="586"/>
      <c r="AC47" s="586"/>
      <c r="AD47" s="586"/>
      <c r="AE47" s="586"/>
      <c r="AF47" s="586"/>
      <c r="AG47" s="586"/>
      <c r="AH47" s="888"/>
      <c r="AI47" s="585"/>
    </row>
    <row r="48" ht="41.4" customHeight="1">
      <c r="A48" s="887"/>
      <c r="B48" s="753"/>
      <c r="C48" t="s" s="754">
        <f>IF(LEFT(RIGHT($B$1,2),1)=" ",RIGHT($B$1,1),RIGHT($B$1,2))</f>
        <v>2298</v>
      </c>
      <c r="D48" s="755">
        <f>IF(LEFT(F48,5)="Bonne",D46+1,D47)</f>
        <v>4</v>
      </c>
      <c r="E48" t="s" s="778">
        <f>C48&amp;D48&amp;RIGHT(F48,1)</f>
        <v>2325</v>
      </c>
      <c r="F48" t="s" s="779">
        <v>1769</v>
      </c>
      <c r="G48" t="s" s="780">
        <f>VLOOKUP(E48,'BDD'!$A$2:$N$567,MATCH(G$24,'BDD'!$A$1:$P$1,0),FALSE)</f>
        <v>1513</v>
      </c>
      <c r="H48" t="s" s="799">
        <f>IF(VLOOKUP($E48,'BDD'!$A$2:$N$567,MATCH($H$23,'BDD'!$A$1:$P$1,0),FALSE)=H$24,H$24,"")</f>
        <v>1966</v>
      </c>
      <c r="I48" t="s" s="792">
        <f>IF(VLOOKUP($E48,'BDD'!$A$2:$N$567,MATCH($H$23,'BDD'!$A$1:$P$1,0),FALSE)=I$24,I$24,"")</f>
      </c>
      <c r="J48" t="s" s="792">
        <f>IF(VLOOKUP($E48,'BDD'!$A$2:$N$567,MATCH($H$23,'BDD'!$A$1:$P$1,0),FALSE)=J$24,J$24,"")</f>
      </c>
      <c r="K48" t="s" s="792">
        <f>IF(VLOOKUP($E48,'BDD'!$A$2:$N$567,MATCH($H$23,'BDD'!$A$1:$P$1,0),FALSE)=K$24,K$24,"")</f>
      </c>
      <c r="L48" t="s" s="783">
        <f>IF(VLOOKUP($E48,'BDD'!$A$2:$N$567,MATCH($H$23,'BDD'!$A$1:$P$1,0),FALSE)=L$24,L$24,"")</f>
      </c>
      <c r="M48" s="784">
        <f>IF(N48="Exigences partiellement respectées",1,IF(N48="Exigences respectées",2,0))</f>
        <v>0</v>
      </c>
      <c r="N48" t="s" s="780">
        <f>VLOOKUP(VLOOKUP(E48,'BDD'!$A$2:$P$567,15,FALSE),'Suppl'!$D$64:$E$68,2,FALSE)</f>
        <v>1751</v>
      </c>
      <c r="O48" s="785"/>
      <c r="P48" s="786"/>
      <c r="Q48" s="786"/>
      <c r="R48" s="786"/>
      <c r="S48" s="787">
        <f>IF(N48='Suppl'!$E$65,0,IF(N48='Suppl'!$E$66,1/2/(_xlfn.COUNTIFS($D1:$D100,D48,$N1:$N100,"Exigences"&amp;"*",G1:G100,"&lt;&gt;0")+_xlfn.COUNTIFS($D1:$D100,D48,$N1:$N100,"Non"&amp;"*",G1:G100,"&lt;&gt;0")),IF(N48='Suppl'!$E$67,1/(_xlfn.COUNTIFS($D1:$D100,D48,$N1:$N100,"Exigences"&amp;"*",G1:G100,"&lt;&gt;0")+_xlfn.COUNTIFS($D1:$D100,D48,$N1:$N100,"Non"&amp;"*",G1:G100,"&lt;&gt;0")),0)))</f>
      </c>
      <c r="T48" s="787"/>
      <c r="U48" s="787"/>
      <c r="V48" s="788"/>
      <c r="W48" s="789">
        <f>_xlfn.IFERROR(IF(N48='Suppl'!$E$65,0,IF(N48='Suppl'!$E$66,1/2/(_xlfn.COUNTIFS($N1:$N100,"Exigences"&amp;"*")+_xlfn.COUNTIFS($N1:$N100,"Non"&amp;"*")),IF(N48='Suppl'!$E$67,1/(_xlfn.COUNTIFS($N1:$N100,"Exigences"&amp;"*")+_xlfn.COUNTIFS($N1:$N100,"Non"&amp;"*")),0))),0)</f>
      </c>
      <c r="X48" s="586"/>
      <c r="Y48" s="586"/>
      <c r="Z48" s="586"/>
      <c r="AA48" s="586"/>
      <c r="AB48" s="586"/>
      <c r="AC48" s="586"/>
      <c r="AD48" s="586"/>
      <c r="AE48" s="586"/>
      <c r="AF48" s="586"/>
      <c r="AG48" s="586"/>
      <c r="AH48" s="888"/>
      <c r="AI48" s="585"/>
    </row>
    <row r="49" ht="30" customHeight="1">
      <c r="A49" s="887"/>
      <c r="B49" s="753"/>
      <c r="C49" t="s" s="754">
        <f>IF(LEFT(RIGHT($B$1,2),1)=" ",RIGHT($B$1,1),RIGHT($B$1,2))</f>
        <v>2298</v>
      </c>
      <c r="D49" s="755">
        <f>IF(LEFT(F49,5)="Bonne",D47+1,D48)</f>
        <v>4</v>
      </c>
      <c r="E49" t="s" s="778">
        <f>C49&amp;D49&amp;RIGHT(F49,1)</f>
        <v>2326</v>
      </c>
      <c r="F49" t="s" s="790">
        <v>1837</v>
      </c>
      <c r="G49" t="s" s="791">
        <f>VLOOKUP(E49,'BDD'!$A$2:$N$567,MATCH(G$24,'BDD'!$A$1:$P$1,0),FALSE)</f>
        <v>1516</v>
      </c>
      <c r="H49" t="s" s="799">
        <f>IF(VLOOKUP($E49,'BDD'!$A$2:$N$567,MATCH($H$23,'BDD'!$A$1:$P$1,0),FALSE)=H$24,H$24,"")</f>
      </c>
      <c r="I49" t="s" s="792">
        <f>IF(VLOOKUP($E49,'BDD'!$A$2:$N$567,MATCH($H$23,'BDD'!$A$1:$P$1,0),FALSE)=I$24,I$24,"")</f>
        <v>1969</v>
      </c>
      <c r="J49" t="s" s="792">
        <f>IF(VLOOKUP($E49,'BDD'!$A$2:$N$567,MATCH($H$23,'BDD'!$A$1:$P$1,0),FALSE)=J$24,J$24,"")</f>
      </c>
      <c r="K49" t="s" s="792">
        <f>IF(VLOOKUP($E49,'BDD'!$A$2:$N$567,MATCH($H$23,'BDD'!$A$1:$P$1,0),FALSE)=K$24,K$24,"")</f>
      </c>
      <c r="L49" t="s" s="783">
        <f>IF(VLOOKUP($E49,'BDD'!$A$2:$N$567,MATCH($H$23,'BDD'!$A$1:$P$1,0),FALSE)=L$24,L$24,"")</f>
      </c>
      <c r="M49" s="794">
        <f>IF(N49="Exigences partiellement respectées",1,IF(N49="Exigences respectées",2,0))</f>
        <v>0</v>
      </c>
      <c r="N49" t="s" s="791">
        <f>VLOOKUP(VLOOKUP(E49,'BDD'!$A$2:$P$567,15,FALSE),'Suppl'!$D$64:$E$68,2,FALSE)</f>
        <v>1751</v>
      </c>
      <c r="O49" s="795"/>
      <c r="P49" s="796"/>
      <c r="Q49" s="796"/>
      <c r="R49" s="796"/>
      <c r="S49" s="797">
        <f>IF(N49='Suppl'!$E$65,0,IF(N49='Suppl'!$E$66,1/2/(_xlfn.COUNTIFS($D1:$D100,D49,$N1:$N100,"Exigences"&amp;"*",G1:G100,"&lt;&gt;0")+_xlfn.COUNTIFS($D1:$D100,D49,$N1:$N100,"Non"&amp;"*",G1:G100,"&lt;&gt;0")),IF(N49='Suppl'!$E$67,1/(_xlfn.COUNTIFS($D1:$D100,D49,$N1:$N100,"Exigences"&amp;"*",G1:G100,"&lt;&gt;0")+_xlfn.COUNTIFS($D1:$D100,D49,$N1:$N100,"Non"&amp;"*",G1:G100,"&lt;&gt;0")),0)))</f>
      </c>
      <c r="T49" s="797"/>
      <c r="U49" s="797"/>
      <c r="V49" s="798"/>
      <c r="W49" s="789">
        <f>_xlfn.IFERROR(IF(N49='Suppl'!$E$65,0,IF(N49='Suppl'!$E$66,1/2/(_xlfn.COUNTIFS($N1:$N100,"Exigences"&amp;"*")+_xlfn.COUNTIFS($N1:$N100,"Non"&amp;"*")),IF(N49='Suppl'!$E$67,1/(_xlfn.COUNTIFS($N1:$N100,"Exigences"&amp;"*")+_xlfn.COUNTIFS($N1:$N100,"Non"&amp;"*")),0))),0)</f>
      </c>
      <c r="X49" s="586"/>
      <c r="Y49" s="586"/>
      <c r="Z49" s="586"/>
      <c r="AA49" s="586"/>
      <c r="AB49" s="586"/>
      <c r="AC49" s="586"/>
      <c r="AD49" s="586"/>
      <c r="AE49" s="586"/>
      <c r="AF49" s="586"/>
      <c r="AG49" s="586"/>
      <c r="AH49" s="888"/>
      <c r="AI49" s="585"/>
    </row>
    <row r="50" ht="30" customHeight="1">
      <c r="A50" s="887"/>
      <c r="B50" s="753"/>
      <c r="C50" t="s" s="754">
        <f>IF(LEFT(RIGHT($B$1,2),1)=" ",RIGHT($B$1,1),RIGHT($B$1,2))</f>
        <v>2298</v>
      </c>
      <c r="D50" s="755">
        <f>IF(LEFT(F50,5)="Bonne",D48+1,D49)</f>
        <v>4</v>
      </c>
      <c r="E50" t="s" s="778">
        <f>C50&amp;D50&amp;RIGHT(F50,1)</f>
        <v>2327</v>
      </c>
      <c r="F50" t="s" s="779">
        <v>1774</v>
      </c>
      <c r="G50" t="s" s="780">
        <f>VLOOKUP(E50,'BDD'!$A$2:$N$567,MATCH(G$24,'BDD'!$A$1:$P$1,0),FALSE)</f>
        <v>1519</v>
      </c>
      <c r="H50" t="s" s="799">
        <f>IF(VLOOKUP($E50,'BDD'!$A$2:$N$567,MATCH($H$23,'BDD'!$A$1:$P$1,0),FALSE)=H$24,H$24,"")</f>
      </c>
      <c r="I50" t="s" s="792">
        <f>IF(VLOOKUP($E50,'BDD'!$A$2:$N$567,MATCH($H$23,'BDD'!$A$1:$P$1,0),FALSE)=I$24,I$24,"")</f>
        <v>1969</v>
      </c>
      <c r="J50" t="s" s="792">
        <f>IF(VLOOKUP($E50,'BDD'!$A$2:$N$567,MATCH($H$23,'BDD'!$A$1:$P$1,0),FALSE)=J$24,J$24,"")</f>
      </c>
      <c r="K50" t="s" s="792">
        <f>IF(VLOOKUP($E50,'BDD'!$A$2:$N$567,MATCH($H$23,'BDD'!$A$1:$P$1,0),FALSE)=K$24,K$24,"")</f>
      </c>
      <c r="L50" t="s" s="783">
        <f>IF(VLOOKUP($E50,'BDD'!$A$2:$N$567,MATCH($H$23,'BDD'!$A$1:$P$1,0),FALSE)=L$24,L$24,"")</f>
      </c>
      <c r="M50" s="800">
        <f>IF(N50="Exigences partiellement respectées",1,IF(N50="Exigences respectées",2,0))</f>
        <v>0</v>
      </c>
      <c r="N50" t="s" s="780">
        <f>VLOOKUP(VLOOKUP(E50,'BDD'!$A$2:$P$567,15,FALSE),'Suppl'!$D$64:$E$68,2,FALSE)</f>
        <v>1751</v>
      </c>
      <c r="O50" s="801"/>
      <c r="P50" s="802"/>
      <c r="Q50" s="802"/>
      <c r="R50" s="802"/>
      <c r="S50" s="803">
        <f>IF(N50='Suppl'!$E$65,0,IF(N50='Suppl'!$E$66,1/2/(_xlfn.COUNTIFS($D1:$D100,D50,$N1:$N100,"Exigences"&amp;"*",G1:G100,"&lt;&gt;0")+_xlfn.COUNTIFS($D1:$D100,D50,$N1:$N100,"Non"&amp;"*",G1:G100,"&lt;&gt;0")),IF(N50='Suppl'!$E$67,1/(_xlfn.COUNTIFS($D1:$D100,D50,$N1:$N100,"Exigences"&amp;"*",G1:G100,"&lt;&gt;0")+_xlfn.COUNTIFS($D1:$D100,D50,$N1:$N100,"Non"&amp;"*",G1:G100,"&lt;&gt;0")),0)))</f>
      </c>
      <c r="T50" s="803"/>
      <c r="U50" s="803"/>
      <c r="V50" s="804"/>
      <c r="W50" s="789">
        <f>_xlfn.IFERROR(IF(N50='Suppl'!$E$65,0,IF(N50='Suppl'!$E$66,1/2/(_xlfn.COUNTIFS($N1:$N100,"Exigences"&amp;"*")+_xlfn.COUNTIFS($N1:$N100,"Non"&amp;"*")),IF(N50='Suppl'!$E$67,1/(_xlfn.COUNTIFS($N1:$N100,"Exigences"&amp;"*")+_xlfn.COUNTIFS($N1:$N100,"Non"&amp;"*")),0))),0)</f>
      </c>
      <c r="X50" s="586"/>
      <c r="Y50" s="586"/>
      <c r="Z50" s="586"/>
      <c r="AA50" s="586"/>
      <c r="AB50" s="586"/>
      <c r="AC50" s="586"/>
      <c r="AD50" s="586"/>
      <c r="AE50" s="586"/>
      <c r="AF50" s="586"/>
      <c r="AG50" s="586"/>
      <c r="AH50" s="888"/>
      <c r="AI50" s="585"/>
    </row>
    <row r="51" ht="30" customHeight="1">
      <c r="A51" s="887"/>
      <c r="B51" s="753"/>
      <c r="C51" t="s" s="754">
        <f>IF(LEFT(RIGHT($B$1,2),1)=" ",RIGHT($B$1,1),RIGHT($B$1,2))</f>
        <v>2298</v>
      </c>
      <c r="D51" s="755">
        <f>IF(LEFT(F51,5)="Bonne",D49+1,D50)</f>
        <v>5</v>
      </c>
      <c r="E51" t="s" s="778">
        <f>C51&amp;D51&amp;RIGHT(F51,1)</f>
        <v>2344</v>
      </c>
      <c r="F51" t="s" s="757">
        <v>1814</v>
      </c>
      <c r="G51" t="s" s="758">
        <f>VLOOKUP(E53,'BDD'!$A$2:$N$567,6,FALSE)</f>
        <v>1525</v>
      </c>
      <c r="H51" s="759"/>
      <c r="I51" s="760"/>
      <c r="J51" s="760"/>
      <c r="K51" s="760"/>
      <c r="L51" s="761"/>
      <c r="M51" s="762"/>
      <c r="N51" s="763"/>
      <c r="O51" s="764">
        <v>0</v>
      </c>
      <c r="P51" s="764"/>
      <c r="Q51" s="764"/>
      <c r="R51" s="764"/>
      <c r="S51" s="765">
        <f>_xlfn.SUMIFS(S1:S100,$D1:$D100,D51,$N1:$N100,"Exigences"&amp;"*")</f>
      </c>
      <c r="T51" s="765"/>
      <c r="U51" s="765"/>
      <c r="V51" s="766"/>
      <c r="W51" s="789">
        <f>_xlfn.IFERROR(IF(N51='Suppl'!$E$65,0,IF(N51='Suppl'!$E$66,1/2/(_xlfn.COUNTIFS($N1:$N100,"Exigences"&amp;"*")+_xlfn.COUNTIFS($N1:$N100,"Non"&amp;"*")),IF(N51='Suppl'!$E$67,1/(_xlfn.COUNTIFS($N1:$N100,"Exigences"&amp;"*")+_xlfn.COUNTIFS($N1:$N100,"Non"&amp;"*")),0))),0)</f>
      </c>
      <c r="X51" s="586"/>
      <c r="Y51" s="586"/>
      <c r="Z51" s="586"/>
      <c r="AA51" s="586"/>
      <c r="AB51" s="586"/>
      <c r="AC51" s="586"/>
      <c r="AD51" s="586"/>
      <c r="AE51" s="586"/>
      <c r="AF51" s="586"/>
      <c r="AG51" s="586"/>
      <c r="AH51" s="888"/>
      <c r="AI51" s="585"/>
    </row>
    <row r="52" ht="30" customHeight="1">
      <c r="A52" s="887"/>
      <c r="B52" s="753"/>
      <c r="C52" t="s" s="754">
        <f>IF(LEFT(RIGHT($B$1,2),1)=" ",RIGHT($B$1,1),RIGHT($B$1,2))</f>
        <v>2298</v>
      </c>
      <c r="D52" s="755">
        <f>IF(LEFT(F52,5)="Bonne",D50+1,D51)</f>
        <v>5</v>
      </c>
      <c r="E52" t="s" s="778">
        <f>C52&amp;D52&amp;RIGHT(F52,1)</f>
        <v>2345</v>
      </c>
      <c r="F52" t="s" s="769">
        <v>1835</v>
      </c>
      <c r="G52" t="s" s="770">
        <f>VLOOKUP(E54,'BDD'!$A$2:$N$567,7,FALSE)</f>
        <v>2346</v>
      </c>
      <c r="H52" s="771"/>
      <c r="I52" s="771"/>
      <c r="J52" s="771"/>
      <c r="K52" s="771"/>
      <c r="L52" s="772"/>
      <c r="M52" s="773"/>
      <c r="N52" s="774"/>
      <c r="O52" s="775"/>
      <c r="P52" s="775"/>
      <c r="Q52" s="775"/>
      <c r="R52" s="775"/>
      <c r="S52" s="776"/>
      <c r="T52" s="776"/>
      <c r="U52" s="776"/>
      <c r="V52" s="777"/>
      <c r="W52" s="789">
        <f>_xlfn.IFERROR(IF(N52='Suppl'!$E$65,0,IF(N52='Suppl'!$E$66,1/2/(_xlfn.COUNTIFS($N1:$N100,"Exigences"&amp;"*")+_xlfn.COUNTIFS($N1:$N100,"Non"&amp;"*")),IF(N52='Suppl'!$E$67,1/(_xlfn.COUNTIFS($N1:$N100,"Exigences"&amp;"*")+_xlfn.COUNTIFS($N1:$N100,"Non"&amp;"*")),0))),0)</f>
      </c>
      <c r="X52" s="586"/>
      <c r="Y52" s="586"/>
      <c r="Z52" s="586"/>
      <c r="AA52" s="586"/>
      <c r="AB52" s="586"/>
      <c r="AC52" s="586"/>
      <c r="AD52" s="586"/>
      <c r="AE52" s="586"/>
      <c r="AF52" s="586"/>
      <c r="AG52" s="586"/>
      <c r="AH52" s="888"/>
      <c r="AI52" s="585"/>
    </row>
    <row r="53" ht="41.4" customHeight="1">
      <c r="A53" s="887"/>
      <c r="B53" s="753"/>
      <c r="C53" t="s" s="754">
        <f>IF(LEFT(RIGHT($B$1,2),1)=" ",RIGHT($B$1,1),RIGHT($B$1,2))</f>
        <v>2298</v>
      </c>
      <c r="D53" s="755">
        <f>IF(LEFT(F53,5)="Bonne",D51+1,D52)</f>
        <v>5</v>
      </c>
      <c r="E53" t="s" s="778">
        <f>C53&amp;D53&amp;RIGHT(F53,1)</f>
        <v>2345</v>
      </c>
      <c r="F53" t="s" s="779">
        <v>1769</v>
      </c>
      <c r="G53" t="s" s="780">
        <f>VLOOKUP(E53,'BDD'!$A$2:$N$567,MATCH(G$24,'BDD'!$A$1:$P$1,0),FALSE)</f>
        <v>2347</v>
      </c>
      <c r="H53" t="s" s="799">
        <f>IF(VLOOKUP($E53,'BDD'!$A$2:$N$567,MATCH($H$23,'BDD'!$A$1:$P$1,0),FALSE)=H$24,H$24,"")</f>
        <v>1966</v>
      </c>
      <c r="I53" t="s" s="792">
        <f>IF(VLOOKUP($E53,'BDD'!$A$2:$N$567,MATCH($H$23,'BDD'!$A$1:$P$1,0),FALSE)=I$24,I$24,"")</f>
      </c>
      <c r="J53" t="s" s="792">
        <f>IF(VLOOKUP($E53,'BDD'!$A$2:$N$567,MATCH($H$23,'BDD'!$A$1:$P$1,0),FALSE)=J$24,J$24,"")</f>
      </c>
      <c r="K53" t="s" s="792">
        <f>IF(VLOOKUP($E53,'BDD'!$A$2:$N$567,MATCH($H$23,'BDD'!$A$1:$P$1,0),FALSE)=K$24,K$24,"")</f>
      </c>
      <c r="L53" t="s" s="783">
        <f>IF(VLOOKUP($E53,'BDD'!$A$2:$N$567,MATCH($H$23,'BDD'!$A$1:$P$1,0),FALSE)=L$24,L$24,"")</f>
      </c>
      <c r="M53" s="784">
        <f>IF(N53="Exigences partiellement respectées",1,IF(N53="Exigences respectées",2,0))</f>
        <v>0</v>
      </c>
      <c r="N53" t="s" s="780">
        <f>VLOOKUP(VLOOKUP(E53,'BDD'!$A$2:$P$567,15,FALSE),'Suppl'!$D$64:$E$68,2,FALSE)</f>
        <v>1751</v>
      </c>
      <c r="O53" s="785"/>
      <c r="P53" s="786"/>
      <c r="Q53" s="786"/>
      <c r="R53" s="786"/>
      <c r="S53" s="787">
        <f>IF(N53='Suppl'!$E$65,0,IF(N53='Suppl'!$E$66,1/2/(_xlfn.COUNTIFS($D1:$D100,D53,$N1:$N100,"Exigences"&amp;"*",G1:G100,"&lt;&gt;0")+_xlfn.COUNTIFS($D1:$D100,D53,$N1:$N100,"Non"&amp;"*",G1:G100,"&lt;&gt;0")),IF(N53='Suppl'!$E$67,1/(_xlfn.COUNTIFS($D1:$D100,D53,$N1:$N100,"Exigences"&amp;"*",G1:G100,"&lt;&gt;0")+_xlfn.COUNTIFS($D1:$D100,D53,$N1:$N100,"Non"&amp;"*",G1:G100,"&lt;&gt;0")),0)))</f>
      </c>
      <c r="T53" s="787"/>
      <c r="U53" s="787"/>
      <c r="V53" s="788"/>
      <c r="W53" s="789">
        <f>_xlfn.IFERROR(IF(N53='Suppl'!$E$65,0,IF(N53='Suppl'!$E$66,1/2/(_xlfn.COUNTIFS($N1:$N100,"Exigences"&amp;"*")+_xlfn.COUNTIFS($N1:$N100,"Non"&amp;"*")),IF(N53='Suppl'!$E$67,1/(_xlfn.COUNTIFS($N1:$N100,"Exigences"&amp;"*")+_xlfn.COUNTIFS($N1:$N100,"Non"&amp;"*")),0))),0)</f>
      </c>
      <c r="X53" s="586"/>
      <c r="Y53" s="586"/>
      <c r="Z53" s="586"/>
      <c r="AA53" s="586"/>
      <c r="AB53" s="586"/>
      <c r="AC53" s="586"/>
      <c r="AD53" s="586"/>
      <c r="AE53" s="586"/>
      <c r="AF53" s="586"/>
      <c r="AG53" s="586"/>
      <c r="AH53" s="888"/>
      <c r="AI53" s="585"/>
    </row>
    <row r="54" ht="30" customHeight="1">
      <c r="A54" s="887"/>
      <c r="B54" s="753"/>
      <c r="C54" t="s" s="754">
        <f>IF(LEFT(RIGHT($B$1,2),1)=" ",RIGHT($B$1,1),RIGHT($B$1,2))</f>
        <v>2298</v>
      </c>
      <c r="D54" s="755">
        <f>IF(LEFT(F54,5)="Bonne",D52+1,D53)</f>
        <v>5</v>
      </c>
      <c r="E54" t="s" s="778">
        <f>C54&amp;D54&amp;RIGHT(F54,1)</f>
        <v>2348</v>
      </c>
      <c r="F54" t="s" s="790">
        <v>1837</v>
      </c>
      <c r="G54" t="s" s="791">
        <f>VLOOKUP(E54,'BDD'!$A$2:$N$567,MATCH(G$24,'BDD'!$A$1:$P$1,0),FALSE)</f>
        <v>2349</v>
      </c>
      <c r="H54" t="s" s="799">
        <f>IF(VLOOKUP($E54,'BDD'!$A$2:$N$567,MATCH($H$23,'BDD'!$A$1:$P$1,0),FALSE)=H$24,H$24,"")</f>
      </c>
      <c r="I54" t="s" s="792">
        <f>IF(VLOOKUP($E54,'BDD'!$A$2:$N$567,MATCH($H$23,'BDD'!$A$1:$P$1,0),FALSE)=I$24,I$24,"")</f>
      </c>
      <c r="J54" t="s" s="792">
        <f>IF(VLOOKUP($E54,'BDD'!$A$2:$N$567,MATCH($H$23,'BDD'!$A$1:$P$1,0),FALSE)=J$24,J$24,"")</f>
        <v>1967</v>
      </c>
      <c r="K54" t="s" s="792">
        <f>IF(VLOOKUP($E54,'BDD'!$A$2:$N$567,MATCH($H$23,'BDD'!$A$1:$P$1,0),FALSE)=K$24,K$24,"")</f>
      </c>
      <c r="L54" t="s" s="783">
        <f>IF(VLOOKUP($E54,'BDD'!$A$2:$N$567,MATCH($H$23,'BDD'!$A$1:$P$1,0),FALSE)=L$24,L$24,"")</f>
      </c>
      <c r="M54" s="794">
        <f>IF(N54="Exigences partiellement respectées",1,IF(N54="Exigences respectées",2,0))</f>
        <v>0</v>
      </c>
      <c r="N54" t="s" s="791">
        <f>VLOOKUP(VLOOKUP(E54,'BDD'!$A$2:$P$567,15,FALSE),'Suppl'!$D$64:$E$68,2,FALSE)</f>
        <v>1751</v>
      </c>
      <c r="O54" s="795"/>
      <c r="P54" s="796"/>
      <c r="Q54" s="796"/>
      <c r="R54" s="796"/>
      <c r="S54" s="797">
        <f>IF(N54='Suppl'!$E$65,0,IF(N54='Suppl'!$E$66,1/2/(_xlfn.COUNTIFS($D1:$D100,D54,$N1:$N100,"Exigences"&amp;"*",G1:G100,"&lt;&gt;0")+_xlfn.COUNTIFS($D1:$D100,D54,$N1:$N100,"Non"&amp;"*",G1:G100,"&lt;&gt;0")),IF(N54='Suppl'!$E$67,1/(_xlfn.COUNTIFS($D1:$D100,D54,$N1:$N100,"Exigences"&amp;"*",G1:G100,"&lt;&gt;0")+_xlfn.COUNTIFS($D1:$D100,D54,$N1:$N100,"Non"&amp;"*",G1:G100,"&lt;&gt;0")),0)))</f>
      </c>
      <c r="T54" s="797"/>
      <c r="U54" s="797"/>
      <c r="V54" s="798"/>
      <c r="W54" s="789">
        <f>_xlfn.IFERROR(IF(N54='Suppl'!$E$65,0,IF(N54='Suppl'!$E$66,1/2/(_xlfn.COUNTIFS($N1:$N100,"Exigences"&amp;"*")+_xlfn.COUNTIFS($N1:$N100,"Non"&amp;"*")),IF(N54='Suppl'!$E$67,1/(_xlfn.COUNTIFS($N1:$N100,"Exigences"&amp;"*")+_xlfn.COUNTIFS($N1:$N100,"Non"&amp;"*")),0))),0)</f>
      </c>
      <c r="X54" s="586"/>
      <c r="Y54" s="586"/>
      <c r="Z54" s="586"/>
      <c r="AA54" s="586"/>
      <c r="AB54" s="586"/>
      <c r="AC54" s="586"/>
      <c r="AD54" s="586"/>
      <c r="AE54" s="586"/>
      <c r="AF54" s="586"/>
      <c r="AG54" s="586"/>
      <c r="AH54" s="888"/>
      <c r="AI54" s="585"/>
    </row>
    <row r="55" ht="30" customHeight="1">
      <c r="A55" s="887"/>
      <c r="B55" s="753"/>
      <c r="C55" t="s" s="754">
        <f>IF(LEFT(RIGHT($B$1,2),1)=" ",RIGHT($B$1,1),RIGHT($B$1,2))</f>
        <v>2298</v>
      </c>
      <c r="D55" s="755">
        <f>IF(LEFT(F55,5)="Bonne",D53+1,D54)</f>
        <v>5</v>
      </c>
      <c r="E55" t="s" s="778">
        <f>C55&amp;D55&amp;RIGHT(F55,1)</f>
        <v>2350</v>
      </c>
      <c r="F55" t="s" s="779">
        <v>1774</v>
      </c>
      <c r="G55" t="s" s="780">
        <f>VLOOKUP(E55,'BDD'!$A$2:$N$567,MATCH(G$24,'BDD'!$A$1:$P$1,0),FALSE)</f>
        <v>1533</v>
      </c>
      <c r="H55" t="s" s="799">
        <f>IF(VLOOKUP($E55,'BDD'!$A$2:$N$567,MATCH($H$23,'BDD'!$A$1:$P$1,0),FALSE)=H$24,H$24,"")</f>
      </c>
      <c r="I55" t="s" s="792">
        <f>IF(VLOOKUP($E55,'BDD'!$A$2:$N$567,MATCH($H$23,'BDD'!$A$1:$P$1,0),FALSE)=I$24,I$24,"")</f>
      </c>
      <c r="J55" t="s" s="792">
        <f>IF(VLOOKUP($E55,'BDD'!$A$2:$N$567,MATCH($H$23,'BDD'!$A$1:$P$1,0),FALSE)=J$24,J$24,"")</f>
      </c>
      <c r="K55" t="s" s="792">
        <f>IF(VLOOKUP($E55,'BDD'!$A$2:$N$567,MATCH($H$23,'BDD'!$A$1:$P$1,0),FALSE)=K$24,K$24,"")</f>
        <v>1968</v>
      </c>
      <c r="L55" t="s" s="783">
        <f>IF(VLOOKUP($E55,'BDD'!$A$2:$N$567,MATCH($H$23,'BDD'!$A$1:$P$1,0),FALSE)=L$24,L$24,"")</f>
      </c>
      <c r="M55" s="794">
        <f>IF(N55="Exigences partiellement respectées",1,IF(N55="Exigences respectées",2,0))</f>
        <v>0</v>
      </c>
      <c r="N55" t="s" s="780">
        <f>VLOOKUP(VLOOKUP(E55,'BDD'!$A$2:$P$567,15,FALSE),'Suppl'!$D$64:$E$68,2,FALSE)</f>
        <v>1751</v>
      </c>
      <c r="O55" s="795"/>
      <c r="P55" s="796"/>
      <c r="Q55" s="796"/>
      <c r="R55" s="796"/>
      <c r="S55" s="797">
        <f>IF(N55='Suppl'!$E$65,0,IF(N55='Suppl'!$E$66,1/2/(_xlfn.COUNTIFS($D1:$D100,D55,$N1:$N100,"Exigences"&amp;"*",G1:G100,"&lt;&gt;0")+_xlfn.COUNTIFS($D1:$D100,D55,$N1:$N100,"Non"&amp;"*",G1:G100,"&lt;&gt;0")),IF(N55='Suppl'!$E$67,1/(_xlfn.COUNTIFS($D1:$D100,D55,$N1:$N100,"Exigences"&amp;"*",G1:G100,"&lt;&gt;0")+_xlfn.COUNTIFS($D1:$D100,D55,$N1:$N100,"Non"&amp;"*",G1:G100,"&lt;&gt;0")),0)))</f>
      </c>
      <c r="T55" s="797"/>
      <c r="U55" s="797"/>
      <c r="V55" s="798"/>
      <c r="W55" s="789">
        <f>_xlfn.IFERROR(IF(N55='Suppl'!$E$65,0,IF(N55='Suppl'!$E$66,1/2/(_xlfn.COUNTIFS($N1:$N100,"Exigences"&amp;"*")+_xlfn.COUNTIFS($N1:$N100,"Non"&amp;"*")),IF(N55='Suppl'!$E$67,1/(_xlfn.COUNTIFS($N1:$N100,"Exigences"&amp;"*")+_xlfn.COUNTIFS($N1:$N100,"Non"&amp;"*")),0))),0)</f>
      </c>
      <c r="X55" s="586"/>
      <c r="Y55" s="586"/>
      <c r="Z55" s="586"/>
      <c r="AA55" s="586"/>
      <c r="AB55" s="586"/>
      <c r="AC55" s="586"/>
      <c r="AD55" s="586"/>
      <c r="AE55" s="586"/>
      <c r="AF55" s="586"/>
      <c r="AG55" s="586"/>
      <c r="AH55" s="888"/>
      <c r="AI55" s="585"/>
    </row>
    <row r="56" ht="41.4" customHeight="1">
      <c r="A56" s="887"/>
      <c r="B56" s="753"/>
      <c r="C56" t="s" s="754">
        <f>IF(LEFT(RIGHT($B$1,2),1)=" ",RIGHT($B$1,1),RIGHT($B$1,2))</f>
        <v>2298</v>
      </c>
      <c r="D56" s="755">
        <f>IF(LEFT(F56,5)="Bonne",D54+1,D55)</f>
        <v>5</v>
      </c>
      <c r="E56" t="s" s="778">
        <f>C56&amp;D56&amp;RIGHT(F56,1)</f>
        <v>2351</v>
      </c>
      <c r="F56" t="s" s="790">
        <v>1776</v>
      </c>
      <c r="G56" t="s" s="791">
        <f>VLOOKUP(E56,'BDD'!$A$2:$N$567,MATCH(G$24,'BDD'!$A$1:$P$1,0),FALSE)</f>
        <v>1535</v>
      </c>
      <c r="H56" t="s" s="799">
        <f>IF(VLOOKUP($E56,'BDD'!$A$2:$N$567,MATCH($H$23,'BDD'!$A$1:$P$1,0),FALSE)=H$24,H$24,"")</f>
      </c>
      <c r="I56" t="s" s="792">
        <f>IF(VLOOKUP($E56,'BDD'!$A$2:$N$567,MATCH($H$23,'BDD'!$A$1:$P$1,0),FALSE)=I$24,I$24,"")</f>
        <v>1969</v>
      </c>
      <c r="J56" t="s" s="792">
        <f>IF(VLOOKUP($E56,'BDD'!$A$2:$N$567,MATCH($H$23,'BDD'!$A$1:$P$1,0),FALSE)=J$24,J$24,"")</f>
      </c>
      <c r="K56" t="s" s="792">
        <f>IF(VLOOKUP($E56,'BDD'!$A$2:$N$567,MATCH($H$23,'BDD'!$A$1:$P$1,0),FALSE)=K$24,K$24,"")</f>
      </c>
      <c r="L56" t="s" s="783">
        <f>IF(VLOOKUP($E56,'BDD'!$A$2:$N$567,MATCH($H$23,'BDD'!$A$1:$P$1,0),FALSE)=L$24,L$24,"")</f>
      </c>
      <c r="M56" s="794">
        <f>IF(N56="Exigences partiellement respectées",1,IF(N56="Exigences respectées",2,0))</f>
        <v>0</v>
      </c>
      <c r="N56" t="s" s="791">
        <f>VLOOKUP(VLOOKUP(E56,'BDD'!$A$2:$P$567,15,FALSE),'Suppl'!$D$64:$E$68,2,FALSE)</f>
        <v>1751</v>
      </c>
      <c r="O56" s="795"/>
      <c r="P56" s="796"/>
      <c r="Q56" s="796"/>
      <c r="R56" s="796"/>
      <c r="S56" s="797">
        <f>IF(N56='Suppl'!$E$65,0,IF(N56='Suppl'!$E$66,1/2/(_xlfn.COUNTIFS($D1:$D100,D56,$N1:$N100,"Exigences"&amp;"*",G1:G100,"&lt;&gt;0")+_xlfn.COUNTIFS($D1:$D100,D56,$N1:$N100,"Non"&amp;"*",G1:G100,"&lt;&gt;0")),IF(N56='Suppl'!$E$67,1/(_xlfn.COUNTIFS($D1:$D100,D56,$N1:$N100,"Exigences"&amp;"*",G1:G100,"&lt;&gt;0")+_xlfn.COUNTIFS($D1:$D100,D56,$N1:$N100,"Non"&amp;"*",G1:G100,"&lt;&gt;0")),0)))</f>
      </c>
      <c r="T56" s="797"/>
      <c r="U56" s="797"/>
      <c r="V56" s="798"/>
      <c r="W56" s="789">
        <f>_xlfn.IFERROR(IF(N56='Suppl'!$E$65,0,IF(N56='Suppl'!$E$66,1/2/(_xlfn.COUNTIFS($N1:$N100,"Exigences"&amp;"*")+_xlfn.COUNTIFS($N1:$N100,"Non"&amp;"*")),IF(N56='Suppl'!$E$67,1/(_xlfn.COUNTIFS($N1:$N100,"Exigences"&amp;"*")+_xlfn.COUNTIFS($N1:$N100,"Non"&amp;"*")),0))),0)</f>
      </c>
      <c r="X56" s="586"/>
      <c r="Y56" s="586"/>
      <c r="Z56" s="586"/>
      <c r="AA56" s="586"/>
      <c r="AB56" s="586"/>
      <c r="AC56" s="586"/>
      <c r="AD56" s="586"/>
      <c r="AE56" s="586"/>
      <c r="AF56" s="586"/>
      <c r="AG56" s="586"/>
      <c r="AH56" s="888"/>
      <c r="AI56" s="585"/>
    </row>
    <row r="57" ht="42.6" customHeight="1">
      <c r="A57" s="887"/>
      <c r="B57" s="753"/>
      <c r="C57" t="s" s="754">
        <f>IF(LEFT(RIGHT($B$1,2),1)=" ",RIGHT($B$1,1),RIGHT($B$1,2))</f>
        <v>2298</v>
      </c>
      <c r="D57" s="755">
        <f>IF(LEFT(F57,5)="Bonne",D55+1,D56)</f>
        <v>5</v>
      </c>
      <c r="E57" t="s" s="778">
        <f>C57&amp;D57&amp;RIGHT(F57,1)</f>
        <v>2344</v>
      </c>
      <c r="F57" t="s" s="779">
        <v>1778</v>
      </c>
      <c r="G57" t="s" s="780">
        <f>VLOOKUP(E57,'BDD'!$A$2:$N$567,MATCH(G$24,'BDD'!$A$1:$P$1,0),FALSE)</f>
        <v>1537</v>
      </c>
      <c r="H57" t="s" s="799">
        <f>IF(VLOOKUP($E57,'BDD'!$A$2:$N$567,MATCH($H$23,'BDD'!$A$1:$P$1,0),FALSE)=H$24,H$24,"")</f>
      </c>
      <c r="I57" t="s" s="792">
        <f>IF(VLOOKUP($E57,'BDD'!$A$2:$N$567,MATCH($H$23,'BDD'!$A$1:$P$1,0),FALSE)=I$24,I$24,"")</f>
      </c>
      <c r="J57" t="s" s="792">
        <f>IF(VLOOKUP($E57,'BDD'!$A$2:$N$567,MATCH($H$23,'BDD'!$A$1:$P$1,0),FALSE)=J$24,J$24,"")</f>
        <v>1967</v>
      </c>
      <c r="K57" t="s" s="792">
        <f>IF(VLOOKUP($E57,'BDD'!$A$2:$N$567,MATCH($H$23,'BDD'!$A$1:$P$1,0),FALSE)=K$24,K$24,"")</f>
      </c>
      <c r="L57" t="s" s="783">
        <f>IF(VLOOKUP($E57,'BDD'!$A$2:$N$567,MATCH($H$23,'BDD'!$A$1:$P$1,0),FALSE)=L$24,L$24,"")</f>
      </c>
      <c r="M57" s="794">
        <f>IF(N57="Exigences partiellement respectées",1,IF(N57="Exigences respectées",2,0))</f>
        <v>0</v>
      </c>
      <c r="N57" t="s" s="780">
        <f>VLOOKUP(VLOOKUP(E57,'BDD'!$A$2:$P$567,15,FALSE),'Suppl'!$D$64:$E$68,2,FALSE)</f>
        <v>1751</v>
      </c>
      <c r="O57" s="795"/>
      <c r="P57" s="796"/>
      <c r="Q57" s="796"/>
      <c r="R57" s="796"/>
      <c r="S57" s="797">
        <f>IF(N57='Suppl'!$E$65,0,IF(N57='Suppl'!$E$66,1/2/(_xlfn.COUNTIFS($D1:$D100,D57,$N1:$N100,"Exigences"&amp;"*",G1:G100,"&lt;&gt;0")+_xlfn.COUNTIFS($D1:$D100,D57,$N1:$N100,"Non"&amp;"*",G1:G100,"&lt;&gt;0")),IF(N57='Suppl'!$E$67,1/(_xlfn.COUNTIFS($D1:$D100,D57,$N1:$N100,"Exigences"&amp;"*",G1:G100,"&lt;&gt;0")+_xlfn.COUNTIFS($D1:$D100,D57,$N1:$N100,"Non"&amp;"*",G1:G100,"&lt;&gt;0")),0)))</f>
      </c>
      <c r="T57" s="797"/>
      <c r="U57" s="797"/>
      <c r="V57" s="798"/>
      <c r="W57" s="789">
        <f>_xlfn.IFERROR(IF(N57='Suppl'!$E$65,0,IF(N57='Suppl'!$E$66,1/2/(_xlfn.COUNTIFS($N1:$N100,"Exigences"&amp;"*")+_xlfn.COUNTIFS($N1:$N100,"Non"&amp;"*")),IF(N57='Suppl'!$E$67,1/(_xlfn.COUNTIFS($N1:$N100,"Exigences"&amp;"*")+_xlfn.COUNTIFS($N1:$N100,"Non"&amp;"*")),0))),0)</f>
      </c>
      <c r="X57" s="586"/>
      <c r="Y57" s="586"/>
      <c r="Z57" s="586"/>
      <c r="AA57" s="586"/>
      <c r="AB57" s="586"/>
      <c r="AC57" s="586"/>
      <c r="AD57" s="586"/>
      <c r="AE57" s="586"/>
      <c r="AF57" s="586"/>
      <c r="AG57" s="586"/>
      <c r="AH57" s="888"/>
      <c r="AI57" s="585"/>
    </row>
    <row r="58" ht="30" customHeight="1">
      <c r="A58" s="887"/>
      <c r="B58" s="753"/>
      <c r="C58" t="s" s="754">
        <f>IF(LEFT(RIGHT($B$1,2),1)=" ",RIGHT($B$1,1),RIGHT($B$1,2))</f>
        <v>2298</v>
      </c>
      <c r="D58" s="755">
        <f>IF(LEFT(F58,5)="Bonne",D56+1,D57)</f>
        <v>5</v>
      </c>
      <c r="E58" t="s" s="778">
        <f>C58&amp;D58&amp;RIGHT(F58,1)</f>
        <v>2352</v>
      </c>
      <c r="F58" t="s" s="790">
        <v>1780</v>
      </c>
      <c r="G58" t="s" s="791">
        <f>VLOOKUP(E58,'BDD'!$A$2:$N$567,MATCH(G$24,'BDD'!$A$1:$P$1,0),FALSE)</f>
        <v>1540</v>
      </c>
      <c r="H58" t="s" s="799">
        <f>IF(VLOOKUP($E58,'BDD'!$A$2:$N$567,MATCH($H$23,'BDD'!$A$1:$P$1,0),FALSE)=H$24,H$24,"")</f>
      </c>
      <c r="I58" t="s" s="792">
        <f>IF(VLOOKUP($E58,'BDD'!$A$2:$N$567,MATCH($H$23,'BDD'!$A$1:$P$1,0),FALSE)=I$24,I$24,"")</f>
      </c>
      <c r="J58" t="s" s="792">
        <f>IF(VLOOKUP($E58,'BDD'!$A$2:$N$567,MATCH($H$23,'BDD'!$A$1:$P$1,0),FALSE)=J$24,J$24,"")</f>
      </c>
      <c r="K58" t="s" s="792">
        <f>IF(VLOOKUP($E58,'BDD'!$A$2:$N$567,MATCH($H$23,'BDD'!$A$1:$P$1,0),FALSE)=K$24,K$24,"")</f>
        <v>1968</v>
      </c>
      <c r="L58" t="s" s="783">
        <f>IF(VLOOKUP($E58,'BDD'!$A$2:$N$567,MATCH($H$23,'BDD'!$A$1:$P$1,0),FALSE)=L$24,L$24,"")</f>
      </c>
      <c r="M58" s="794">
        <f>IF(N58="Exigences partiellement respectées",1,IF(N58="Exigences respectées",2,0))</f>
        <v>0</v>
      </c>
      <c r="N58" t="s" s="980">
        <f>VLOOKUP(VLOOKUP(E58,'BDD'!$A$2:$P$567,15,FALSE),'Suppl'!$D$64:$E$68,2,FALSE)</f>
        <v>1751</v>
      </c>
      <c r="O58" s="795"/>
      <c r="P58" s="796"/>
      <c r="Q58" s="796"/>
      <c r="R58" s="796"/>
      <c r="S58" s="797">
        <f>IF(N58='Suppl'!$E$65,0,IF(N58='Suppl'!$E$66,1/2/(_xlfn.COUNTIFS($D1:$D100,D58,$N1:$N100,"Exigences"&amp;"*",G1:G100,"&lt;&gt;0")+_xlfn.COUNTIFS($D1:$D100,D58,$N1:$N100,"Non"&amp;"*",G1:G100,"&lt;&gt;0")),IF(N58='Suppl'!$E$67,1/(_xlfn.COUNTIFS($D1:$D100,D58,$N1:$N100,"Exigences"&amp;"*",G1:G100,"&lt;&gt;0")+_xlfn.COUNTIFS($D1:$D100,D58,$N1:$N100,"Non"&amp;"*",G1:G100,"&lt;&gt;0")),0)))</f>
      </c>
      <c r="T58" s="797"/>
      <c r="U58" s="797"/>
      <c r="V58" s="798"/>
      <c r="W58" s="789">
        <f>_xlfn.IFERROR(IF(N58='Suppl'!$E$65,0,IF(N58='Suppl'!$E$66,1/2/(_xlfn.COUNTIFS($N1:$N100,"Exigences"&amp;"*")+_xlfn.COUNTIFS($N1:$N100,"Non"&amp;"*")),IF(N58='Suppl'!$E$67,1/(_xlfn.COUNTIFS($N1:$N100,"Exigences"&amp;"*")+_xlfn.COUNTIFS($N1:$N100,"Non"&amp;"*")),0))),0)</f>
      </c>
      <c r="X58" s="586"/>
      <c r="Y58" s="586"/>
      <c r="Z58" s="586"/>
      <c r="AA58" s="586"/>
      <c r="AB58" s="586"/>
      <c r="AC58" s="586"/>
      <c r="AD58" s="586"/>
      <c r="AE58" s="586"/>
      <c r="AF58" s="586"/>
      <c r="AG58" s="586"/>
      <c r="AH58" s="888"/>
      <c r="AI58" s="585"/>
    </row>
    <row r="59" ht="30" customHeight="1">
      <c r="A59" s="887"/>
      <c r="B59" s="753"/>
      <c r="C59" t="s" s="754">
        <f>IF(LEFT(RIGHT($B$1,2),1)=" ",RIGHT($B$1,1),RIGHT($B$1,2))</f>
        <v>2298</v>
      </c>
      <c r="D59" s="755">
        <f>IF(LEFT(F59,5)="Bonne",D57+1,D58)</f>
        <v>5</v>
      </c>
      <c r="E59" t="s" s="778">
        <f>C59&amp;D59&amp;RIGHT(F59,1)</f>
        <v>2353</v>
      </c>
      <c r="F59" t="s" s="779">
        <v>1782</v>
      </c>
      <c r="G59" t="s" s="780">
        <f>VLOOKUP(E59,'BDD'!$A$2:$N$567,MATCH(G$24,'BDD'!$A$1:$P$1,0),FALSE)</f>
        <v>1543</v>
      </c>
      <c r="H59" t="s" s="799">
        <f>IF(VLOOKUP($E59,'BDD'!$A$2:$N$567,MATCH($H$23,'BDD'!$A$1:$P$1,0),FALSE)=H$24,H$24,"")</f>
      </c>
      <c r="I59" t="s" s="792">
        <f>IF(VLOOKUP($E59,'BDD'!$A$2:$N$567,MATCH($H$23,'BDD'!$A$1:$P$1,0),FALSE)=I$24,I$24,"")</f>
      </c>
      <c r="J59" t="s" s="792">
        <f>IF(VLOOKUP($E59,'BDD'!$A$2:$N$567,MATCH($H$23,'BDD'!$A$1:$P$1,0),FALSE)=J$24,J$24,"")</f>
      </c>
      <c r="K59" t="s" s="792">
        <f>IF(VLOOKUP($E59,'BDD'!$A$2:$N$567,MATCH($H$23,'BDD'!$A$1:$P$1,0),FALSE)=K$24,K$24,"")</f>
      </c>
      <c r="L59" t="s" s="783">
        <f>IF(VLOOKUP($E59,'BDD'!$A$2:$N$567,MATCH($H$23,'BDD'!$A$1:$P$1,0),FALSE)=L$24,L$24,"")</f>
        <v>1985</v>
      </c>
      <c r="M59" s="794">
        <f>IF(N59="Exigences partiellement respectées",1,IF(N59="Exigences respectées",2,0))</f>
        <v>0</v>
      </c>
      <c r="N59" t="s" s="780">
        <f>VLOOKUP(VLOOKUP(E59,'BDD'!$A$2:$P$567,15,FALSE),'Suppl'!$D$64:$E$68,2,FALSE)</f>
        <v>1751</v>
      </c>
      <c r="O59" s="863"/>
      <c r="P59" s="864"/>
      <c r="Q59" s="864"/>
      <c r="R59" s="864"/>
      <c r="S59" s="815">
        <f>IF(N59='Suppl'!$E$65,0,IF(N59='Suppl'!$E$66,1/2/(_xlfn.COUNTIFS($D1:$D100,D59,$N1:$N100,"Exigences"&amp;"*",G1:G100,"&lt;&gt;0")+_xlfn.COUNTIFS($D1:$D100,D59,$N1:$N100,"Non"&amp;"*",G1:G100,"&lt;&gt;0")),IF(N59='Suppl'!$E$67,1/(_xlfn.COUNTIFS($D1:$D100,D59,$N1:$N100,"Exigences"&amp;"*",G1:G100,"&lt;&gt;0")+_xlfn.COUNTIFS($D1:$D100,D59,$N1:$N100,"Non"&amp;"*",G1:G100,"&lt;&gt;0")),0)))</f>
      </c>
      <c r="T59" s="815"/>
      <c r="U59" s="815"/>
      <c r="V59" s="816"/>
      <c r="W59" s="789">
        <f>_xlfn.IFERROR(IF(N59='Suppl'!$E$65,0,IF(N59='Suppl'!$E$66,1/2/(_xlfn.COUNTIFS($N1:$N100,"Exigences"&amp;"*")+_xlfn.COUNTIFS($N1:$N100,"Non"&amp;"*")),IF(N59='Suppl'!$E$67,1/(_xlfn.COUNTIFS($N1:$N100,"Exigences"&amp;"*")+_xlfn.COUNTIFS($N1:$N100,"Non"&amp;"*")),0))),0)</f>
      </c>
      <c r="X59" s="586"/>
      <c r="Y59" s="586"/>
      <c r="Z59" s="586"/>
      <c r="AA59" s="586"/>
      <c r="AB59" s="586"/>
      <c r="AC59" s="586"/>
      <c r="AD59" s="586"/>
      <c r="AE59" s="586"/>
      <c r="AF59" s="586"/>
      <c r="AG59" s="586"/>
      <c r="AH59" s="888"/>
      <c r="AI59" s="585"/>
    </row>
    <row r="60" ht="30" customHeight="1">
      <c r="A60" s="887"/>
      <c r="B60" s="586"/>
      <c r="C60" s="586"/>
      <c r="D60" s="587"/>
      <c r="E60" s="587"/>
      <c r="F60" s="817"/>
      <c r="G60" s="818"/>
      <c r="H60" s="818"/>
      <c r="I60" s="818"/>
      <c r="J60" s="818"/>
      <c r="K60" s="818"/>
      <c r="L60" s="818"/>
      <c r="M60" s="102"/>
      <c r="N60" s="817"/>
      <c r="O60" s="819"/>
      <c r="P60" s="819"/>
      <c r="Q60" s="819"/>
      <c r="R60" s="819"/>
      <c r="S60" s="819"/>
      <c r="T60" s="819"/>
      <c r="U60" s="819"/>
      <c r="V60" s="819"/>
      <c r="W60" s="588"/>
      <c r="X60" s="586"/>
      <c r="Y60" s="586"/>
      <c r="Z60" s="586"/>
      <c r="AA60" s="586"/>
      <c r="AB60" s="586"/>
      <c r="AC60" s="586"/>
      <c r="AD60" s="586"/>
      <c r="AE60" s="586"/>
      <c r="AF60" s="586"/>
      <c r="AG60" s="586"/>
      <c r="AH60" s="888"/>
      <c r="AI60" s="585"/>
    </row>
    <row r="61" ht="30" customHeight="1">
      <c r="A61" t="s" s="981">
        <v>171</v>
      </c>
      <c r="B61" s="888"/>
      <c r="C61" s="888"/>
      <c r="D61" s="888"/>
      <c r="E61" s="888"/>
      <c r="F61" s="888"/>
      <c r="G61" s="923"/>
      <c r="H61" s="923"/>
      <c r="I61" s="923"/>
      <c r="J61" s="923"/>
      <c r="K61" s="923"/>
      <c r="L61" s="923"/>
      <c r="M61" s="923"/>
      <c r="N61" s="888"/>
      <c r="O61" s="888"/>
      <c r="P61" s="888"/>
      <c r="Q61" s="888"/>
      <c r="R61" s="888"/>
      <c r="S61" s="888"/>
      <c r="T61" s="888"/>
      <c r="U61" s="888"/>
      <c r="V61" s="888"/>
      <c r="W61" s="982"/>
      <c r="X61" s="888"/>
      <c r="Y61" s="888"/>
      <c r="Z61" s="888"/>
      <c r="AA61" s="888"/>
      <c r="AB61" s="888"/>
      <c r="AC61" s="888"/>
      <c r="AD61" s="888"/>
      <c r="AE61" s="888"/>
      <c r="AF61" s="888"/>
      <c r="AG61" s="888"/>
      <c r="AH61" t="s" s="983">
        <v>171</v>
      </c>
      <c r="AI61" s="585"/>
    </row>
    <row r="62" ht="14.4" customHeight="1">
      <c r="A62" s="822"/>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823"/>
    </row>
    <row r="63" ht="14.4" customHeight="1">
      <c r="A63" s="822"/>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823"/>
    </row>
    <row r="64" ht="14.4" customHeight="1">
      <c r="A64" s="822"/>
      <c r="B64" s="25"/>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823"/>
    </row>
    <row r="65" ht="14.4" customHeight="1">
      <c r="A65" s="822"/>
      <c r="B65" s="25"/>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823"/>
    </row>
    <row r="66" ht="14.4" customHeight="1">
      <c r="A66" s="822"/>
      <c r="B66" s="25"/>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823"/>
    </row>
    <row r="67" ht="14.4" customHeight="1">
      <c r="A67" s="822"/>
      <c r="B67" s="25"/>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823"/>
    </row>
    <row r="68" ht="14.4" customHeight="1">
      <c r="A68" s="822"/>
      <c r="B68" s="25"/>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823"/>
    </row>
    <row r="69" ht="14.4" customHeight="1">
      <c r="A69" s="822"/>
      <c r="B69" s="25"/>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823"/>
    </row>
    <row r="70" ht="14.4" customHeight="1">
      <c r="A70" s="822"/>
      <c r="B70" s="25"/>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823"/>
    </row>
    <row r="71" ht="14.4" customHeight="1">
      <c r="A71" s="822"/>
      <c r="B71" s="25"/>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823"/>
    </row>
    <row r="72" ht="14.4" customHeight="1">
      <c r="A72" s="822"/>
      <c r="B72" s="25"/>
      <c r="C72" s="25"/>
      <c r="D72" s="25"/>
      <c r="E72" s="25"/>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823"/>
    </row>
    <row r="73" ht="14.4" customHeight="1">
      <c r="A73" s="822"/>
      <c r="B73" s="25"/>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823"/>
    </row>
    <row r="74" ht="14.4" customHeight="1">
      <c r="A74" s="822"/>
      <c r="B74" s="25"/>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823"/>
    </row>
    <row r="75" ht="14.4" customHeight="1">
      <c r="A75" s="822"/>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823"/>
    </row>
    <row r="76" ht="14.4" customHeight="1">
      <c r="A76" s="822"/>
      <c r="B76" s="25"/>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823"/>
    </row>
    <row r="77" ht="14.4" customHeight="1">
      <c r="A77" s="822"/>
      <c r="B77" s="25"/>
      <c r="C77" s="25"/>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823"/>
    </row>
    <row r="78" ht="14.4" customHeight="1">
      <c r="A78" s="822"/>
      <c r="B78" s="25"/>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823"/>
    </row>
    <row r="79" ht="14.4" customHeight="1">
      <c r="A79" s="822"/>
      <c r="B79" s="25"/>
      <c r="C79" s="25"/>
      <c r="D79" s="25"/>
      <c r="E79" s="25"/>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823"/>
    </row>
    <row r="80" ht="14.4" customHeight="1">
      <c r="A80" s="822"/>
      <c r="B80" s="25"/>
      <c r="C80" s="25"/>
      <c r="D80" s="25"/>
      <c r="E80" s="25"/>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823"/>
    </row>
    <row r="81" ht="14.4" customHeight="1">
      <c r="A81" s="822"/>
      <c r="B81" s="25"/>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823"/>
    </row>
    <row r="82" ht="14.4" customHeight="1">
      <c r="A82" s="822"/>
      <c r="B82" s="25"/>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823"/>
    </row>
    <row r="83" ht="14.4" customHeight="1">
      <c r="A83" s="822"/>
      <c r="B83" s="25"/>
      <c r="C83" s="25"/>
      <c r="D83" s="25"/>
      <c r="E83" s="25"/>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c r="AH83" s="25"/>
      <c r="AI83" s="823"/>
    </row>
    <row r="84" ht="14.4" customHeight="1">
      <c r="A84" s="822"/>
      <c r="B84" s="25"/>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823"/>
    </row>
    <row r="85" ht="14.4" customHeight="1">
      <c r="A85" s="822"/>
      <c r="B85" s="25"/>
      <c r="C85" s="25"/>
      <c r="D85" s="25"/>
      <c r="E85" s="25"/>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823"/>
    </row>
    <row r="86" ht="14.4" customHeight="1">
      <c r="A86" s="822"/>
      <c r="B86" s="25"/>
      <c r="C86" s="25"/>
      <c r="D86" s="25"/>
      <c r="E86" s="25"/>
      <c r="F86" s="2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823"/>
    </row>
    <row r="87" ht="14.4" customHeight="1">
      <c r="A87" s="822"/>
      <c r="B87" s="25"/>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823"/>
    </row>
    <row r="88" ht="14.4" customHeight="1">
      <c r="A88" s="822"/>
      <c r="B88" s="25"/>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823"/>
    </row>
    <row r="89" ht="14.4" customHeight="1">
      <c r="A89" s="822"/>
      <c r="B89" s="25"/>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823"/>
    </row>
    <row r="90" ht="14.4" customHeight="1">
      <c r="A90" s="822"/>
      <c r="B90" s="25"/>
      <c r="C90" s="25"/>
      <c r="D90" s="25"/>
      <c r="E90" s="25"/>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823"/>
    </row>
    <row r="91" ht="14.4" customHeight="1">
      <c r="A91" s="822"/>
      <c r="B91" s="25"/>
      <c r="C91" s="25"/>
      <c r="D91" s="25"/>
      <c r="E91" s="25"/>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823"/>
    </row>
    <row r="92" ht="14.4" customHeight="1">
      <c r="A92" s="822"/>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823"/>
    </row>
    <row r="93" ht="14.4" customHeight="1">
      <c r="A93" s="822"/>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823"/>
    </row>
    <row r="94" ht="14.4" customHeight="1">
      <c r="A94" s="822"/>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823"/>
    </row>
    <row r="95" ht="14.4" customHeight="1">
      <c r="A95" s="822"/>
      <c r="B95" s="25"/>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823"/>
    </row>
    <row r="96" ht="14.4" customHeight="1">
      <c r="A96" s="822"/>
      <c r="B96" s="25"/>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823"/>
    </row>
    <row r="97" ht="14.4" customHeight="1">
      <c r="A97" s="822"/>
      <c r="B97" s="25"/>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823"/>
    </row>
    <row r="98" ht="14.4" customHeight="1">
      <c r="A98" s="822"/>
      <c r="B98" s="25"/>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823"/>
    </row>
    <row r="99" ht="14.4" customHeight="1">
      <c r="A99" s="822"/>
      <c r="B99" s="25"/>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823"/>
    </row>
    <row r="100" ht="14.4" customHeight="1">
      <c r="A100" s="824"/>
      <c r="B100" s="825"/>
      <c r="C100" s="825"/>
      <c r="D100" s="825"/>
      <c r="E100" s="825"/>
      <c r="F100" s="825"/>
      <c r="G100" s="825"/>
      <c r="H100" s="825"/>
      <c r="I100" s="825"/>
      <c r="J100" s="825"/>
      <c r="K100" s="825"/>
      <c r="L100" s="825"/>
      <c r="M100" s="825"/>
      <c r="N100" s="825"/>
      <c r="O100" s="825"/>
      <c r="P100" s="825"/>
      <c r="Q100" s="825"/>
      <c r="R100" s="825"/>
      <c r="S100" s="825"/>
      <c r="T100" s="825"/>
      <c r="U100" s="825"/>
      <c r="V100" s="825"/>
      <c r="W100" s="825"/>
      <c r="X100" s="825"/>
      <c r="Y100" s="825"/>
      <c r="Z100" s="825"/>
      <c r="AA100" s="825"/>
      <c r="AB100" s="825"/>
      <c r="AC100" s="825"/>
      <c r="AD100" s="825"/>
      <c r="AE100" s="825"/>
      <c r="AF100" s="825"/>
      <c r="AG100" s="825"/>
      <c r="AH100" s="825"/>
      <c r="AI100" s="826"/>
    </row>
  </sheetData>
  <mergeCells count="66">
    <mergeCell ref="O58:R58"/>
    <mergeCell ref="S58:V58"/>
    <mergeCell ref="O59:R59"/>
    <mergeCell ref="S59:V59"/>
    <mergeCell ref="O51:R52"/>
    <mergeCell ref="S51:V52"/>
    <mergeCell ref="O53:R53"/>
    <mergeCell ref="S53:V53"/>
    <mergeCell ref="O57:R57"/>
    <mergeCell ref="S57:V57"/>
    <mergeCell ref="O54:R54"/>
    <mergeCell ref="S54:V54"/>
    <mergeCell ref="O55:R55"/>
    <mergeCell ref="S55:V55"/>
    <mergeCell ref="O56:R56"/>
    <mergeCell ref="S56:V56"/>
    <mergeCell ref="O48:R48"/>
    <mergeCell ref="S48:V48"/>
    <mergeCell ref="O49:R49"/>
    <mergeCell ref="S49:V49"/>
    <mergeCell ref="O50:R50"/>
    <mergeCell ref="S50:V50"/>
    <mergeCell ref="O45:R45"/>
    <mergeCell ref="S45:V45"/>
    <mergeCell ref="O46:R47"/>
    <mergeCell ref="S46:V47"/>
    <mergeCell ref="O42:R42"/>
    <mergeCell ref="S42:V42"/>
    <mergeCell ref="O43:R43"/>
    <mergeCell ref="S43:V43"/>
    <mergeCell ref="O44:R44"/>
    <mergeCell ref="S44:V44"/>
    <mergeCell ref="O38:R39"/>
    <mergeCell ref="S38:V39"/>
    <mergeCell ref="O40:R40"/>
    <mergeCell ref="S40:V40"/>
    <mergeCell ref="O41:R41"/>
    <mergeCell ref="S41:V41"/>
    <mergeCell ref="O36:R36"/>
    <mergeCell ref="S36:V36"/>
    <mergeCell ref="O37:R37"/>
    <mergeCell ref="S37:V37"/>
    <mergeCell ref="O33:R34"/>
    <mergeCell ref="S33:V34"/>
    <mergeCell ref="O35:R35"/>
    <mergeCell ref="S35:V35"/>
    <mergeCell ref="O32:R32"/>
    <mergeCell ref="S32:V32"/>
    <mergeCell ref="O27:R27"/>
    <mergeCell ref="S27:V27"/>
    <mergeCell ref="O28:R28"/>
    <mergeCell ref="S28:V28"/>
    <mergeCell ref="O29:R29"/>
    <mergeCell ref="S29:V29"/>
    <mergeCell ref="O25:R26"/>
    <mergeCell ref="S25:V26"/>
    <mergeCell ref="O30:R30"/>
    <mergeCell ref="S30:V30"/>
    <mergeCell ref="O31:R31"/>
    <mergeCell ref="S31:V31"/>
    <mergeCell ref="AD7:AD10"/>
    <mergeCell ref="O21:R21"/>
    <mergeCell ref="O22:R22"/>
    <mergeCell ref="O24:R24"/>
    <mergeCell ref="S24:V24"/>
    <mergeCell ref="O20:R20"/>
  </mergeCells>
  <conditionalFormatting sqref="O8:U12">
    <cfRule type="cellIs" dxfId="27" priority="1" operator="equal" stopIfTrue="1">
      <formula>3</formula>
    </cfRule>
    <cfRule type="cellIs" dxfId="28" priority="2" operator="equal" stopIfTrue="1">
      <formula>2</formula>
    </cfRule>
    <cfRule type="cellIs" dxfId="29" priority="3" operator="equal" stopIfTrue="1">
      <formula>1</formula>
    </cfRule>
  </conditionalFormatting>
  <dataValidations count="1">
    <dataValidation type="list" allowBlank="1" showInputMessage="1" showErrorMessage="1" sqref="W8:W12 W15">
      <formula1>"Exigences non respectées,Exigences partiellement respectées,Exigences respectées,Non évalué,N/A"</formula1>
    </dataValidation>
  </dataValidations>
  <pageMargins left="0.7" right="0.7" top="0.75" bottom="0.75" header="0.3" footer="0.3"/>
  <pageSetup firstPageNumber="1" fitToHeight="1" fitToWidth="1" scale="100" useFirstPageNumber="0" orientation="portrait" pageOrder="downThenOver"/>
  <headerFooter>
    <oddFooter>&amp;C&amp;"Helvetica Neue,Regular"&amp;12&amp;K000000&amp;P</oddFooter>
  </headerFooter>
  <drawing r:id="rId1"/>
</worksheet>
</file>

<file path=xl/worksheets/sheet26.xml><?xml version="1.0" encoding="utf-8"?>
<worksheet xmlns:r="http://schemas.openxmlformats.org/officeDocument/2006/relationships" xmlns="http://schemas.openxmlformats.org/spreadsheetml/2006/main">
  <dimension ref="A1:P118"/>
  <sheetViews>
    <sheetView workbookViewId="0" showGridLines="0" defaultGridColor="1"/>
  </sheetViews>
  <sheetFormatPr defaultColWidth="10.8333" defaultRowHeight="14.4" customHeight="1" outlineLevelRow="0" outlineLevelCol="0"/>
  <cols>
    <col min="1" max="1" width="2.85156" style="1031" customWidth="1"/>
    <col min="2" max="2" width="4" style="1031" customWidth="1"/>
    <col min="3" max="5" hidden="1" width="10.8333" style="1031" customWidth="1"/>
    <col min="6" max="6" width="10.8516" style="1031" customWidth="1"/>
    <col min="7" max="7" width="36.1719" style="1031" customWidth="1"/>
    <col min="8" max="8" width="28.5" style="1031" customWidth="1"/>
    <col min="9" max="9" width="17.6719" style="1031" customWidth="1"/>
    <col min="10" max="10" width="66.8516" style="1031" customWidth="1"/>
    <col min="11" max="11" width="80.8516" style="1031" customWidth="1"/>
    <col min="12" max="12" width="10.8516" style="1031" customWidth="1"/>
    <col min="13" max="13" width="28" style="1031" customWidth="1"/>
    <col min="14" max="14" width="16.5" style="1031" customWidth="1"/>
    <col min="15" max="16" width="4" style="1031" customWidth="1"/>
    <col min="17" max="16384" width="10.8516" style="1031" customWidth="1"/>
  </cols>
  <sheetData>
    <row r="1" ht="45" customHeight="1">
      <c r="A1" s="1032"/>
      <c r="B1" t="s" s="1033">
        <v>2354</v>
      </c>
      <c r="C1" s="1034"/>
      <c r="D1" s="1034"/>
      <c r="E1" s="1034"/>
      <c r="F1" s="1034"/>
      <c r="G1" s="1035"/>
      <c r="H1" s="1036"/>
      <c r="I1" s="1036"/>
      <c r="J1" t="s" s="1037">
        <f>VLOOKUP($E$12,'BDD'!$A$2:$N$567,3,FALSE)</f>
        <v>233</v>
      </c>
      <c r="K1" s="1036"/>
      <c r="L1" s="1035"/>
      <c r="M1" s="1035"/>
      <c r="N1" s="1035"/>
      <c r="O1" s="1035"/>
      <c r="P1" s="1038"/>
    </row>
    <row r="2" ht="45" customHeight="1">
      <c r="A2" s="1039"/>
      <c r="B2" s="1040"/>
      <c r="C2" s="1040"/>
      <c r="D2" s="1040"/>
      <c r="E2" s="1040"/>
      <c r="F2" s="1040"/>
      <c r="G2" s="1040"/>
      <c r="H2" s="1040"/>
      <c r="I2" s="1040"/>
      <c r="J2" t="s" s="1041">
        <f>VLOOKUP($E$12,'BDD'!$A$2:$N$567,4,FALSE)</f>
        <v>1210</v>
      </c>
      <c r="K2" s="1040"/>
      <c r="L2" s="1040"/>
      <c r="M2" s="1040"/>
      <c r="N2" s="1040"/>
      <c r="O2" s="1040"/>
      <c r="P2" s="1042"/>
    </row>
    <row r="3" ht="18" customHeight="1">
      <c r="A3" s="1039"/>
      <c r="B3" s="61"/>
      <c r="C3" s="61"/>
      <c r="D3" s="61"/>
      <c r="E3" s="61"/>
      <c r="F3" s="61"/>
      <c r="G3" t="s" s="508">
        <f>IF('Suppl'!B64=2,"Le vecteur n'est pas utilisé","")</f>
      </c>
      <c r="H3" s="509"/>
      <c r="I3" s="509"/>
      <c r="J3" s="509"/>
      <c r="K3" s="509"/>
      <c r="L3" s="510"/>
      <c r="M3" s="61"/>
      <c r="N3" s="61"/>
      <c r="O3" s="61"/>
      <c r="P3" s="1042"/>
    </row>
    <row r="4" ht="14.4" customHeight="1">
      <c r="A4" s="1039"/>
      <c r="B4" s="61"/>
      <c r="C4" s="61"/>
      <c r="D4" s="61"/>
      <c r="E4" s="61"/>
      <c r="F4" s="61"/>
      <c r="G4" s="61"/>
      <c r="H4" s="61"/>
      <c r="I4" s="61"/>
      <c r="J4" s="61"/>
      <c r="K4" s="61"/>
      <c r="L4" s="61"/>
      <c r="M4" s="61"/>
      <c r="N4" s="61"/>
      <c r="O4" s="61"/>
      <c r="P4" s="1042"/>
    </row>
    <row r="5" ht="25.8" customHeight="1">
      <c r="A5" s="1043"/>
      <c r="B5" s="512"/>
      <c r="C5" t="s" s="513">
        <f>IF(LEFT(RIGHT($B$1,2),1)=" ",RIGHT($B$1,1),RIGHT($B$1,2))</f>
        <v>2355</v>
      </c>
      <c r="D5" s="514">
        <f>IF(LEFT(F5,14)="Bonne pratique",D4+1,D4)</f>
        <v>1</v>
      </c>
      <c r="E5" s="515"/>
      <c r="F5" t="s" s="516">
        <v>1762</v>
      </c>
      <c r="G5" s="517"/>
      <c r="H5" s="518"/>
      <c r="I5" s="519"/>
      <c r="J5" t="s" s="520">
        <f>VLOOKUP(E12,'BDD'!$A$2:$N$567,6,FALSE)</f>
        <v>1211</v>
      </c>
      <c r="K5" s="521"/>
      <c r="L5" s="517"/>
      <c r="M5" s="517"/>
      <c r="N5" s="517"/>
      <c r="O5" s="512"/>
      <c r="P5" s="1044"/>
    </row>
    <row r="6" ht="14.4" customHeight="1">
      <c r="A6" s="1039"/>
      <c r="B6" s="61"/>
      <c r="C6" t="s" s="513">
        <f>IF(LEFT(RIGHT($B$1,2),1)=" ",RIGHT($B$1,1),RIGHT($B$1,2))</f>
        <v>2355</v>
      </c>
      <c r="D6" s="514">
        <f>IF(LEFT(F6,14)="Bonne pratique",D5+1,D5)</f>
        <v>1</v>
      </c>
      <c r="E6" s="61"/>
      <c r="F6" s="61"/>
      <c r="G6" s="61"/>
      <c r="H6" s="61"/>
      <c r="I6" s="61"/>
      <c r="J6" s="61"/>
      <c r="K6" s="61"/>
      <c r="L6" s="61"/>
      <c r="M6" s="61"/>
      <c r="N6" s="61"/>
      <c r="O6" s="61"/>
      <c r="P6" s="1042"/>
    </row>
    <row r="7" ht="23.4" customHeight="1">
      <c r="A7" s="1045"/>
      <c r="B7" s="524"/>
      <c r="C7" t="s" s="513">
        <f>IF(LEFT(RIGHT($B$1,2),1)=" ",RIGHT($B$1,1),RIGHT($B$1,2))</f>
        <v>2355</v>
      </c>
      <c r="D7" s="514">
        <f>IF(LEFT(F7,14)="Bonne pratique",D6+1,D6)</f>
        <v>1</v>
      </c>
      <c r="E7" s="524"/>
      <c r="F7" s="524"/>
      <c r="G7" s="524"/>
      <c r="H7" s="524"/>
      <c r="I7" s="525"/>
      <c r="J7" t="s" s="526">
        <v>1212</v>
      </c>
      <c r="K7" s="525"/>
      <c r="L7" s="524"/>
      <c r="M7" s="524"/>
      <c r="N7" s="524"/>
      <c r="O7" s="524"/>
      <c r="P7" s="1046"/>
    </row>
    <row r="8" ht="18" customHeight="1">
      <c r="A8" s="1039"/>
      <c r="B8" s="61"/>
      <c r="C8" t="s" s="513">
        <f>IF(LEFT(RIGHT($B$1,2),1)=" ",RIGHT($B$1,1),RIGHT($B$1,2))</f>
        <v>2355</v>
      </c>
      <c r="D8" s="514">
        <f>IF(LEFT(F8,14)="Bonne pratique",D7+1,D7)</f>
        <v>1</v>
      </c>
      <c r="E8" s="61"/>
      <c r="F8" s="61"/>
      <c r="G8" s="61"/>
      <c r="H8" s="61"/>
      <c r="I8" s="61"/>
      <c r="J8" s="528"/>
      <c r="K8" s="61"/>
      <c r="L8" s="61"/>
      <c r="M8" s="529"/>
      <c r="N8" s="529"/>
      <c r="O8" s="61"/>
      <c r="P8" s="1042"/>
    </row>
    <row r="9" ht="14.4" customHeight="1">
      <c r="A9" s="1039"/>
      <c r="B9" s="61"/>
      <c r="C9" t="s" s="513">
        <f>IF(LEFT(RIGHT($B$1,2),1)=" ",RIGHT($B$1,1),RIGHT($B$1,2))</f>
        <v>2355</v>
      </c>
      <c r="D9" s="514">
        <f>IF(LEFT(F9,14)="Bonne pratique",D8+1,D8)</f>
        <v>1</v>
      </c>
      <c r="E9" s="61"/>
      <c r="F9" s="61"/>
      <c r="G9" s="530"/>
      <c r="H9" s="530"/>
      <c r="I9" s="530"/>
      <c r="J9" s="530"/>
      <c r="K9" s="530"/>
      <c r="L9" s="531"/>
      <c r="M9" t="s" s="532">
        <v>1763</v>
      </c>
      <c r="N9" s="533"/>
      <c r="O9" s="534"/>
      <c r="P9" s="1042"/>
    </row>
    <row r="10" ht="33" customHeight="1">
      <c r="A10" s="1039"/>
      <c r="B10" s="61"/>
      <c r="C10" t="s" s="513">
        <f>IF(LEFT(RIGHT($B$1,2),1)=" ",RIGHT($B$1,1),RIGHT($B$1,2))</f>
        <v>2355</v>
      </c>
      <c r="D10" s="514">
        <f>IF(LEFT(F10,14)="Bonne pratique",D9+1,D9)</f>
        <v>1</v>
      </c>
      <c r="E10" s="61"/>
      <c r="F10" s="535"/>
      <c r="G10" t="s" s="536">
        <v>244</v>
      </c>
      <c r="H10" t="s" s="536">
        <v>1764</v>
      </c>
      <c r="I10" t="s" s="537">
        <v>245</v>
      </c>
      <c r="J10" t="s" s="536">
        <v>1765</v>
      </c>
      <c r="K10" t="s" s="536">
        <v>246</v>
      </c>
      <c r="L10" s="538"/>
      <c r="M10" t="s" s="539">
        <v>1766</v>
      </c>
      <c r="N10" t="s" s="540">
        <v>1767</v>
      </c>
      <c r="O10" s="534"/>
      <c r="P10" s="1042"/>
    </row>
    <row r="11" ht="14.4" customHeight="1">
      <c r="A11" s="1039"/>
      <c r="B11" s="61"/>
      <c r="C11" t="s" s="513">
        <f>IF(LEFT(RIGHT($B$1,2),1)=" ",RIGHT($B$1,1),RIGHT($B$1,2))</f>
        <v>2355</v>
      </c>
      <c r="D11" s="514">
        <f>IF(LEFT(F11,14)="Bonne pratique",D10+1,D10)</f>
        <v>1</v>
      </c>
      <c r="E11" s="61"/>
      <c r="F11" s="529"/>
      <c r="G11" s="541"/>
      <c r="H11" s="541"/>
      <c r="I11" s="541"/>
      <c r="J11" s="541"/>
      <c r="K11" s="541"/>
      <c r="L11" s="61"/>
      <c r="M11" s="541"/>
      <c r="N11" s="541"/>
      <c r="O11" s="61"/>
      <c r="P11" s="1042"/>
    </row>
    <row r="12" ht="135.6" customHeight="1">
      <c r="A12" s="1039"/>
      <c r="B12" s="542"/>
      <c r="C12" t="s" s="543">
        <f>IF(LEFT(RIGHT($B$1,2),1)=" ",RIGHT($B$1,1),RIGHT($B$1,2))</f>
        <v>2355</v>
      </c>
      <c r="D12" s="544">
        <f>IF(LEFT(F12,14)="Bonne pratique",D11+1,D11)</f>
        <v>1</v>
      </c>
      <c r="E12" t="s" s="545">
        <f>C12&amp;D12&amp;RIGHT(F12,1)</f>
        <v>2356</v>
      </c>
      <c r="F12" t="s" s="546">
        <v>1769</v>
      </c>
      <c r="G12" t="s" s="547">
        <f>_xlfn.IFERROR(IF(VLOOKUP($E12,'BDD'!$A$1:$S$567,MATCH(G$10,'BDD'!$A$1:$P$1,0),FALSE)=0,"",VLOOKUP($E12,'BDD'!$A$1:$S$567,MATCH(G$10,'BDD'!$A$1:$P$1,0),FALSE)),"")</f>
        <v>1213</v>
      </c>
      <c r="H12" t="s" s="548">
        <f>IF(VLOOKUP(E12,'BDD'!$A$1:$S$567,15,FALSE)=0,"Critère non évalué","")</f>
        <v>1770</v>
      </c>
      <c r="I12" t="s" s="546">
        <f>_xlfn.IFERROR(IF(VLOOKUP($E12,'BDD'!$A$1:$S$567,MATCH(I$10,'BDD'!$A$1:$P$1,0),FALSE)=0,"",VLOOKUP($E12,'BDD'!$A$1:$S$567,MATCH(I$10,'BDD'!$A$1:$P$1,0),FALSE)),"")</f>
        <v>263</v>
      </c>
      <c r="J12" s="549"/>
      <c r="K12" t="s" s="547">
        <f>_xlfn.IFERROR(IF(VLOOKUP($E12,'BDD'!$A$1:$S$567,MATCH(K$10,'BDD'!$A$1:$P$1,0),FALSE)=0,"",VLOOKUP($E12,'BDD'!$A$1:$S$567,MATCH(K$10,'BDD'!$A$1:$P$1,0),FALSE)),"")</f>
        <v>1214</v>
      </c>
      <c r="L12" s="550"/>
      <c r="M12" s="551"/>
      <c r="N12" s="551"/>
      <c r="O12" s="534"/>
      <c r="P12" s="1042"/>
    </row>
    <row r="13" ht="130.05" customHeight="1">
      <c r="A13" s="1039"/>
      <c r="B13" s="542"/>
      <c r="C13" t="s" s="543">
        <f>IF(LEFT(RIGHT($B$1,2),1)=" ",RIGHT($B$1,1),RIGHT($B$1,2))</f>
        <v>2355</v>
      </c>
      <c r="D13" s="544">
        <f>IF(LEFT(F13,14)="Bonne pratique",D12+1,D12)</f>
        <v>1</v>
      </c>
      <c r="E13" t="s" s="545">
        <f>C13&amp;D13&amp;RIGHT(F13,1)</f>
        <v>2357</v>
      </c>
      <c r="F13" t="s" s="552">
        <v>1772</v>
      </c>
      <c r="G13" t="s" s="540">
        <f>_xlfn.IFERROR(IF(VLOOKUP($E13,'BDD'!$A$1:$S$567,MATCH(G$10,'BDD'!$A$1:$P$1,0),FALSE)=0,"",VLOOKUP($E13,'BDD'!$A$1:$S$567,MATCH(G$10,'BDD'!$A$1:$P$1,0),FALSE)),"")</f>
        <v>1218</v>
      </c>
      <c r="H13" t="s" s="553">
        <f>IF(VLOOKUP(E13,'BDD'!$A$1:$S$567,15,FALSE)=0,"Critère non évalué","")</f>
        <v>1770</v>
      </c>
      <c r="I13" t="s" s="552">
        <f>_xlfn.IFERROR(IF(VLOOKUP($E13,'BDD'!$A$1:$S$567,MATCH(I$10,'BDD'!$A$1:$P$1,0),FALSE)=0,"",VLOOKUP($E13,'BDD'!$A$1:$S$567,MATCH(I$10,'BDD'!$A$1:$P$1,0),FALSE)),"")</f>
        <v>271</v>
      </c>
      <c r="J13" s="554"/>
      <c r="K13" t="s" s="540">
        <f>_xlfn.IFERROR(IF(VLOOKUP($E13,'BDD'!$A$1:$S$567,MATCH(K$10,'BDD'!$A$1:$P$1,0),FALSE)=0,"",VLOOKUP($E13,'BDD'!$A$1:$S$567,MATCH(K$10,'BDD'!$A$1:$P$1,0),FALSE)),"")</f>
        <v>1219</v>
      </c>
      <c r="L13" s="550"/>
      <c r="M13" s="555"/>
      <c r="N13" s="555"/>
      <c r="O13" s="534"/>
      <c r="P13" s="1042"/>
    </row>
    <row r="14" ht="130.05" customHeight="1">
      <c r="A14" s="1039"/>
      <c r="B14" s="542"/>
      <c r="C14" t="s" s="543">
        <f>IF(LEFT(RIGHT($B$1,2),1)=" ",RIGHT($B$1,1),RIGHT($B$1,2))</f>
        <v>2355</v>
      </c>
      <c r="D14" s="544">
        <f>IF(LEFT(F14,14)="Bonne pratique",D13+1,D13)</f>
        <v>1</v>
      </c>
      <c r="E14" t="s" s="545">
        <f>C14&amp;D14&amp;RIGHT(F14,1)</f>
        <v>2358</v>
      </c>
      <c r="F14" t="s" s="546">
        <v>1774</v>
      </c>
      <c r="G14" t="s" s="547">
        <f>_xlfn.IFERROR(IF(VLOOKUP($E14,'BDD'!$A$1:$S$567,MATCH(G$10,'BDD'!$A$1:$P$1,0),FALSE)=0,"",VLOOKUP($E14,'BDD'!$A$1:$S$567,MATCH(G$10,'BDD'!$A$1:$P$1,0),FALSE)),"")</f>
        <v>1224</v>
      </c>
      <c r="H14" t="s" s="548">
        <f>IF(VLOOKUP(E14,'BDD'!$A$1:$S$567,15,FALSE)=0,"Critère non évalué","")</f>
        <v>1770</v>
      </c>
      <c r="I14" t="s" s="546">
        <f>_xlfn.IFERROR(IF(VLOOKUP($E14,'BDD'!$A$1:$S$567,MATCH(I$10,'BDD'!$A$1:$P$1,0),FALSE)=0,"",VLOOKUP($E14,'BDD'!$A$1:$S$567,MATCH(I$10,'BDD'!$A$1:$P$1,0),FALSE)),"")</f>
        <v>271</v>
      </c>
      <c r="J14" s="549"/>
      <c r="K14" t="s" s="547">
        <f>_xlfn.IFERROR(IF(VLOOKUP($E14,'BDD'!$A$1:$S$567,MATCH(K$10,'BDD'!$A$1:$P$1,0),FALSE)=0,"",VLOOKUP($E14,'BDD'!$A$1:$S$567,MATCH(K$10,'BDD'!$A$1:$P$1,0),FALSE)),"")</f>
        <v>1225</v>
      </c>
      <c r="L14" s="550"/>
      <c r="M14" s="551"/>
      <c r="N14" s="551"/>
      <c r="O14" s="534"/>
      <c r="P14" s="1042"/>
    </row>
    <row r="15" ht="130.05" customHeight="1">
      <c r="A15" s="1039"/>
      <c r="B15" s="542"/>
      <c r="C15" t="s" s="543">
        <f>IF(LEFT(RIGHT($B$1,2),1)=" ",RIGHT($B$1,1),RIGHT($B$1,2))</f>
        <v>2355</v>
      </c>
      <c r="D15" s="544">
        <f>IF(LEFT(F15,14)="Bonne pratique",D14+1,D14)</f>
        <v>1</v>
      </c>
      <c r="E15" t="s" s="545">
        <f>C15&amp;D15&amp;RIGHT(F15,1)</f>
        <v>2359</v>
      </c>
      <c r="F15" t="s" s="552">
        <v>1776</v>
      </c>
      <c r="G15" t="s" s="540">
        <f>_xlfn.IFERROR(IF(VLOOKUP($E15,'BDD'!$A$1:$S$567,MATCH(G$10,'BDD'!$A$1:$P$1,0),FALSE)=0,"",VLOOKUP($E15,'BDD'!$A$1:$S$567,MATCH(G$10,'BDD'!$A$1:$P$1,0),FALSE)),"")</f>
        <v>1229</v>
      </c>
      <c r="H15" t="s" s="553">
        <f>IF(VLOOKUP(E15,'BDD'!$A$1:$S$567,15,FALSE)=0,"Critère non évalué","")</f>
        <v>1770</v>
      </c>
      <c r="I15" t="s" s="552">
        <f>_xlfn.IFERROR(IF(VLOOKUP($E15,'BDD'!$A$1:$S$567,MATCH(I$10,'BDD'!$A$1:$P$1,0),FALSE)=0,"",VLOOKUP($E15,'BDD'!$A$1:$S$567,MATCH(I$10,'BDD'!$A$1:$P$1,0),FALSE)),"")</f>
        <v>271</v>
      </c>
      <c r="J15" s="556"/>
      <c r="K15" t="s" s="540">
        <f>_xlfn.IFERROR(IF(VLOOKUP($E15,'BDD'!$A$1:$S$567,MATCH(K$10,'BDD'!$A$1:$P$1,0),FALSE)=0,"",VLOOKUP($E15,'BDD'!$A$1:$S$567,MATCH(K$10,'BDD'!$A$1:$P$1,0),FALSE)),"")</f>
      </c>
      <c r="L15" s="550"/>
      <c r="M15" s="555"/>
      <c r="N15" s="555"/>
      <c r="O15" s="534"/>
      <c r="P15" s="1042"/>
    </row>
    <row r="16" ht="130.05" customHeight="1">
      <c r="A16" s="1039"/>
      <c r="B16" s="542"/>
      <c r="C16" t="s" s="543">
        <f>IF(LEFT(RIGHT($B$1,2),1)=" ",RIGHT($B$1,1),RIGHT($B$1,2))</f>
        <v>2355</v>
      </c>
      <c r="D16" s="544">
        <f>IF(LEFT(F16,14)="Bonne pratique",D15+1,D15)</f>
        <v>1</v>
      </c>
      <c r="E16" t="s" s="545">
        <f>C16&amp;D16&amp;RIGHT(F16,1)</f>
        <v>2360</v>
      </c>
      <c r="F16" t="s" s="546">
        <v>1778</v>
      </c>
      <c r="G16" t="s" s="547">
        <f>_xlfn.IFERROR(IF(VLOOKUP($E16,'BDD'!$A$1:$S$567,MATCH(G$10,'BDD'!$A$1:$P$1,0),FALSE)=0,"",VLOOKUP($E16,'BDD'!$A$1:$S$567,MATCH(G$10,'BDD'!$A$1:$P$1,0),FALSE)),"")</f>
        <v>1232</v>
      </c>
      <c r="H16" t="s" s="548">
        <f>IF(VLOOKUP(E16,'BDD'!$A$1:$S$567,15,FALSE)=0,"Critère non évalué","")</f>
        <v>1770</v>
      </c>
      <c r="I16" t="s" s="546">
        <f>_xlfn.IFERROR(IF(VLOOKUP($E16,'BDD'!$A$1:$S$567,MATCH(I$10,'BDD'!$A$1:$P$1,0),FALSE)=0,"",VLOOKUP($E16,'BDD'!$A$1:$S$567,MATCH(I$10,'BDD'!$A$1:$P$1,0),FALSE)),"")</f>
        <v>283</v>
      </c>
      <c r="J16" s="549"/>
      <c r="K16" t="s" s="547">
        <f>_xlfn.IFERROR(IF(VLOOKUP($E16,'BDD'!$A$1:$S$567,MATCH(K$10,'BDD'!$A$1:$P$1,0),FALSE)=0,"",VLOOKUP($E16,'BDD'!$A$1:$S$567,MATCH(K$10,'BDD'!$A$1:$P$1,0),FALSE)),"")</f>
        <v>1233</v>
      </c>
      <c r="L16" s="550"/>
      <c r="M16" s="557"/>
      <c r="N16" s="557"/>
      <c r="O16" s="534"/>
      <c r="P16" s="1042"/>
    </row>
    <row r="17" ht="130.05" customHeight="1">
      <c r="A17" s="1039"/>
      <c r="B17" s="542"/>
      <c r="C17" t="s" s="543">
        <f>IF(LEFT(RIGHT($B$1,2),1)=" ",RIGHT($B$1,1),RIGHT($B$1,2))</f>
        <v>2355</v>
      </c>
      <c r="D17" s="544">
        <f>IF(LEFT(F17,14)="Bonne pratique",D16+1,D16)</f>
        <v>1</v>
      </c>
      <c r="E17" t="s" s="545">
        <f>C17&amp;D17&amp;RIGHT(F17,1)</f>
        <v>2361</v>
      </c>
      <c r="F17" t="s" s="552">
        <v>1780</v>
      </c>
      <c r="G17" t="s" s="540">
        <f>_xlfn.IFERROR(IF(VLOOKUP($E17,'BDD'!$A$1:$S$567,MATCH(G$10,'BDD'!$A$1:$P$1,0),FALSE)=0,"",VLOOKUP($E17,'BDD'!$A$1:$S$567,MATCH(G$10,'BDD'!$A$1:$P$1,0),FALSE)),"")</f>
        <v>1235</v>
      </c>
      <c r="H17" t="s" s="553">
        <f>IF(VLOOKUP(E17,'BDD'!$A$1:$S$567,15,FALSE)=0,"Critère non évalué","")</f>
        <v>1770</v>
      </c>
      <c r="I17" t="s" s="552">
        <f>_xlfn.IFERROR(IF(VLOOKUP($E17,'BDD'!$A$1:$S$567,MATCH(I$10,'BDD'!$A$1:$P$1,0),FALSE)=0,"",VLOOKUP($E17,'BDD'!$A$1:$S$567,MATCH(I$10,'BDD'!$A$1:$P$1,0),FALSE)),"")</f>
        <v>271</v>
      </c>
      <c r="J17" s="554"/>
      <c r="K17" t="s" s="540">
        <f>_xlfn.IFERROR(IF(VLOOKUP($E17,'BDD'!$A$1:$S$567,MATCH(K$10,'BDD'!$A$1:$P$1,0),FALSE)=0,"",VLOOKUP($E17,'BDD'!$A$1:$S$567,MATCH(K$10,'BDD'!$A$1:$P$1,0),FALSE)),"")</f>
        <v>1236</v>
      </c>
      <c r="L17" s="550"/>
      <c r="M17" s="555"/>
      <c r="N17" s="555"/>
      <c r="O17" s="534"/>
      <c r="P17" s="1042"/>
    </row>
    <row r="18" ht="130.05" customHeight="1" hidden="1">
      <c r="A18" s="1039"/>
      <c r="B18" s="542"/>
      <c r="C18" t="s" s="543">
        <f>IF(LEFT(RIGHT($B$1,2),1)=" ",RIGHT($B$1,1),RIGHT($B$1,2))</f>
        <v>2355</v>
      </c>
      <c r="D18" s="544">
        <f>IF(LEFT(F18,14)="Bonne pratique",D17+1,D17)</f>
        <v>1</v>
      </c>
      <c r="E18" t="s" s="545">
        <f>C18&amp;D18&amp;RIGHT(F18,1)</f>
        <v>2362</v>
      </c>
      <c r="F18" t="s" s="546">
        <v>1782</v>
      </c>
      <c r="G18" t="s" s="547">
        <f>_xlfn.IFERROR(IF(VLOOKUP($E18,'BDD'!$A$1:$S$567,MATCH(G$10,'BDD'!$A$1:$P$1,0),FALSE)=0,"",VLOOKUP($E18,'BDD'!$A$1:$S$567,MATCH(G$10,'BDD'!$A$1:$P$1,0),FALSE)),"")</f>
      </c>
      <c r="H18" t="s" s="548">
        <f>IF(VLOOKUP(E18,'BDD'!$A$1:$S$567,15,FALSE)=0,"Critère non évalué","")</f>
        <v>1770</v>
      </c>
      <c r="I18" t="s" s="546">
        <f>_xlfn.IFERROR(IF(VLOOKUP($E18,'BDD'!$A$1:$S$567,MATCH(I$10,'BDD'!$A$1:$P$1,0),FALSE)=0,"",VLOOKUP($E18,'BDD'!$A$1:$S$567,MATCH(I$10,'BDD'!$A$1:$P$1,0),FALSE)),"")</f>
        <v>171</v>
      </c>
      <c r="J18" s="549"/>
      <c r="K18" t="s" s="547">
        <f>_xlfn.IFERROR(IF(VLOOKUP($E18,'BDD'!$A$1:$S$567,MATCH(K$10,'BDD'!$A$1:$P$1,0),FALSE)=0,"",VLOOKUP($E18,'BDD'!$A$1:$S$567,MATCH(K$10,'BDD'!$A$1:$P$1,0),FALSE)),"")</f>
      </c>
      <c r="L18" s="550"/>
      <c r="M18" s="557"/>
      <c r="N18" s="557"/>
      <c r="O18" s="534"/>
      <c r="P18" s="1042"/>
    </row>
    <row r="19" ht="18" customHeight="1">
      <c r="A19" s="1039"/>
      <c r="B19" s="61"/>
      <c r="C19" t="s" s="513">
        <f>IF(LEFT(RIGHT($B$1,2),1)=" ",RIGHT($B$1,1),RIGHT($B$1,2))</f>
        <v>2355</v>
      </c>
      <c r="D19" s="514">
        <f>IF(LEFT(F19,14)="Bonne pratique",D18+1,D18)</f>
        <v>1</v>
      </c>
      <c r="E19" t="s" s="558">
        <f>C19&amp;D19&amp;RIGHT(F19,1)</f>
        <v>2363</v>
      </c>
      <c r="F19" s="559"/>
      <c r="G19" t="s" s="560">
        <f>IF('Suppl'!B80=2,"Le vecteur n'est pas utilisé","")</f>
      </c>
      <c r="H19" s="561"/>
      <c r="I19" s="561"/>
      <c r="J19" s="561"/>
      <c r="K19" s="561"/>
      <c r="L19" s="510"/>
      <c r="M19" s="559"/>
      <c r="N19" s="559"/>
      <c r="O19" s="61"/>
      <c r="P19" s="1042"/>
    </row>
    <row r="20" ht="15" customHeight="1">
      <c r="A20" s="1039"/>
      <c r="B20" s="61"/>
      <c r="C20" t="s" s="513">
        <f>IF(LEFT(RIGHT($B$1,2),1)=" ",RIGHT($B$1,1),RIGHT($B$1,2))</f>
        <v>2355</v>
      </c>
      <c r="D20" s="514">
        <f>IF(LEFT(F20,14)="Bonne pratique",D19+1,D19)</f>
        <v>1</v>
      </c>
      <c r="E20" t="s" s="558">
        <f>C20&amp;D20&amp;RIGHT(F20,1)</f>
        <v>2363</v>
      </c>
      <c r="F20" s="61"/>
      <c r="G20" s="61"/>
      <c r="H20" s="61"/>
      <c r="I20" s="61"/>
      <c r="J20" s="61"/>
      <c r="K20" s="61"/>
      <c r="L20" s="61"/>
      <c r="M20" s="61"/>
      <c r="N20" s="61"/>
      <c r="O20" s="61"/>
      <c r="P20" s="1042"/>
    </row>
    <row r="21" ht="30" customHeight="1">
      <c r="A21" s="1043"/>
      <c r="B21" s="512"/>
      <c r="C21" t="s" s="513">
        <f>IF(LEFT(RIGHT($B$1,2),1)=" ",RIGHT($B$1,1),RIGHT($B$1,2))</f>
        <v>2355</v>
      </c>
      <c r="D21" s="514">
        <f>IF(LEFT(F21,14)="Bonne pratique",D20+1,D20)</f>
        <v>2</v>
      </c>
      <c r="E21" t="s" s="558">
        <f>C21&amp;D21&amp;RIGHT(F21,1)</f>
        <v>2364</v>
      </c>
      <c r="F21" t="s" s="516">
        <v>1785</v>
      </c>
      <c r="G21" s="517"/>
      <c r="H21" s="518"/>
      <c r="I21" s="519"/>
      <c r="J21" t="s" s="520">
        <f>VLOOKUP(E28,'BDD'!$A$2:$N$567,6,FALSE)</f>
        <v>1238</v>
      </c>
      <c r="K21" s="521"/>
      <c r="L21" s="517"/>
      <c r="M21" s="517"/>
      <c r="N21" s="517"/>
      <c r="O21" s="512"/>
      <c r="P21" s="1044"/>
    </row>
    <row r="22" ht="15" customHeight="1">
      <c r="A22" s="1039"/>
      <c r="B22" s="61"/>
      <c r="C22" t="s" s="513">
        <f>IF(LEFT(RIGHT($B$1,2),1)=" ",RIGHT($B$1,1),RIGHT($B$1,2))</f>
        <v>2355</v>
      </c>
      <c r="D22" s="514">
        <f>IF(LEFT(F22,14)="Bonne pratique",D21+1,D21)</f>
        <v>2</v>
      </c>
      <c r="E22" t="s" s="558">
        <f>C22&amp;D22&amp;RIGHT(F22,1)</f>
        <v>2365</v>
      </c>
      <c r="F22" s="61"/>
      <c r="G22" s="61"/>
      <c r="H22" s="61"/>
      <c r="I22" s="61"/>
      <c r="J22" s="61"/>
      <c r="K22" s="61"/>
      <c r="L22" s="61"/>
      <c r="M22" s="61"/>
      <c r="N22" s="61"/>
      <c r="O22" s="61"/>
      <c r="P22" s="1042"/>
    </row>
    <row r="23" ht="18" customHeight="1">
      <c r="A23" s="1045"/>
      <c r="B23" s="524"/>
      <c r="C23" t="s" s="513">
        <f>IF(LEFT(RIGHT($B$1,2),1)=" ",RIGHT($B$1,1),RIGHT($B$1,2))</f>
        <v>2355</v>
      </c>
      <c r="D23" s="514">
        <f>IF(LEFT(F23,14)="Bonne pratique",D22+1,D22)</f>
        <v>2</v>
      </c>
      <c r="E23" t="s" s="558">
        <f>C23&amp;D23&amp;RIGHT(F23,1)</f>
        <v>2365</v>
      </c>
      <c r="F23" s="524"/>
      <c r="G23" s="524"/>
      <c r="H23" s="524"/>
      <c r="I23" s="525"/>
      <c r="J23" t="s" s="526">
        <v>1239</v>
      </c>
      <c r="K23" s="525"/>
      <c r="L23" s="524"/>
      <c r="M23" s="524"/>
      <c r="N23" s="524"/>
      <c r="O23" s="524"/>
      <c r="P23" s="1046"/>
    </row>
    <row r="24" ht="18" customHeight="1">
      <c r="A24" s="1039"/>
      <c r="B24" s="61"/>
      <c r="C24" t="s" s="513">
        <f>IF(LEFT(RIGHT($B$1,2),1)=" ",RIGHT($B$1,1),RIGHT($B$1,2))</f>
        <v>2355</v>
      </c>
      <c r="D24" s="514">
        <f>IF(LEFT(F24,14)="Bonne pratique",D23+1,D23)</f>
        <v>2</v>
      </c>
      <c r="E24" t="s" s="558">
        <f>C24&amp;D24&amp;RIGHT(F24,1)</f>
        <v>2365</v>
      </c>
      <c r="F24" s="61"/>
      <c r="G24" s="61"/>
      <c r="H24" s="61"/>
      <c r="I24" s="61"/>
      <c r="J24" s="528"/>
      <c r="K24" s="61"/>
      <c r="L24" s="61"/>
      <c r="M24" s="529"/>
      <c r="N24" s="529"/>
      <c r="O24" s="61"/>
      <c r="P24" s="1042"/>
    </row>
    <row r="25" ht="15" customHeight="1">
      <c r="A25" s="1039"/>
      <c r="B25" s="61"/>
      <c r="C25" t="s" s="513">
        <f>IF(LEFT(RIGHT($B$1,2),1)=" ",RIGHT($B$1,1),RIGHT($B$1,2))</f>
        <v>2355</v>
      </c>
      <c r="D25" s="514">
        <f>IF(LEFT(F25,14)="Bonne pratique",D24+1,D24)</f>
        <v>2</v>
      </c>
      <c r="E25" t="s" s="558">
        <f>C25&amp;D25&amp;RIGHT(F25,1)</f>
        <v>2365</v>
      </c>
      <c r="F25" s="61"/>
      <c r="G25" s="529"/>
      <c r="H25" s="529"/>
      <c r="I25" s="529"/>
      <c r="J25" s="530"/>
      <c r="K25" s="529"/>
      <c r="L25" s="542"/>
      <c r="M25" t="s" s="562">
        <v>1763</v>
      </c>
      <c r="N25" s="563"/>
      <c r="O25" s="534"/>
      <c r="P25" s="1042"/>
    </row>
    <row r="26" ht="33" customHeight="1">
      <c r="A26" s="1039"/>
      <c r="B26" s="61"/>
      <c r="C26" t="s" s="513">
        <f>IF(LEFT(RIGHT($B$1,2),1)=" ",RIGHT($B$1,1),RIGHT($B$1,2))</f>
        <v>2355</v>
      </c>
      <c r="D26" s="514">
        <f>IF(LEFT(F26,14)="Bonne pratique",D25+1,D25)</f>
        <v>2</v>
      </c>
      <c r="E26" t="s" s="558">
        <f>C26&amp;D26&amp;RIGHT(F26,1)</f>
        <v>2365</v>
      </c>
      <c r="F26" s="564"/>
      <c r="G26" t="s" s="536">
        <v>244</v>
      </c>
      <c r="H26" t="s" s="536">
        <v>1764</v>
      </c>
      <c r="I26" t="s" s="536">
        <v>1787</v>
      </c>
      <c r="J26" t="s" s="536">
        <v>1765</v>
      </c>
      <c r="K26" t="s" s="536">
        <v>1788</v>
      </c>
      <c r="L26" s="538"/>
      <c r="M26" t="s" s="539">
        <v>1766</v>
      </c>
      <c r="N26" t="s" s="540">
        <v>1767</v>
      </c>
      <c r="O26" s="534"/>
      <c r="P26" s="1042"/>
    </row>
    <row r="27" ht="15" customHeight="1">
      <c r="A27" s="1039"/>
      <c r="B27" s="61"/>
      <c r="C27" t="s" s="513">
        <f>IF(LEFT(RIGHT($B$1,2),1)=" ",RIGHT($B$1,1),RIGHT($B$1,2))</f>
        <v>2355</v>
      </c>
      <c r="D27" s="514">
        <f>IF(LEFT(F27,14)="Bonne pratique",D26+1,D26)</f>
        <v>2</v>
      </c>
      <c r="E27" t="s" s="558">
        <f>C27&amp;D27&amp;RIGHT(F27,1)</f>
        <v>2365</v>
      </c>
      <c r="F27" s="529"/>
      <c r="G27" s="541"/>
      <c r="H27" s="541"/>
      <c r="I27" s="541"/>
      <c r="J27" s="541"/>
      <c r="K27" s="541"/>
      <c r="L27" s="61"/>
      <c r="M27" s="541"/>
      <c r="N27" s="541"/>
      <c r="O27" s="61"/>
      <c r="P27" s="1042"/>
    </row>
    <row r="28" ht="130.05" customHeight="1">
      <c r="A28" s="1039"/>
      <c r="B28" s="542"/>
      <c r="C28" t="s" s="543">
        <f>IF(LEFT(RIGHT($B$1,2),1)=" ",RIGHT($B$1,1),RIGHT($B$1,2))</f>
        <v>2355</v>
      </c>
      <c r="D28" s="544">
        <f>IF(LEFT(F28,14)="Bonne pratique",D27+1,D27)</f>
        <v>2</v>
      </c>
      <c r="E28" t="s" s="545">
        <f>C28&amp;D28&amp;RIGHT(F28,1)</f>
        <v>2366</v>
      </c>
      <c r="F28" t="s" s="546">
        <v>1769</v>
      </c>
      <c r="G28" t="s" s="547">
        <f>_xlfn.IFERROR(IF(VLOOKUP($E28,'BDD'!$A$1:$S$567,MATCH(G$10,'BDD'!$A$1:$P$1,0),FALSE)=0,"",VLOOKUP($E28,'BDD'!$A$1:$S$567,MATCH(G$10,'BDD'!$A$1:$P$1,0),FALSE)),"")</f>
        <v>1240</v>
      </c>
      <c r="H28" t="s" s="548">
        <f>IF(VLOOKUP(E28,'BDD'!$A$1:$S$567,15,FALSE)=0,"Critère non évalué","")</f>
        <v>1770</v>
      </c>
      <c r="I28" t="s" s="546">
        <f>_xlfn.IFERROR(IF(VLOOKUP($E28,'BDD'!$A$1:$S$567,MATCH(I$10,'BDD'!$A$1:$P$1,0),FALSE)=0,"",VLOOKUP($E28,'BDD'!$A$1:$S$567,MATCH(I$10,'BDD'!$A$1:$P$1,0),FALSE)),"")</f>
        <v>283</v>
      </c>
      <c r="J28" s="549"/>
      <c r="K28" t="s" s="547">
        <f>_xlfn.IFERROR(IF(VLOOKUP($E28,'BDD'!$A$1:$S$567,MATCH(K$10,'BDD'!$A$1:$P$1,0),FALSE)=0,"",VLOOKUP($E28,'BDD'!$A$1:$S$567,MATCH(K$10,'BDD'!$A$1:$P$1,0),FALSE)),"")</f>
        <v>1241</v>
      </c>
      <c r="L28" s="550"/>
      <c r="M28" s="551"/>
      <c r="N28" s="551"/>
      <c r="O28" s="534"/>
      <c r="P28" s="1042"/>
    </row>
    <row r="29" ht="130.05" customHeight="1">
      <c r="A29" s="1039"/>
      <c r="B29" s="542"/>
      <c r="C29" t="s" s="543">
        <f>IF(LEFT(RIGHT($B$1,2),1)=" ",RIGHT($B$1,1),RIGHT($B$1,2))</f>
        <v>2355</v>
      </c>
      <c r="D29" s="544">
        <f>IF(LEFT(F29,14)="Bonne pratique",D28+1,D28)</f>
        <v>2</v>
      </c>
      <c r="E29" t="s" s="545">
        <f>C29&amp;D29&amp;RIGHT(F29,1)</f>
        <v>2364</v>
      </c>
      <c r="F29" t="s" s="552">
        <v>1772</v>
      </c>
      <c r="G29" t="s" s="540">
        <f>_xlfn.IFERROR(IF(VLOOKUP($E29,'BDD'!$A$1:$S$567,MATCH(G$10,'BDD'!$A$1:$P$1,0),FALSE)=0,"",VLOOKUP($E29,'BDD'!$A$1:$S$567,MATCH(G$10,'BDD'!$A$1:$P$1,0),FALSE)),"")</f>
        <v>1243</v>
      </c>
      <c r="H29" t="s" s="553">
        <f>IF(VLOOKUP(E29,'BDD'!$A$1:$S$567,15,FALSE)=0,"Critère non évalué","")</f>
        <v>1770</v>
      </c>
      <c r="I29" t="s" s="552">
        <f>_xlfn.IFERROR(IF(VLOOKUP($E29,'BDD'!$A$1:$S$567,MATCH(I$10,'BDD'!$A$1:$P$1,0),FALSE)=0,"",VLOOKUP($E29,'BDD'!$A$1:$S$567,MATCH(I$10,'BDD'!$A$1:$P$1,0),FALSE)),"")</f>
        <v>283</v>
      </c>
      <c r="J29" s="554"/>
      <c r="K29" t="s" s="540">
        <f>_xlfn.IFERROR(IF(VLOOKUP($E29,'BDD'!$A$1:$S$567,MATCH(K$10,'BDD'!$A$1:$P$1,0),FALSE)=0,"",VLOOKUP($E29,'BDD'!$A$1:$S$567,MATCH(K$10,'BDD'!$A$1:$P$1,0),FALSE)),"")</f>
        <v>1244</v>
      </c>
      <c r="L29" s="550"/>
      <c r="M29" s="555"/>
      <c r="N29" s="555"/>
      <c r="O29" s="534"/>
      <c r="P29" s="1042"/>
    </row>
    <row r="30" ht="130.05" customHeight="1">
      <c r="A30" s="1039"/>
      <c r="B30" s="542"/>
      <c r="C30" t="s" s="543">
        <f>IF(LEFT(RIGHT($B$1,2),1)=" ",RIGHT($B$1,1),RIGHT($B$1,2))</f>
        <v>2355</v>
      </c>
      <c r="D30" s="544">
        <f>IF(LEFT(F30,14)="Bonne pratique",D29+1,D29)</f>
        <v>2</v>
      </c>
      <c r="E30" t="s" s="545">
        <f>C30&amp;D30&amp;RIGHT(F30,1)</f>
        <v>2367</v>
      </c>
      <c r="F30" t="s" s="546">
        <v>1774</v>
      </c>
      <c r="G30" t="s" s="547">
        <f>_xlfn.IFERROR(IF(VLOOKUP($E30,'BDD'!$A$1:$S$567,MATCH(G$10,'BDD'!$A$1:$P$1,0),FALSE)=0,"",VLOOKUP($E30,'BDD'!$A$1:$S$567,MATCH(G$10,'BDD'!$A$1:$P$1,0),FALSE)),"")</f>
        <v>1246</v>
      </c>
      <c r="H30" t="s" s="548">
        <f>IF(VLOOKUP(E30,'BDD'!$A$1:$S$567,15,FALSE)=0,"Critère non évalué","")</f>
        <v>1770</v>
      </c>
      <c r="I30" t="s" s="546">
        <f>_xlfn.IFERROR(IF(VLOOKUP($E30,'BDD'!$A$1:$S$567,MATCH(I$10,'BDD'!$A$1:$P$1,0),FALSE)=0,"",VLOOKUP($E30,'BDD'!$A$1:$S$567,MATCH(I$10,'BDD'!$A$1:$P$1,0),FALSE)),"")</f>
        <v>271</v>
      </c>
      <c r="J30" s="549"/>
      <c r="K30" t="s" s="547">
        <f>_xlfn.IFERROR(IF(VLOOKUP($E30,'BDD'!$A$1:$S$567,MATCH(K$10,'BDD'!$A$1:$P$1,0),FALSE)=0,"",VLOOKUP($E30,'BDD'!$A$1:$S$567,MATCH(K$10,'BDD'!$A$1:$P$1,0),FALSE)),"")</f>
        <v>1247</v>
      </c>
      <c r="L30" s="550"/>
      <c r="M30" s="551"/>
      <c r="N30" s="551"/>
      <c r="O30" s="534"/>
      <c r="P30" s="1042"/>
    </row>
    <row r="31" ht="130.05" customHeight="1" hidden="1">
      <c r="A31" s="1039"/>
      <c r="B31" s="542"/>
      <c r="C31" t="s" s="543">
        <f>IF(LEFT(RIGHT($B$1,2),1)=" ",RIGHT($B$1,1),RIGHT($B$1,2))</f>
        <v>2355</v>
      </c>
      <c r="D31" s="544">
        <f>IF(LEFT(F31,14)="Bonne pratique",D30+1,D30)</f>
        <v>2</v>
      </c>
      <c r="E31" t="s" s="545">
        <f>C31&amp;D31&amp;RIGHT(F31,1)</f>
        <v>2368</v>
      </c>
      <c r="F31" t="s" s="552">
        <v>1776</v>
      </c>
      <c r="G31" t="s" s="540">
        <f>_xlfn.IFERROR(IF(VLOOKUP($E31,'BDD'!$A$1:$S$567,MATCH(G$10,'BDD'!$A$1:$P$1,0),FALSE)=0,"",VLOOKUP($E31,'BDD'!$A$1:$S$567,MATCH(G$10,'BDD'!$A$1:$P$1,0),FALSE)),"")</f>
      </c>
      <c r="H31" t="s" s="553">
        <f>IF(VLOOKUP(E31,'BDD'!$A$1:$S$567,15,FALSE)=0,"Critère non évalué","")</f>
        <v>1770</v>
      </c>
      <c r="I31" t="s" s="552">
        <f>_xlfn.IFERROR(IF(VLOOKUP($E31,'BDD'!$A$1:$S$567,MATCH(I$10,'BDD'!$A$1:$P$1,0),FALSE)=0,"",VLOOKUP($E31,'BDD'!$A$1:$S$567,MATCH(I$10,'BDD'!$A$1:$P$1,0),FALSE)),"")</f>
        <v>171</v>
      </c>
      <c r="J31" s="556"/>
      <c r="K31" t="s" s="540">
        <f>_xlfn.IFERROR(IF(VLOOKUP($E31,'BDD'!$A$1:$S$567,MATCH(K$10,'BDD'!$A$1:$P$1,0),FALSE)=0,"",VLOOKUP($E31,'BDD'!$A$1:$S$567,MATCH(K$10,'BDD'!$A$1:$P$1,0),FALSE)),"")</f>
      </c>
      <c r="L31" s="550"/>
      <c r="M31" s="555"/>
      <c r="N31" s="555"/>
      <c r="O31" s="534"/>
      <c r="P31" s="1042"/>
    </row>
    <row r="32" ht="130.05" customHeight="1" hidden="1">
      <c r="A32" s="1039"/>
      <c r="B32" s="542"/>
      <c r="C32" t="s" s="543">
        <f>IF(LEFT(RIGHT($B$1,2),1)=" ",RIGHT($B$1,1),RIGHT($B$1,2))</f>
        <v>2355</v>
      </c>
      <c r="D32" s="544">
        <f>IF(LEFT(F32,14)="Bonne pratique",D31+1,D31)</f>
        <v>2</v>
      </c>
      <c r="E32" t="s" s="545">
        <f>C32&amp;D32&amp;RIGHT(F32,1)</f>
        <v>2369</v>
      </c>
      <c r="F32" t="s" s="546">
        <v>1778</v>
      </c>
      <c r="G32" t="s" s="547">
        <f>_xlfn.IFERROR(IF(VLOOKUP($E32,'BDD'!$A$1:$S$567,MATCH(G$10,'BDD'!$A$1:$P$1,0),FALSE)=0,"",VLOOKUP($E32,'BDD'!$A$1:$S$567,MATCH(G$10,'BDD'!$A$1:$P$1,0),FALSE)),"")</f>
      </c>
      <c r="H32" t="s" s="548">
        <f>IF(VLOOKUP(E32,'BDD'!$A$1:$S$567,15,FALSE)=0,"Critère non évalué","")</f>
        <v>1770</v>
      </c>
      <c r="I32" t="s" s="546">
        <f>_xlfn.IFERROR(IF(VLOOKUP($E32,'BDD'!$A$1:$S$567,MATCH(I$10,'BDD'!$A$1:$P$1,0),FALSE)=0,"",VLOOKUP($E32,'BDD'!$A$1:$S$567,MATCH(I$10,'BDD'!$A$1:$P$1,0),FALSE)),"")</f>
        <v>171</v>
      </c>
      <c r="J32" s="549"/>
      <c r="K32" t="s" s="547">
        <f>_xlfn.IFERROR(IF(VLOOKUP($E32,'BDD'!$A$1:$S$567,MATCH(K$10,'BDD'!$A$1:$P$1,0),FALSE)=0,"",VLOOKUP($E32,'BDD'!$A$1:$S$567,MATCH(K$10,'BDD'!$A$1:$P$1,0),FALSE)),"")</f>
      </c>
      <c r="L32" s="550"/>
      <c r="M32" s="557"/>
      <c r="N32" s="557"/>
      <c r="O32" s="534"/>
      <c r="P32" s="1042"/>
    </row>
    <row r="33" ht="130.05" customHeight="1" hidden="1">
      <c r="A33" s="1039"/>
      <c r="B33" s="542"/>
      <c r="C33" t="s" s="543">
        <f>IF(LEFT(RIGHT($B$1,2),1)=" ",RIGHT($B$1,1),RIGHT($B$1,2))</f>
        <v>2355</v>
      </c>
      <c r="D33" s="544">
        <f>IF(LEFT(F33,14)="Bonne pratique",D32+1,D32)</f>
        <v>2</v>
      </c>
      <c r="E33" t="s" s="545">
        <f>C33&amp;D33&amp;RIGHT(F33,1)</f>
        <v>2370</v>
      </c>
      <c r="F33" t="s" s="552">
        <v>1780</v>
      </c>
      <c r="G33" t="s" s="540">
        <f>_xlfn.IFERROR(IF(VLOOKUP($E33,'BDD'!$A$1:$S$567,MATCH(G$10,'BDD'!$A$1:$P$1,0),FALSE)=0,"",VLOOKUP($E33,'BDD'!$A$1:$S$567,MATCH(G$10,'BDD'!$A$1:$P$1,0),FALSE)),"")</f>
      </c>
      <c r="H33" t="s" s="553">
        <f>IF(VLOOKUP(E33,'BDD'!$A$1:$S$567,15,FALSE)=0,"Critère non évalué","")</f>
        <v>1770</v>
      </c>
      <c r="I33" t="s" s="552">
        <f>_xlfn.IFERROR(IF(VLOOKUP($E33,'BDD'!$A$1:$S$567,MATCH(I$10,'BDD'!$A$1:$P$1,0),FALSE)=0,"",VLOOKUP($E33,'BDD'!$A$1:$S$567,MATCH(I$10,'BDD'!$A$1:$P$1,0),FALSE)),"")</f>
        <v>171</v>
      </c>
      <c r="J33" s="554"/>
      <c r="K33" t="s" s="540">
        <f>_xlfn.IFERROR(IF(VLOOKUP($E33,'BDD'!$A$1:$S$567,MATCH(K$10,'BDD'!$A$1:$P$1,0),FALSE)=0,"",VLOOKUP($E33,'BDD'!$A$1:$S$567,MATCH(K$10,'BDD'!$A$1:$P$1,0),FALSE)),"")</f>
      </c>
      <c r="L33" s="550"/>
      <c r="M33" s="555"/>
      <c r="N33" s="555"/>
      <c r="O33" s="534"/>
      <c r="P33" s="1042"/>
    </row>
    <row r="34" ht="130.05" customHeight="1" hidden="1">
      <c r="A34" s="1039"/>
      <c r="B34" s="542"/>
      <c r="C34" t="s" s="543">
        <f>IF(LEFT(RIGHT($B$1,2),1)=" ",RIGHT($B$1,1),RIGHT($B$1,2))</f>
        <v>2355</v>
      </c>
      <c r="D34" s="544">
        <f>IF(LEFT(F34,14)="Bonne pratique",D33+1,D33)</f>
        <v>2</v>
      </c>
      <c r="E34" t="s" s="545">
        <f>C34&amp;D34&amp;RIGHT(F34,1)</f>
        <v>2371</v>
      </c>
      <c r="F34" t="s" s="546">
        <v>1782</v>
      </c>
      <c r="G34" t="s" s="547">
        <f>_xlfn.IFERROR(IF(VLOOKUP($E34,'BDD'!$A$1:$S$567,MATCH(G$10,'BDD'!$A$1:$P$1,0),FALSE)=0,"",VLOOKUP($E34,'BDD'!$A$1:$S$567,MATCH(G$10,'BDD'!$A$1:$P$1,0),FALSE)),"")</f>
      </c>
      <c r="H34" t="s" s="548">
        <f>IF(VLOOKUP(E34,'BDD'!$A$1:$S$567,15,FALSE)=0,"Critère non évalué","")</f>
        <v>1770</v>
      </c>
      <c r="I34" t="s" s="546">
        <f>_xlfn.IFERROR(IF(VLOOKUP($E34,'BDD'!$A$1:$S$567,MATCH(I$10,'BDD'!$A$1:$P$1,0),FALSE)=0,"",VLOOKUP($E34,'BDD'!$A$1:$S$567,MATCH(I$10,'BDD'!$A$1:$P$1,0),FALSE)),"")</f>
        <v>171</v>
      </c>
      <c r="J34" s="549"/>
      <c r="K34" t="s" s="547">
        <f>_xlfn.IFERROR(IF(VLOOKUP($E34,'BDD'!$A$1:$S$567,MATCH(K$10,'BDD'!$A$1:$P$1,0),FALSE)=0,"",VLOOKUP($E34,'BDD'!$A$1:$S$567,MATCH(K$10,'BDD'!$A$1:$P$1,0),FALSE)),"")</f>
      </c>
      <c r="L34" s="550"/>
      <c r="M34" s="557"/>
      <c r="N34" s="557"/>
      <c r="O34" s="534"/>
      <c r="P34" s="1042"/>
    </row>
    <row r="35" ht="18" customHeight="1">
      <c r="A35" s="1039"/>
      <c r="B35" s="61"/>
      <c r="C35" t="s" s="513">
        <f>IF(LEFT(RIGHT($B$1,2),1)=" ",RIGHT($B$1,1),RIGHT($B$1,2))</f>
        <v>2355</v>
      </c>
      <c r="D35" s="514">
        <f>IF(LEFT(F35,14)="Bonne pratique",D34+1,D34)</f>
        <v>2</v>
      </c>
      <c r="E35" t="s" s="558">
        <f>C35&amp;D35&amp;RIGHT(F35,1)</f>
        <v>2365</v>
      </c>
      <c r="F35" s="559"/>
      <c r="G35" t="s" s="560">
        <f>IF('Suppl'!B96=2,"Le vecteur n'est pas utilisé","")</f>
      </c>
      <c r="H35" s="561"/>
      <c r="I35" s="559"/>
      <c r="J35" s="561"/>
      <c r="K35" s="561"/>
      <c r="L35" s="510"/>
      <c r="M35" s="559"/>
      <c r="N35" s="559"/>
      <c r="O35" s="61"/>
      <c r="P35" s="1042"/>
    </row>
    <row r="36" ht="15" customHeight="1">
      <c r="A36" s="1039"/>
      <c r="B36" s="61"/>
      <c r="C36" t="s" s="513">
        <f>IF(LEFT(RIGHT($B$1,2),1)=" ",RIGHT($B$1,1),RIGHT($B$1,2))</f>
        <v>2355</v>
      </c>
      <c r="D36" s="514">
        <f>IF(LEFT(F36,14)="Bonne pratique",D35+1,D35)</f>
        <v>2</v>
      </c>
      <c r="E36" t="s" s="558">
        <f>C36&amp;D36&amp;RIGHT(F36,1)</f>
        <v>2365</v>
      </c>
      <c r="F36" s="61"/>
      <c r="G36" s="61"/>
      <c r="H36" s="61"/>
      <c r="I36" s="61"/>
      <c r="J36" s="61"/>
      <c r="K36" s="61"/>
      <c r="L36" s="61"/>
      <c r="M36" s="61"/>
      <c r="N36" s="61"/>
      <c r="O36" s="61"/>
      <c r="P36" s="1042"/>
    </row>
    <row r="37" ht="30" customHeight="1">
      <c r="A37" s="1043"/>
      <c r="B37" s="512"/>
      <c r="C37" t="s" s="513">
        <f>IF(LEFT(RIGHT($B$1,2),1)=" ",RIGHT($B$1,1),RIGHT($B$1,2))</f>
        <v>2355</v>
      </c>
      <c r="D37" s="514">
        <f>IF(LEFT(F37,14)="Bonne pratique",D36+1,D36)</f>
        <v>3</v>
      </c>
      <c r="E37" t="s" s="558">
        <f>C37&amp;D37&amp;RIGHT(F37,1)</f>
        <v>2372</v>
      </c>
      <c r="F37" t="s" s="516">
        <v>1797</v>
      </c>
      <c r="G37" s="517"/>
      <c r="H37" s="518"/>
      <c r="I37" s="519"/>
      <c r="J37" t="s" s="520">
        <f>VLOOKUP(E44,'BDD'!$A$2:$N$567,6,FALSE)</f>
        <v>1252</v>
      </c>
      <c r="K37" s="521"/>
      <c r="L37" s="517"/>
      <c r="M37" s="517"/>
      <c r="N37" s="517"/>
      <c r="O37" s="512"/>
      <c r="P37" s="1044"/>
    </row>
    <row r="38" ht="15" customHeight="1">
      <c r="A38" s="1039"/>
      <c r="B38" s="61"/>
      <c r="C38" t="s" s="513">
        <f>IF(LEFT(RIGHT($B$1,2),1)=" ",RIGHT($B$1,1),RIGHT($B$1,2))</f>
        <v>2355</v>
      </c>
      <c r="D38" s="514">
        <f>IF(LEFT(F38,14)="Bonne pratique",D37+1,D37)</f>
        <v>3</v>
      </c>
      <c r="E38" t="s" s="558">
        <f>C38&amp;D38&amp;RIGHT(F38,1)</f>
        <v>2373</v>
      </c>
      <c r="F38" s="61"/>
      <c r="G38" s="61"/>
      <c r="H38" s="61"/>
      <c r="I38" s="61"/>
      <c r="J38" s="61"/>
      <c r="K38" s="61"/>
      <c r="L38" s="61"/>
      <c r="M38" s="61"/>
      <c r="N38" s="61"/>
      <c r="O38" s="61"/>
      <c r="P38" s="1042"/>
    </row>
    <row r="39" ht="18" customHeight="1">
      <c r="A39" s="1045"/>
      <c r="B39" s="524"/>
      <c r="C39" t="s" s="513">
        <f>IF(LEFT(RIGHT($B$1,2),1)=" ",RIGHT($B$1,1),RIGHT($B$1,2))</f>
        <v>2355</v>
      </c>
      <c r="D39" s="514">
        <f>IF(LEFT(F39,14)="Bonne pratique",D38+1,D38)</f>
        <v>3</v>
      </c>
      <c r="E39" t="s" s="558">
        <f>C39&amp;D39&amp;RIGHT(F39,1)</f>
        <v>2373</v>
      </c>
      <c r="F39" s="524"/>
      <c r="G39" s="524"/>
      <c r="H39" s="524"/>
      <c r="I39" s="525"/>
      <c r="J39" t="s" s="526">
        <v>1253</v>
      </c>
      <c r="K39" s="525"/>
      <c r="L39" s="524"/>
      <c r="M39" s="524"/>
      <c r="N39" s="524"/>
      <c r="O39" s="524"/>
      <c r="P39" s="1046"/>
    </row>
    <row r="40" ht="18" customHeight="1">
      <c r="A40" s="1039"/>
      <c r="B40" s="61"/>
      <c r="C40" t="s" s="513">
        <f>IF(LEFT(RIGHT($B$1,2),1)=" ",RIGHT($B$1,1),RIGHT($B$1,2))</f>
        <v>2355</v>
      </c>
      <c r="D40" s="514">
        <f>IF(LEFT(F40,14)="Bonne pratique",D39+1,D39)</f>
        <v>3</v>
      </c>
      <c r="E40" t="s" s="558">
        <f>C40&amp;D40&amp;RIGHT(F40,1)</f>
        <v>2373</v>
      </c>
      <c r="F40" s="61"/>
      <c r="G40" s="61"/>
      <c r="H40" s="61"/>
      <c r="I40" s="61"/>
      <c r="J40" s="528"/>
      <c r="K40" s="61"/>
      <c r="L40" s="61"/>
      <c r="M40" s="529"/>
      <c r="N40" s="529"/>
      <c r="O40" s="61"/>
      <c r="P40" s="1042"/>
    </row>
    <row r="41" ht="15" customHeight="1">
      <c r="A41" s="1039"/>
      <c r="B41" s="61"/>
      <c r="C41" t="s" s="513">
        <f>IF(LEFT(RIGHT($B$1,2),1)=" ",RIGHT($B$1,1),RIGHT($B$1,2))</f>
        <v>2355</v>
      </c>
      <c r="D41" s="514">
        <f>IF(LEFT(F41,14)="Bonne pratique",D40+1,D40)</f>
        <v>3</v>
      </c>
      <c r="E41" t="s" s="558">
        <f>C41&amp;D41&amp;RIGHT(F41,1)</f>
        <v>2373</v>
      </c>
      <c r="F41" s="61"/>
      <c r="G41" s="529"/>
      <c r="H41" s="529"/>
      <c r="I41" s="529"/>
      <c r="J41" s="530"/>
      <c r="K41" s="529"/>
      <c r="L41" s="542"/>
      <c r="M41" t="s" s="562">
        <v>1763</v>
      </c>
      <c r="N41" s="563"/>
      <c r="O41" s="534"/>
      <c r="P41" s="1042"/>
    </row>
    <row r="42" ht="33" customHeight="1">
      <c r="A42" s="1039"/>
      <c r="B42" s="61"/>
      <c r="C42" t="s" s="513">
        <f>IF(LEFT(RIGHT($B$1,2),1)=" ",RIGHT($B$1,1),RIGHT($B$1,2))</f>
        <v>2355</v>
      </c>
      <c r="D42" s="514">
        <f>IF(LEFT(F42,14)="Bonne pratique",D41+1,D41)</f>
        <v>3</v>
      </c>
      <c r="E42" t="s" s="558">
        <f>C42&amp;D42&amp;RIGHT(F42,1)</f>
        <v>2373</v>
      </c>
      <c r="F42" s="535"/>
      <c r="G42" t="s" s="536">
        <v>244</v>
      </c>
      <c r="H42" t="s" s="536">
        <v>1764</v>
      </c>
      <c r="I42" t="s" s="536">
        <v>1787</v>
      </c>
      <c r="J42" t="s" s="536">
        <v>1765</v>
      </c>
      <c r="K42" t="s" s="536">
        <v>1788</v>
      </c>
      <c r="L42" s="538"/>
      <c r="M42" t="s" s="539">
        <v>1766</v>
      </c>
      <c r="N42" t="s" s="540">
        <v>1767</v>
      </c>
      <c r="O42" s="534"/>
      <c r="P42" s="1042"/>
    </row>
    <row r="43" ht="15" customHeight="1">
      <c r="A43" s="1039"/>
      <c r="B43" s="61"/>
      <c r="C43" t="s" s="513">
        <f>IF(LEFT(RIGHT($B$1,2),1)=" ",RIGHT($B$1,1),RIGHT($B$1,2))</f>
        <v>2355</v>
      </c>
      <c r="D43" s="514">
        <f>IF(LEFT(F43,14)="Bonne pratique",D42+1,D42)</f>
        <v>3</v>
      </c>
      <c r="E43" t="s" s="558">
        <f>C43&amp;D43&amp;RIGHT(F43,1)</f>
        <v>2373</v>
      </c>
      <c r="F43" s="529"/>
      <c r="G43" s="541"/>
      <c r="H43" s="541"/>
      <c r="I43" s="541"/>
      <c r="J43" s="541"/>
      <c r="K43" s="541"/>
      <c r="L43" s="61"/>
      <c r="M43" s="541"/>
      <c r="N43" s="541"/>
      <c r="O43" s="61"/>
      <c r="P43" s="1042"/>
    </row>
    <row r="44" ht="130.05" customHeight="1">
      <c r="A44" s="1039"/>
      <c r="B44" s="542"/>
      <c r="C44" t="s" s="543">
        <f>IF(LEFT(RIGHT($B$1,2),1)=" ",RIGHT($B$1,1),RIGHT($B$1,2))</f>
        <v>2355</v>
      </c>
      <c r="D44" s="544">
        <f>IF(LEFT(F44,14)="Bonne pratique",D43+1,D43)</f>
        <v>3</v>
      </c>
      <c r="E44" t="s" s="545">
        <f>C44&amp;D44&amp;RIGHT(F44,1)</f>
        <v>2374</v>
      </c>
      <c r="F44" t="s" s="546">
        <v>1769</v>
      </c>
      <c r="G44" t="s" s="547">
        <f>_xlfn.IFERROR(IF(VLOOKUP($E44,'BDD'!$A$1:$S$567,MATCH(G$10,'BDD'!$A$1:$P$1,0),FALSE)=0,"",VLOOKUP($E44,'BDD'!$A$1:$S$567,MATCH(G$10,'BDD'!$A$1:$P$1,0),FALSE)),"")</f>
        <v>2375</v>
      </c>
      <c r="H44" t="s" s="548">
        <f>IF(VLOOKUP(E44,'BDD'!$A$1:$S$567,15,FALSE)=0,"Critère non évalué","")</f>
        <v>1770</v>
      </c>
      <c r="I44" t="s" s="546">
        <f>_xlfn.IFERROR(IF(VLOOKUP($E44,'BDD'!$A$1:$S$567,MATCH(I$10,'BDD'!$A$1:$P$1,0),FALSE)=0,"",VLOOKUP($E44,'BDD'!$A$1:$S$567,MATCH(I$10,'BDD'!$A$1:$P$1,0),FALSE)),"")</f>
        <v>283</v>
      </c>
      <c r="J44" s="549"/>
      <c r="K44" t="s" s="547">
        <f>_xlfn.IFERROR(IF(VLOOKUP($E44,'BDD'!$A$1:$S$567,MATCH(K$10,'BDD'!$A$1:$P$1,0),FALSE)=0,"",VLOOKUP($E44,'BDD'!$A$1:$S$567,MATCH(K$10,'BDD'!$A$1:$P$1,0),FALSE)),"")</f>
        <v>1256</v>
      </c>
      <c r="L44" s="550"/>
      <c r="M44" s="551"/>
      <c r="N44" s="551"/>
      <c r="O44" s="534"/>
      <c r="P44" s="1042"/>
    </row>
    <row r="45" ht="150" customHeight="1">
      <c r="A45" s="1039"/>
      <c r="B45" s="542"/>
      <c r="C45" t="s" s="543">
        <f>IF(LEFT(RIGHT($B$1,2),1)=" ",RIGHT($B$1,1),RIGHT($B$1,2))</f>
        <v>2355</v>
      </c>
      <c r="D45" s="544">
        <f>IF(LEFT(F45,14)="Bonne pratique",D44+1,D44)</f>
        <v>3</v>
      </c>
      <c r="E45" t="s" s="545">
        <f>C45&amp;D45&amp;RIGHT(F45,1)</f>
        <v>2376</v>
      </c>
      <c r="F45" t="s" s="552">
        <v>1772</v>
      </c>
      <c r="G45" t="s" s="540">
        <f>_xlfn.IFERROR(IF(VLOOKUP($E45,'BDD'!$A$1:$S$567,MATCH(G$10,'BDD'!$A$1:$P$1,0),FALSE)=0,"",VLOOKUP($E45,'BDD'!$A$1:$S$567,MATCH(G$10,'BDD'!$A$1:$P$1,0),FALSE)),"")</f>
        <v>2377</v>
      </c>
      <c r="H45" t="s" s="553">
        <f>IF(VLOOKUP(E45,'BDD'!$A$1:$S$567,15,FALSE)=0,"Critère non évalué","")</f>
        <v>1770</v>
      </c>
      <c r="I45" t="s" s="552">
        <f>_xlfn.IFERROR(IF(VLOOKUP($E45,'BDD'!$A$1:$S$567,MATCH(I$10,'BDD'!$A$1:$P$1,0),FALSE)=0,"",VLOOKUP($E45,'BDD'!$A$1:$S$567,MATCH(I$10,'BDD'!$A$1:$P$1,0),FALSE)),"")</f>
        <v>271</v>
      </c>
      <c r="J45" s="554"/>
      <c r="K45" t="s" s="540">
        <f>_xlfn.IFERROR(IF(VLOOKUP($E45,'BDD'!$A$1:$S$567,MATCH(K$10,'BDD'!$A$1:$P$1,0),FALSE)=0,"",VLOOKUP($E45,'BDD'!$A$1:$S$567,MATCH(K$10,'BDD'!$A$1:$P$1,0),FALSE)),"")</f>
      </c>
      <c r="L45" s="550"/>
      <c r="M45" s="555"/>
      <c r="N45" s="555"/>
      <c r="O45" s="534"/>
      <c r="P45" s="1042"/>
    </row>
    <row r="46" ht="130.05" customHeight="1">
      <c r="A46" s="1039"/>
      <c r="B46" s="542"/>
      <c r="C46" t="s" s="543">
        <f>IF(LEFT(RIGHT($B$1,2),1)=" ",RIGHT($B$1,1),RIGHT($B$1,2))</f>
        <v>2355</v>
      </c>
      <c r="D46" s="544">
        <f>IF(LEFT(F46,14)="Bonne pratique",D45+1,D45)</f>
        <v>3</v>
      </c>
      <c r="E46" t="s" s="545">
        <f>C46&amp;D46&amp;RIGHT(F46,1)</f>
        <v>2372</v>
      </c>
      <c r="F46" t="s" s="546">
        <v>1774</v>
      </c>
      <c r="G46" t="s" s="547">
        <f>_xlfn.IFERROR(IF(VLOOKUP($E46,'BDD'!$A$1:$S$567,MATCH(G$10,'BDD'!$A$1:$P$1,0),FALSE)=0,"",VLOOKUP($E46,'BDD'!$A$1:$S$567,MATCH(G$10,'BDD'!$A$1:$P$1,0),FALSE)),"")</f>
        <v>1260</v>
      </c>
      <c r="H46" t="s" s="548">
        <f>IF(VLOOKUP(E46,'BDD'!$A$1:$S$567,15,FALSE)=0,"Critère non évalué","")</f>
        <v>1770</v>
      </c>
      <c r="I46" t="s" s="546">
        <f>_xlfn.IFERROR(IF(VLOOKUP($E46,'BDD'!$A$1:$S$567,MATCH(I$10,'BDD'!$A$1:$P$1,0),FALSE)=0,"",VLOOKUP($E46,'BDD'!$A$1:$S$567,MATCH(I$10,'BDD'!$A$1:$P$1,0),FALSE)),"")</f>
        <v>291</v>
      </c>
      <c r="J46" s="549"/>
      <c r="K46" t="s" s="547">
        <f>_xlfn.IFERROR(IF(VLOOKUP($E46,'BDD'!$A$1:$S$567,MATCH(K$10,'BDD'!$A$1:$P$1,0),FALSE)=0,"",VLOOKUP($E46,'BDD'!$A$1:$S$567,MATCH(K$10,'BDD'!$A$1:$P$1,0),FALSE)),"")</f>
        <v>1261</v>
      </c>
      <c r="L46" s="550"/>
      <c r="M46" s="551"/>
      <c r="N46" s="551"/>
      <c r="O46" s="534"/>
      <c r="P46" s="1042"/>
    </row>
    <row r="47" ht="120" customHeight="1" hidden="1">
      <c r="A47" s="1039"/>
      <c r="B47" s="542"/>
      <c r="C47" t="s" s="543">
        <f>IF(LEFT(RIGHT($B$1,2),1)=" ",RIGHT($B$1,1),RIGHT($B$1,2))</f>
        <v>2355</v>
      </c>
      <c r="D47" s="544">
        <f>IF(LEFT(F47,14)="Bonne pratique",D46+1,D46)</f>
        <v>3</v>
      </c>
      <c r="E47" t="s" s="545">
        <f>C47&amp;D47&amp;RIGHT(F47,1)</f>
        <v>2378</v>
      </c>
      <c r="F47" t="s" s="552">
        <v>1776</v>
      </c>
      <c r="G47" t="s" s="540">
        <f>_xlfn.IFERROR(IF(VLOOKUP($E47,'BDD'!$A$1:$S$567,MATCH(G$10,'BDD'!$A$1:$P$1,0),FALSE)=0,"",VLOOKUP($E47,'BDD'!$A$1:$S$567,MATCH(G$10,'BDD'!$A$1:$P$1,0),FALSE)),"")</f>
      </c>
      <c r="H47" t="s" s="553">
        <f>IF(VLOOKUP(E47,'BDD'!$A$1:$S$567,15,FALSE)=0,"Critère non évalué","")</f>
        <v>1770</v>
      </c>
      <c r="I47" t="s" s="552">
        <f>_xlfn.IFERROR(IF(VLOOKUP($E47,'BDD'!$A$1:$S$567,MATCH(I$10,'BDD'!$A$1:$P$1,0),FALSE)=0,"",VLOOKUP($E47,'BDD'!$A$1:$S$567,MATCH(I$10,'BDD'!$A$1:$P$1,0),FALSE)),"")</f>
      </c>
      <c r="J47" s="556"/>
      <c r="K47" t="s" s="540">
        <f>_xlfn.IFERROR(IF(VLOOKUP($E47,'BDD'!$A$1:$S$567,MATCH(K$10,'BDD'!$A$1:$P$1,0),FALSE)=0,"",VLOOKUP($E47,'BDD'!$A$1:$S$567,MATCH(K$10,'BDD'!$A$1:$P$1,0),FALSE)),"")</f>
      </c>
      <c r="L47" s="550"/>
      <c r="M47" s="555"/>
      <c r="N47" s="555"/>
      <c r="O47" s="534"/>
      <c r="P47" s="1042"/>
    </row>
    <row r="48" ht="130.05" customHeight="1" hidden="1">
      <c r="A48" s="1039"/>
      <c r="B48" s="542"/>
      <c r="C48" t="s" s="543">
        <f>IF(LEFT(RIGHT($B$1,2),1)=" ",RIGHT($B$1,1),RIGHT($B$1,2))</f>
        <v>2355</v>
      </c>
      <c r="D48" s="544">
        <f>IF(LEFT(F48,14)="Bonne pratique",D47+1,D47)</f>
        <v>3</v>
      </c>
      <c r="E48" t="s" s="545">
        <f>C48&amp;D48&amp;RIGHT(F48,1)</f>
        <v>2379</v>
      </c>
      <c r="F48" t="s" s="546">
        <v>1778</v>
      </c>
      <c r="G48" t="s" s="547">
        <f>_xlfn.IFERROR(IF(VLOOKUP($E48,'BDD'!$A$1:$S$567,MATCH(G$10,'BDD'!$A$1:$P$1,0),FALSE)=0,"",VLOOKUP($E48,'BDD'!$A$1:$S$567,MATCH(G$10,'BDD'!$A$1:$P$1,0),FALSE)),"")</f>
      </c>
      <c r="H48" t="s" s="548">
        <f>IF(VLOOKUP(E48,'BDD'!$A$1:$S$567,15,FALSE)=0,"Critère non évalué","")</f>
        <v>1770</v>
      </c>
      <c r="I48" t="s" s="546">
        <f>_xlfn.IFERROR(IF(VLOOKUP($E48,'BDD'!$A$1:$S$567,MATCH(I$10,'BDD'!$A$1:$P$1,0),FALSE)=0,"",VLOOKUP($E48,'BDD'!$A$1:$S$567,MATCH(I$10,'BDD'!$A$1:$P$1,0),FALSE)),"")</f>
        <v>171</v>
      </c>
      <c r="J48" s="549"/>
      <c r="K48" t="s" s="547">
        <f>_xlfn.IFERROR(IF(VLOOKUP($E48,'BDD'!$A$1:$S$567,MATCH(K$10,'BDD'!$A$1:$P$1,0),FALSE)=0,"",VLOOKUP($E48,'BDD'!$A$1:$S$567,MATCH(K$10,'BDD'!$A$1:$P$1,0),FALSE)),"")</f>
      </c>
      <c r="L48" s="550"/>
      <c r="M48" s="551"/>
      <c r="N48" s="551"/>
      <c r="O48" s="534"/>
      <c r="P48" s="1042"/>
    </row>
    <row r="49" ht="120" customHeight="1" hidden="1">
      <c r="A49" s="1039"/>
      <c r="B49" s="542"/>
      <c r="C49" t="s" s="543">
        <f>IF(LEFT(RIGHT($B$1,2),1)=" ",RIGHT($B$1,1),RIGHT($B$1,2))</f>
        <v>2355</v>
      </c>
      <c r="D49" s="544">
        <f>IF(LEFT(F49,14)="Bonne pratique",D48+1,D48)</f>
        <v>3</v>
      </c>
      <c r="E49" t="s" s="545">
        <f>C49&amp;D49&amp;RIGHT(F49,1)</f>
        <v>2380</v>
      </c>
      <c r="F49" t="s" s="552">
        <v>1780</v>
      </c>
      <c r="G49" t="s" s="540">
        <f>_xlfn.IFERROR(IF(VLOOKUP($E49,'BDD'!$A$1:$S$567,MATCH(G$10,'BDD'!$A$1:$P$1,0),FALSE)=0,"",VLOOKUP($E49,'BDD'!$A$1:$S$567,MATCH(G$10,'BDD'!$A$1:$P$1,0),FALSE)),"")</f>
      </c>
      <c r="H49" t="s" s="553">
        <f>IF(VLOOKUP(E49,'BDD'!$A$1:$S$567,15,FALSE)=0,"Critère non évalué","")</f>
        <v>1770</v>
      </c>
      <c r="I49" t="s" s="552">
        <f>_xlfn.IFERROR(IF(VLOOKUP($E49,'BDD'!$A$1:$S$567,MATCH(I$10,'BDD'!$A$1:$P$1,0),FALSE)=0,"",VLOOKUP($E49,'BDD'!$A$1:$S$567,MATCH(I$10,'BDD'!$A$1:$P$1,0),FALSE)),"")</f>
        <v>171</v>
      </c>
      <c r="J49" s="556"/>
      <c r="K49" t="s" s="540">
        <f>_xlfn.IFERROR(IF(VLOOKUP($E49,'BDD'!$A$1:$S$567,MATCH(K$10,'BDD'!$A$1:$P$1,0),FALSE)=0,"",VLOOKUP($E49,'BDD'!$A$1:$S$567,MATCH(K$10,'BDD'!$A$1:$P$1,0),FALSE)),"")</f>
      </c>
      <c r="L49" s="550"/>
      <c r="M49" s="555"/>
      <c r="N49" s="555"/>
      <c r="O49" s="534"/>
      <c r="P49" s="1042"/>
    </row>
    <row r="50" ht="130.05" customHeight="1" hidden="1">
      <c r="A50" s="1039"/>
      <c r="B50" s="542"/>
      <c r="C50" t="s" s="543">
        <f>IF(LEFT(RIGHT($B$1,2),1)=" ",RIGHT($B$1,1),RIGHT($B$1,2))</f>
        <v>2355</v>
      </c>
      <c r="D50" s="544">
        <f>IF(LEFT(F50,14)="Bonne pratique",D49+1,D49)</f>
        <v>3</v>
      </c>
      <c r="E50" t="s" s="545">
        <f>C50&amp;D50&amp;RIGHT(F50,1)</f>
        <v>2381</v>
      </c>
      <c r="F50" t="s" s="546">
        <v>1782</v>
      </c>
      <c r="G50" t="s" s="547">
        <f>_xlfn.IFERROR(IF(VLOOKUP($E50,'BDD'!$A$1:$S$567,MATCH(G$10,'BDD'!$A$1:$P$1,0),FALSE)=0,"",VLOOKUP($E50,'BDD'!$A$1:$S$567,MATCH(G$10,'BDD'!$A$1:$P$1,0),FALSE)),"")</f>
      </c>
      <c r="H50" t="s" s="548">
        <f>IF(VLOOKUP(E50,'BDD'!$A$1:$S$567,15,FALSE)=0,"Critère non évalué","")</f>
        <v>1770</v>
      </c>
      <c r="I50" t="s" s="546">
        <f>_xlfn.IFERROR(IF(VLOOKUP($E50,'BDD'!$A$1:$S$567,MATCH(I$10,'BDD'!$A$1:$P$1,0),FALSE)=0,"",VLOOKUP($E50,'BDD'!$A$1:$S$567,MATCH(I$10,'BDD'!$A$1:$P$1,0),FALSE)),"")</f>
        <v>171</v>
      </c>
      <c r="J50" s="549"/>
      <c r="K50" t="s" s="547">
        <f>_xlfn.IFERROR(IF(VLOOKUP($E50,'BDD'!$A$1:$S$567,MATCH(K$10,'BDD'!$A$1:$P$1,0),FALSE)=0,"",VLOOKUP($E50,'BDD'!$A$1:$S$567,MATCH(K$10,'BDD'!$A$1:$P$1,0),FALSE)),"")</f>
      </c>
      <c r="L50" s="550"/>
      <c r="M50" s="551"/>
      <c r="N50" s="551"/>
      <c r="O50" s="534"/>
      <c r="P50" s="1042"/>
    </row>
    <row r="51" ht="18" customHeight="1">
      <c r="A51" s="1039"/>
      <c r="B51" s="61"/>
      <c r="C51" t="s" s="513">
        <f>IF(LEFT(RIGHT($B$1,2),1)=" ",RIGHT($B$1,1),RIGHT($B$1,2))</f>
        <v>2355</v>
      </c>
      <c r="D51" s="61"/>
      <c r="E51" s="565"/>
      <c r="F51" s="559"/>
      <c r="G51" s="561"/>
      <c r="H51" s="561"/>
      <c r="I51" s="561"/>
      <c r="J51" s="561"/>
      <c r="K51" s="561"/>
      <c r="L51" s="510"/>
      <c r="M51" s="559"/>
      <c r="N51" s="559"/>
      <c r="O51" s="61"/>
      <c r="P51" s="1042"/>
    </row>
    <row r="52" ht="15" customHeight="1">
      <c r="A52" s="1039"/>
      <c r="B52" s="61"/>
      <c r="C52" t="s" s="513">
        <f>IF(LEFT(RIGHT($B$1,2),1)=" ",RIGHT($B$1,1),RIGHT($B$1,2))</f>
        <v>2355</v>
      </c>
      <c r="D52" s="514">
        <f>IF(LEFT(F52,14)="Bonne pratique",D48+1,D48)</f>
        <v>3</v>
      </c>
      <c r="E52" t="s" s="558">
        <f>C52&amp;D52&amp;RIGHT(F52,1)</f>
        <v>2373</v>
      </c>
      <c r="F52" s="61"/>
      <c r="G52" s="61"/>
      <c r="H52" s="61"/>
      <c r="I52" s="61"/>
      <c r="J52" s="61"/>
      <c r="K52" s="61"/>
      <c r="L52" s="61"/>
      <c r="M52" s="61"/>
      <c r="N52" s="61"/>
      <c r="O52" s="61"/>
      <c r="P52" s="1042"/>
    </row>
    <row r="53" ht="30" customHeight="1">
      <c r="A53" s="1043"/>
      <c r="B53" s="512"/>
      <c r="C53" t="s" s="513">
        <f>IF(LEFT(RIGHT($B$1,2),1)=" ",RIGHT($B$1,1),RIGHT($B$1,2))</f>
        <v>2355</v>
      </c>
      <c r="D53" s="514">
        <f>IF(LEFT(F53,14)="Bonne pratique",D52+1,D52)</f>
        <v>4</v>
      </c>
      <c r="E53" t="s" s="558">
        <f>C53&amp;D53&amp;RIGHT(F53,1)</f>
        <v>2382</v>
      </c>
      <c r="F53" t="s" s="516">
        <v>1806</v>
      </c>
      <c r="G53" s="517"/>
      <c r="H53" s="518"/>
      <c r="I53" s="519"/>
      <c r="J53" s="519">
        <f>VLOOKUP(E60,'BDD'!$A$2:$N$567,6,FALSE)</f>
      </c>
      <c r="K53" s="521"/>
      <c r="L53" s="517"/>
      <c r="M53" s="517"/>
      <c r="N53" s="517"/>
      <c r="O53" s="512"/>
      <c r="P53" s="1044"/>
    </row>
    <row r="54" ht="15" customHeight="1">
      <c r="A54" s="1039"/>
      <c r="B54" s="61"/>
      <c r="C54" t="s" s="513">
        <f>IF(LEFT(RIGHT($B$1,2),1)=" ",RIGHT($B$1,1),RIGHT($B$1,2))</f>
        <v>2355</v>
      </c>
      <c r="D54" s="514">
        <f>IF(LEFT(F54,14)="Bonne pratique",D53+1,D53)</f>
        <v>4</v>
      </c>
      <c r="E54" t="s" s="558">
        <f>C54&amp;D54&amp;RIGHT(F54,1)</f>
        <v>2383</v>
      </c>
      <c r="F54" s="61"/>
      <c r="G54" s="61"/>
      <c r="H54" s="61"/>
      <c r="I54" s="61"/>
      <c r="J54" s="61"/>
      <c r="K54" s="61"/>
      <c r="L54" s="61"/>
      <c r="M54" s="61"/>
      <c r="N54" s="61"/>
      <c r="O54" s="61"/>
      <c r="P54" s="1042"/>
    </row>
    <row r="55" ht="18" customHeight="1">
      <c r="A55" s="1045"/>
      <c r="B55" s="524"/>
      <c r="C55" t="s" s="513">
        <f>IF(LEFT(RIGHT($B$1,2),1)=" ",RIGHT($B$1,1),RIGHT($B$1,2))</f>
        <v>2355</v>
      </c>
      <c r="D55" s="514">
        <f>IF(LEFT(F55,14)="Bonne pratique",D54+1,D54)</f>
        <v>4</v>
      </c>
      <c r="E55" t="s" s="558">
        <f>C55&amp;D55&amp;RIGHT(F55,1)</f>
        <v>2383</v>
      </c>
      <c r="F55" s="524"/>
      <c r="G55" s="524"/>
      <c r="H55" s="524"/>
      <c r="I55" s="525"/>
      <c r="J55" t="s" s="526">
        <v>1267</v>
      </c>
      <c r="K55" s="525"/>
      <c r="L55" s="524"/>
      <c r="M55" s="524"/>
      <c r="N55" s="524"/>
      <c r="O55" s="524"/>
      <c r="P55" s="1046"/>
    </row>
    <row r="56" ht="18" customHeight="1">
      <c r="A56" s="1039"/>
      <c r="B56" s="61"/>
      <c r="C56" t="s" s="513">
        <f>IF(LEFT(RIGHT($B$1,2),1)=" ",RIGHT($B$1,1),RIGHT($B$1,2))</f>
        <v>2355</v>
      </c>
      <c r="D56" s="514">
        <f>IF(LEFT(F56,14)="Bonne pratique",D55+1,D55)</f>
        <v>4</v>
      </c>
      <c r="E56" t="s" s="558">
        <f>C56&amp;D56&amp;RIGHT(F56,1)</f>
        <v>2383</v>
      </c>
      <c r="F56" s="61"/>
      <c r="G56" s="61"/>
      <c r="H56" s="61"/>
      <c r="I56" s="61"/>
      <c r="J56" s="528"/>
      <c r="K56" s="61"/>
      <c r="L56" s="61"/>
      <c r="M56" s="529"/>
      <c r="N56" s="529"/>
      <c r="O56" s="61"/>
      <c r="P56" s="1042"/>
    </row>
    <row r="57" ht="15" customHeight="1">
      <c r="A57" s="1039"/>
      <c r="B57" s="61"/>
      <c r="C57" t="s" s="513">
        <f>IF(LEFT(RIGHT($B$1,2),1)=" ",RIGHT($B$1,1),RIGHT($B$1,2))</f>
        <v>2355</v>
      </c>
      <c r="D57" s="514">
        <f>IF(LEFT(F57,14)="Bonne pratique",D56+1,D56)</f>
        <v>4</v>
      </c>
      <c r="E57" t="s" s="558">
        <f>C57&amp;D57&amp;RIGHT(F57,1)</f>
        <v>2383</v>
      </c>
      <c r="F57" s="61"/>
      <c r="G57" s="529"/>
      <c r="H57" s="529"/>
      <c r="I57" s="529"/>
      <c r="J57" s="530"/>
      <c r="K57" s="529"/>
      <c r="L57" s="542"/>
      <c r="M57" t="s" s="562">
        <v>1763</v>
      </c>
      <c r="N57" s="563"/>
      <c r="O57" s="534"/>
      <c r="P57" s="1042"/>
    </row>
    <row r="58" ht="33" customHeight="1">
      <c r="A58" s="1039"/>
      <c r="B58" s="61"/>
      <c r="C58" t="s" s="513">
        <f>IF(LEFT(RIGHT($B$1,2),1)=" ",RIGHT($B$1,1),RIGHT($B$1,2))</f>
        <v>2355</v>
      </c>
      <c r="D58" s="514">
        <f>IF(LEFT(F58,14)="Bonne pratique",D57+1,D57)</f>
        <v>4</v>
      </c>
      <c r="E58" t="s" s="558">
        <f>C58&amp;D58&amp;RIGHT(F58,1)</f>
        <v>2383</v>
      </c>
      <c r="F58" s="535"/>
      <c r="G58" t="s" s="536">
        <v>244</v>
      </c>
      <c r="H58" t="s" s="536">
        <v>1764</v>
      </c>
      <c r="I58" t="s" s="536">
        <v>1787</v>
      </c>
      <c r="J58" t="s" s="536">
        <v>1765</v>
      </c>
      <c r="K58" t="s" s="536">
        <v>1788</v>
      </c>
      <c r="L58" s="538"/>
      <c r="M58" t="s" s="539">
        <v>1766</v>
      </c>
      <c r="N58" t="s" s="540">
        <v>1767</v>
      </c>
      <c r="O58" s="534"/>
      <c r="P58" s="1042"/>
    </row>
    <row r="59" ht="15" customHeight="1">
      <c r="A59" s="1039"/>
      <c r="B59" s="61"/>
      <c r="C59" t="s" s="513">
        <f>IF(LEFT(RIGHT($B$1,2),1)=" ",RIGHT($B$1,1),RIGHT($B$1,2))</f>
        <v>2355</v>
      </c>
      <c r="D59" s="514">
        <f>IF(LEFT(F59,14)="Bonne pratique",D58+1,D58)</f>
        <v>4</v>
      </c>
      <c r="E59" t="s" s="558">
        <f>C59&amp;D59&amp;RIGHT(F59,1)</f>
        <v>2383</v>
      </c>
      <c r="F59" s="529"/>
      <c r="G59" s="541"/>
      <c r="H59" s="541"/>
      <c r="I59" s="541"/>
      <c r="J59" s="541"/>
      <c r="K59" s="541"/>
      <c r="L59" s="61"/>
      <c r="M59" s="541"/>
      <c r="N59" s="541"/>
      <c r="O59" s="61"/>
      <c r="P59" s="1042"/>
    </row>
    <row r="60" ht="130.05" customHeight="1">
      <c r="A60" s="1039"/>
      <c r="B60" s="542"/>
      <c r="C60" t="s" s="543">
        <f>IF(LEFT(RIGHT($B$1,2),1)=" ",RIGHT($B$1,1),RIGHT($B$1,2))</f>
        <v>2355</v>
      </c>
      <c r="D60" s="544">
        <f>IF(LEFT(F60,14)="Bonne pratique",D59+1,D59)</f>
        <v>4</v>
      </c>
      <c r="E60" t="s" s="545">
        <f>C60&amp;D60&amp;RIGHT(F60,1)</f>
        <v>2384</v>
      </c>
      <c r="F60" t="s" s="546">
        <v>1769</v>
      </c>
      <c r="G60" s="567">
        <f>_xlfn.IFERROR(IF(VLOOKUP($E60,'BDD'!$A$1:$S$567,MATCH(G$10,'BDD'!$A$1:$P$1,0),FALSE)=0,"",VLOOKUP($E60,'BDD'!$A$1:$S$567,MATCH(G$10,'BDD'!$A$1:$P$1,0),FALSE)),"")</f>
      </c>
      <c r="H60" s="568">
        <f>IF(VLOOKUP(E60,'BDD'!$A$1:$S$567,15,FALSE)=0,"Critère non évalué","")</f>
      </c>
      <c r="I60" s="569">
        <f>_xlfn.IFERROR(IF(VLOOKUP($E60,'BDD'!$A$1:$S$567,MATCH(I$10,'BDD'!$A$1:$P$1,0),FALSE)=0,"",VLOOKUP($E60,'BDD'!$A$1:$S$567,MATCH(I$10,'BDD'!$A$1:$P$1,0),FALSE)),"")</f>
      </c>
      <c r="J60" s="549"/>
      <c r="K60" s="567">
        <f>_xlfn.IFERROR(IF(VLOOKUP($E60,'BDD'!$A$1:$S$567,MATCH(K$10,'BDD'!$A$1:$P$1,0),FALSE)=0,"",VLOOKUP($E60,'BDD'!$A$1:$S$567,MATCH(K$10,'BDD'!$A$1:$P$1,0),FALSE)),"")</f>
      </c>
      <c r="L60" s="550"/>
      <c r="M60" s="551"/>
      <c r="N60" s="551"/>
      <c r="O60" s="534"/>
      <c r="P60" s="1042"/>
    </row>
    <row r="61" ht="130.05" customHeight="1">
      <c r="A61" s="1039"/>
      <c r="B61" s="542"/>
      <c r="C61" t="s" s="543">
        <f>IF(LEFT(RIGHT($B$1,2),1)=" ",RIGHT($B$1,1),RIGHT($B$1,2))</f>
        <v>2355</v>
      </c>
      <c r="D61" s="544">
        <f>IF(LEFT(F61,14)="Bonne pratique",D60+1,D60)</f>
        <v>4</v>
      </c>
      <c r="E61" s="566">
        <f>C61&amp;D61&amp;RIGHT(F61,1)</f>
      </c>
      <c r="F61" t="s" s="552">
        <v>1772</v>
      </c>
      <c r="G61" s="557">
        <f>_xlfn.IFERROR(IF(VLOOKUP($E61,'BDD'!$A$1:$S$567,MATCH(G$10,'BDD'!$A$1:$P$1,0),FALSE)=0,"",VLOOKUP($E61,'BDD'!$A$1:$S$567,MATCH(G$10,'BDD'!$A$1:$P$1,0),FALSE)),"")</f>
      </c>
      <c r="H61" s="570">
        <f>IF(VLOOKUP(E61,'BDD'!$A$1:$S$567,15,FALSE)=0,"Critère non évalué","")</f>
      </c>
      <c r="I61" s="571">
        <f>_xlfn.IFERROR(IF(VLOOKUP($E61,'BDD'!$A$1:$S$567,MATCH(I$10,'BDD'!$A$1:$P$1,0),FALSE)=0,"",VLOOKUP($E61,'BDD'!$A$1:$S$567,MATCH(I$10,'BDD'!$A$1:$P$1,0),FALSE)),"")</f>
      </c>
      <c r="J61" s="554"/>
      <c r="K61" s="557">
        <f>_xlfn.IFERROR(IF(VLOOKUP($E61,'BDD'!$A$1:$S$567,MATCH(K$10,'BDD'!$A$1:$P$1,0),FALSE)=0,"",VLOOKUP($E61,'BDD'!$A$1:$S$567,MATCH(K$10,'BDD'!$A$1:$P$1,0),FALSE)),"")</f>
      </c>
      <c r="L61" s="550"/>
      <c r="M61" s="555"/>
      <c r="N61" s="555"/>
      <c r="O61" s="534"/>
      <c r="P61" s="1042"/>
    </row>
    <row r="62" ht="130.05" customHeight="1">
      <c r="A62" s="1039"/>
      <c r="B62" s="542"/>
      <c r="C62" t="s" s="543">
        <f>IF(LEFT(RIGHT($B$1,2),1)=" ",RIGHT($B$1,1),RIGHT($B$1,2))</f>
        <v>2355</v>
      </c>
      <c r="D62" s="550">
        <f>IF(LEFT(F62,14)="Bonne pratique",D61+1,D61)</f>
      </c>
      <c r="E62" s="566">
        <f>C62&amp;D62&amp;RIGHT(F62,1)</f>
      </c>
      <c r="F62" t="s" s="546">
        <v>1774</v>
      </c>
      <c r="G62" s="567">
        <f>_xlfn.IFERROR(IF(VLOOKUP($E62,'BDD'!$A$1:$S$567,MATCH(G$10,'BDD'!$A$1:$P$1,0),FALSE)=0,"",VLOOKUP($E62,'BDD'!$A$1:$S$567,MATCH(G$10,'BDD'!$A$1:$P$1,0),FALSE)),"")</f>
      </c>
      <c r="H62" s="568">
        <f>IF(VLOOKUP(E62,'BDD'!$A$1:$S$567,15,FALSE)=0,"Critère non évalué","")</f>
      </c>
      <c r="I62" s="569">
        <f>_xlfn.IFERROR(IF(VLOOKUP($E62,'BDD'!$A$1:$S$567,MATCH(I$10,'BDD'!$A$1:$P$1,0),FALSE)=0,"",VLOOKUP($E62,'BDD'!$A$1:$S$567,MATCH(I$10,'BDD'!$A$1:$P$1,0),FALSE)),"")</f>
      </c>
      <c r="J62" s="549"/>
      <c r="K62" s="567">
        <f>_xlfn.IFERROR(IF(VLOOKUP($E62,'BDD'!$A$1:$S$567,MATCH(K$10,'BDD'!$A$1:$P$1,0),FALSE)=0,"",VLOOKUP($E62,'BDD'!$A$1:$S$567,MATCH(K$10,'BDD'!$A$1:$P$1,0),FALSE)),"")</f>
      </c>
      <c r="L62" s="550"/>
      <c r="M62" s="551"/>
      <c r="N62" s="551"/>
      <c r="O62" s="534"/>
      <c r="P62" s="1042"/>
    </row>
    <row r="63" ht="130.05" customHeight="1">
      <c r="A63" s="1039"/>
      <c r="B63" s="542"/>
      <c r="C63" t="s" s="543">
        <f>IF(LEFT(RIGHT($B$1,2),1)=" ",RIGHT($B$1,1),RIGHT($B$1,2))</f>
        <v>2355</v>
      </c>
      <c r="D63" s="550">
        <f>IF(LEFT(F63,14)="Bonne pratique",D62+1,D62)</f>
      </c>
      <c r="E63" s="566">
        <f>C63&amp;D63&amp;RIGHT(F63,1)</f>
      </c>
      <c r="F63" t="s" s="552">
        <v>1776</v>
      </c>
      <c r="G63" s="557">
        <f>_xlfn.IFERROR(IF(VLOOKUP($E63,'BDD'!$A$1:$S$567,MATCH(G$10,'BDD'!$A$1:$P$1,0),FALSE)=0,"",VLOOKUP($E63,'BDD'!$A$1:$S$567,MATCH(G$10,'BDD'!$A$1:$P$1,0),FALSE)),"")</f>
      </c>
      <c r="H63" s="570">
        <f>IF(VLOOKUP(E63,'BDD'!$A$1:$S$567,15,FALSE)=0,"Critère non évalué","")</f>
      </c>
      <c r="I63" s="571">
        <f>_xlfn.IFERROR(IF(VLOOKUP($E63,'BDD'!$A$1:$S$567,MATCH(I$10,'BDD'!$A$1:$P$1,0),FALSE)=0,"",VLOOKUP($E63,'BDD'!$A$1:$S$567,MATCH(I$10,'BDD'!$A$1:$P$1,0),FALSE)),"")</f>
      </c>
      <c r="J63" s="556"/>
      <c r="K63" s="557">
        <f>_xlfn.IFERROR(IF(VLOOKUP($E63,'BDD'!$A$1:$S$567,MATCH(K$10,'BDD'!$A$1:$P$1,0),FALSE)=0,"",VLOOKUP($E63,'BDD'!$A$1:$S$567,MATCH(K$10,'BDD'!$A$1:$P$1,0),FALSE)),"")</f>
      </c>
      <c r="L63" s="550"/>
      <c r="M63" s="555"/>
      <c r="N63" s="555"/>
      <c r="O63" s="534"/>
      <c r="P63" s="1042"/>
    </row>
    <row r="64" ht="130.05" customHeight="1">
      <c r="A64" s="1039"/>
      <c r="B64" s="542"/>
      <c r="C64" t="s" s="543">
        <f>IF(LEFT(RIGHT($B$1,2),1)=" ",RIGHT($B$1,1),RIGHT($B$1,2))</f>
        <v>2355</v>
      </c>
      <c r="D64" s="550">
        <f>IF(LEFT(F64,14)="Bonne pratique",D63+1,D63)</f>
      </c>
      <c r="E64" s="566">
        <f>C64&amp;D64&amp;RIGHT(F64,1)</f>
      </c>
      <c r="F64" t="s" s="546">
        <v>1778</v>
      </c>
      <c r="G64" s="567">
        <f>_xlfn.IFERROR(IF(VLOOKUP($E64,'BDD'!$A$1:$S$567,MATCH(G$10,'BDD'!$A$1:$P$1,0),FALSE)=0,"",VLOOKUP($E64,'BDD'!$A$1:$S$567,MATCH(G$10,'BDD'!$A$1:$P$1,0),FALSE)),"")</f>
      </c>
      <c r="H64" s="568">
        <f>IF(VLOOKUP(E64,'BDD'!$A$1:$S$567,15,FALSE)=0,"Critère non évalué","")</f>
      </c>
      <c r="I64" s="569">
        <f>_xlfn.IFERROR(IF(VLOOKUP($E64,'BDD'!$A$1:$S$567,MATCH(I$10,'BDD'!$A$1:$P$1,0),FALSE)=0,"",VLOOKUP($E64,'BDD'!$A$1:$S$567,MATCH(I$10,'BDD'!$A$1:$P$1,0),FALSE)),"")</f>
      </c>
      <c r="J64" s="549"/>
      <c r="K64" s="567">
        <f>_xlfn.IFERROR(IF(VLOOKUP($E64,'BDD'!$A$1:$S$567,MATCH(K$10,'BDD'!$A$1:$P$1,0),FALSE)=0,"",VLOOKUP($E64,'BDD'!$A$1:$S$567,MATCH(K$10,'BDD'!$A$1:$P$1,0),FALSE)),"")</f>
      </c>
      <c r="L64" s="550"/>
      <c r="M64" s="557"/>
      <c r="N64" s="557"/>
      <c r="O64" s="534"/>
      <c r="P64" s="1042"/>
    </row>
    <row r="65" ht="130.05" customHeight="1">
      <c r="A65" s="1039"/>
      <c r="B65" s="542"/>
      <c r="C65" t="s" s="543">
        <f>IF(LEFT(RIGHT($B$1,2),1)=" ",RIGHT($B$1,1),RIGHT($B$1,2))</f>
        <v>2355</v>
      </c>
      <c r="D65" s="550">
        <f>IF(LEFT(F65,14)="Bonne pratique",D64+1,D64)</f>
      </c>
      <c r="E65" s="566">
        <f>C65&amp;D65&amp;RIGHT(F65,1)</f>
      </c>
      <c r="F65" t="s" s="552">
        <v>1780</v>
      </c>
      <c r="G65" s="557">
        <f>_xlfn.IFERROR(IF(VLOOKUP($E65,'BDD'!$A$1:$S$567,MATCH(G$10,'BDD'!$A$1:$P$1,0),FALSE)=0,"",VLOOKUP($E65,'BDD'!$A$1:$S$567,MATCH(G$10,'BDD'!$A$1:$P$1,0),FALSE)),"")</f>
      </c>
      <c r="H65" s="570">
        <f>IF(VLOOKUP(E65,'BDD'!$A$1:$S$567,15,FALSE)=0,"Critère non évalué","")</f>
      </c>
      <c r="I65" s="571">
        <f>_xlfn.IFERROR(IF(VLOOKUP($E65,'BDD'!$A$1:$S$567,MATCH(I$10,'BDD'!$A$1:$P$1,0),FALSE)=0,"",VLOOKUP($E65,'BDD'!$A$1:$S$567,MATCH(I$10,'BDD'!$A$1:$P$1,0),FALSE)),"")</f>
      </c>
      <c r="J65" s="554"/>
      <c r="K65" s="557">
        <f>_xlfn.IFERROR(IF(VLOOKUP($E65,'BDD'!$A$1:$S$567,MATCH(K$10,'BDD'!$A$1:$P$1,0),FALSE)=0,"",VLOOKUP($E65,'BDD'!$A$1:$S$567,MATCH(K$10,'BDD'!$A$1:$P$1,0),FALSE)),"")</f>
      </c>
      <c r="L65" s="550"/>
      <c r="M65" s="555"/>
      <c r="N65" s="555"/>
      <c r="O65" s="534"/>
      <c r="P65" s="1042"/>
    </row>
    <row r="66" ht="130.05" customHeight="1" hidden="1">
      <c r="A66" s="1039"/>
      <c r="B66" s="542"/>
      <c r="C66" t="s" s="543">
        <f>IF(LEFT(RIGHT($B$1,2),1)=" ",RIGHT($B$1,1),RIGHT($B$1,2))</f>
        <v>2355</v>
      </c>
      <c r="D66" s="550">
        <f>IF(LEFT(F66,14)="Bonne pratique",D65+1,D65)</f>
      </c>
      <c r="E66" s="566">
        <f>C66&amp;D66&amp;RIGHT(F66,1)</f>
      </c>
      <c r="F66" t="s" s="546">
        <v>1782</v>
      </c>
      <c r="G66" s="567">
        <f>_xlfn.IFERROR(IF(VLOOKUP($E66,'BDD'!$A$1:$S$567,MATCH(G$10,'BDD'!$A$1:$P$1,0),FALSE)=0,"",VLOOKUP($E66,'BDD'!$A$1:$S$567,MATCH(G$10,'BDD'!$A$1:$P$1,0),FALSE)),"")</f>
      </c>
      <c r="H66" s="568">
        <f>IF(VLOOKUP(E66,'BDD'!$A$1:$S$567,15,FALSE)=0,"Critère non évalué","")</f>
      </c>
      <c r="I66" s="569">
        <f>_xlfn.IFERROR(IF(VLOOKUP($E66,'BDD'!$A$1:$S$567,MATCH(I$10,'BDD'!$A$1:$P$1,0),FALSE)=0,"",VLOOKUP($E66,'BDD'!$A$1:$S$567,MATCH(I$10,'BDD'!$A$1:$P$1,0),FALSE)),"")</f>
      </c>
      <c r="J66" s="549"/>
      <c r="K66" s="567">
        <f>_xlfn.IFERROR(IF(VLOOKUP($E66,'BDD'!$A$1:$S$567,MATCH(K$10,'BDD'!$A$1:$P$1,0),FALSE)=0,"",VLOOKUP($E66,'BDD'!$A$1:$S$567,MATCH(K$10,'BDD'!$A$1:$P$1,0),FALSE)),"")</f>
      </c>
      <c r="L66" s="550"/>
      <c r="M66" s="557"/>
      <c r="N66" s="557"/>
      <c r="O66" s="534"/>
      <c r="P66" s="1042"/>
    </row>
    <row r="67" ht="15" customHeight="1">
      <c r="A67" s="1039"/>
      <c r="B67" s="61"/>
      <c r="C67" t="s" s="513">
        <f>IF(LEFT(RIGHT($B$1,2),1)=" ",RIGHT($B$1,1),RIGHT($B$1,2))</f>
        <v>2355</v>
      </c>
      <c r="D67" s="61">
        <f>IF(LEFT(F67,14)="Bonne pratique",D66+1,D66)</f>
      </c>
      <c r="E67" s="565">
        <f>C67&amp;D67&amp;RIGHT(F67,1)</f>
      </c>
      <c r="F67" s="559"/>
      <c r="G67" s="559"/>
      <c r="H67" s="559"/>
      <c r="I67" s="559"/>
      <c r="J67" s="559"/>
      <c r="K67" s="559"/>
      <c r="L67" s="61"/>
      <c r="M67" s="559"/>
      <c r="N67" s="559"/>
      <c r="O67" s="61"/>
      <c r="P67" s="1042"/>
    </row>
    <row r="68" ht="14.4" customHeight="1">
      <c r="A68" s="1039"/>
      <c r="B68" s="61"/>
      <c r="C68" t="s" s="513">
        <f>IF(LEFT(RIGHT($B$1,2),1)=" ",RIGHT($B$1,1),RIGHT($B$1,2))</f>
        <v>2355</v>
      </c>
      <c r="D68" s="61"/>
      <c r="E68" s="565"/>
      <c r="F68" s="61"/>
      <c r="G68" s="61"/>
      <c r="H68" s="61"/>
      <c r="I68" s="61"/>
      <c r="J68" s="61"/>
      <c r="K68" s="61"/>
      <c r="L68" s="61"/>
      <c r="M68" s="61"/>
      <c r="N68" s="61"/>
      <c r="O68" s="61"/>
      <c r="P68" s="1042"/>
    </row>
    <row r="69" ht="14.4" customHeight="1">
      <c r="A69" s="1039"/>
      <c r="B69" s="61"/>
      <c r="C69" t="s" s="513">
        <f>IF(LEFT(RIGHT($B$1,2),1)=" ",RIGHT($B$1,1),RIGHT($B$1,2))</f>
        <v>2355</v>
      </c>
      <c r="D69" s="61"/>
      <c r="E69" s="565"/>
      <c r="F69" s="61"/>
      <c r="G69" s="61"/>
      <c r="H69" s="61"/>
      <c r="I69" s="61"/>
      <c r="J69" s="61"/>
      <c r="K69" s="61"/>
      <c r="L69" s="61"/>
      <c r="M69" s="61"/>
      <c r="N69" s="61"/>
      <c r="O69" s="61"/>
      <c r="P69" s="1042"/>
    </row>
    <row r="70" ht="14.4" customHeight="1">
      <c r="A70" s="1039"/>
      <c r="B70" s="61"/>
      <c r="C70" t="s" s="513">
        <f>IF(LEFT(RIGHT($B$1,2),1)=" ",RIGHT($B$1,1),RIGHT($B$1,2))</f>
        <v>2355</v>
      </c>
      <c r="D70" s="61"/>
      <c r="E70" s="565"/>
      <c r="F70" s="61"/>
      <c r="G70" s="61"/>
      <c r="H70" s="61"/>
      <c r="I70" s="61"/>
      <c r="J70" s="61"/>
      <c r="K70" s="61"/>
      <c r="L70" s="61"/>
      <c r="M70" s="61"/>
      <c r="N70" s="61"/>
      <c r="O70" s="61"/>
      <c r="P70" s="1042"/>
    </row>
    <row r="71" ht="30" customHeight="1">
      <c r="A71" s="1043"/>
      <c r="B71" s="512"/>
      <c r="C71" t="s" s="513">
        <f>IF(LEFT(RIGHT($B$1,2),1)=" ",RIGHT($B$1,1),RIGHT($B$1,2))</f>
        <v>2355</v>
      </c>
      <c r="D71" s="61">
        <f>IF(LEFT(F71,14)="Bonne pratique",D67+1,D67)</f>
      </c>
      <c r="E71" s="565">
        <f>C71&amp;D71&amp;RIGHT(F71,1)</f>
      </c>
      <c r="F71" t="s" s="516">
        <v>1814</v>
      </c>
      <c r="G71" s="517"/>
      <c r="H71" s="518"/>
      <c r="I71" s="519"/>
      <c r="J71" s="519">
        <f>VLOOKUP(E78,'BDD'!$A$2:$N$567,6,FALSE)</f>
      </c>
      <c r="K71" s="521"/>
      <c r="L71" s="517"/>
      <c r="M71" s="517"/>
      <c r="N71" s="517"/>
      <c r="O71" s="512"/>
      <c r="P71" s="1044"/>
    </row>
    <row r="72" ht="15" customHeight="1">
      <c r="A72" s="1039"/>
      <c r="B72" s="61"/>
      <c r="C72" t="s" s="513">
        <f>IF(LEFT(RIGHT($B$1,2),1)=" ",RIGHT($B$1,1),RIGHT($B$1,2))</f>
        <v>2355</v>
      </c>
      <c r="D72" s="61">
        <f>IF(LEFT(F72,14)="Bonne pratique",D71+1,D71)</f>
      </c>
      <c r="E72" s="565">
        <f>C72&amp;D72&amp;RIGHT(F72,1)</f>
      </c>
      <c r="F72" s="61"/>
      <c r="G72" s="61"/>
      <c r="H72" s="61"/>
      <c r="I72" s="61"/>
      <c r="J72" s="61"/>
      <c r="K72" s="61"/>
      <c r="L72" s="61"/>
      <c r="M72" s="61"/>
      <c r="N72" s="61"/>
      <c r="O72" s="61"/>
      <c r="P72" s="1042"/>
    </row>
    <row r="73" ht="18" customHeight="1">
      <c r="A73" s="1045"/>
      <c r="B73" s="524"/>
      <c r="C73" t="s" s="513">
        <f>IF(LEFT(RIGHT($B$1,2),1)=" ",RIGHT($B$1,1),RIGHT($B$1,2))</f>
        <v>2355</v>
      </c>
      <c r="D73" s="61">
        <f>IF(LEFT(F73,14)="Bonne pratique",D72+1,D72)</f>
      </c>
      <c r="E73" s="565">
        <f>C73&amp;D73&amp;RIGHT(F73,1)</f>
      </c>
      <c r="F73" s="524"/>
      <c r="G73" s="524"/>
      <c r="H73" s="524"/>
      <c r="I73" s="525"/>
      <c r="J73" t="s" s="526">
        <v>1285</v>
      </c>
      <c r="K73" s="525"/>
      <c r="L73" s="524"/>
      <c r="M73" s="524"/>
      <c r="N73" s="524"/>
      <c r="O73" s="524"/>
      <c r="P73" s="1046"/>
    </row>
    <row r="74" ht="18" customHeight="1">
      <c r="A74" s="1039"/>
      <c r="B74" s="61"/>
      <c r="C74" t="s" s="513">
        <f>IF(LEFT(RIGHT($B$1,2),1)=" ",RIGHT($B$1,1),RIGHT($B$1,2))</f>
        <v>2355</v>
      </c>
      <c r="D74" s="61">
        <f>IF(LEFT(F74,14)="Bonne pratique",D73+1,D73)</f>
      </c>
      <c r="E74" s="565">
        <f>C74&amp;D74&amp;RIGHT(F74,1)</f>
      </c>
      <c r="F74" s="61"/>
      <c r="G74" s="61"/>
      <c r="H74" s="61"/>
      <c r="I74" s="61"/>
      <c r="J74" s="528"/>
      <c r="K74" s="61"/>
      <c r="L74" s="61"/>
      <c r="M74" s="529"/>
      <c r="N74" s="529"/>
      <c r="O74" s="61"/>
      <c r="P74" s="1042"/>
    </row>
    <row r="75" ht="15" customHeight="1">
      <c r="A75" s="1039"/>
      <c r="B75" s="61"/>
      <c r="C75" t="s" s="513">
        <f>IF(LEFT(RIGHT($B$1,2),1)=" ",RIGHT($B$1,1),RIGHT($B$1,2))</f>
        <v>2355</v>
      </c>
      <c r="D75" s="61">
        <f>IF(LEFT(F75,14)="Bonne pratique",D74+1,D74)</f>
      </c>
      <c r="E75" s="565">
        <f>C75&amp;D75&amp;RIGHT(F75,1)</f>
      </c>
      <c r="F75" s="61"/>
      <c r="G75" s="529"/>
      <c r="H75" s="529"/>
      <c r="I75" s="529"/>
      <c r="J75" s="530"/>
      <c r="K75" s="529"/>
      <c r="L75" s="542"/>
      <c r="M75" t="s" s="562">
        <v>1763</v>
      </c>
      <c r="N75" s="563"/>
      <c r="O75" s="534"/>
      <c r="P75" s="1042"/>
    </row>
    <row r="76" ht="33" customHeight="1">
      <c r="A76" s="1039"/>
      <c r="B76" s="61"/>
      <c r="C76" t="s" s="513">
        <f>IF(LEFT(RIGHT($B$1,2),1)=" ",RIGHT($B$1,1),RIGHT($B$1,2))</f>
        <v>2355</v>
      </c>
      <c r="D76" s="61">
        <f>IF(LEFT(F76,14)="Bonne pratique",D75+1,D75)</f>
      </c>
      <c r="E76" s="565">
        <f>C76&amp;D76&amp;RIGHT(F76,1)</f>
      </c>
      <c r="F76" s="564"/>
      <c r="G76" t="s" s="536">
        <v>244</v>
      </c>
      <c r="H76" t="s" s="536">
        <v>1764</v>
      </c>
      <c r="I76" t="s" s="536">
        <v>1787</v>
      </c>
      <c r="J76" t="s" s="536">
        <v>1765</v>
      </c>
      <c r="K76" t="s" s="536">
        <v>1788</v>
      </c>
      <c r="L76" s="538"/>
      <c r="M76" t="s" s="539">
        <v>1766</v>
      </c>
      <c r="N76" t="s" s="540">
        <v>1767</v>
      </c>
      <c r="O76" s="534"/>
      <c r="P76" s="1042"/>
    </row>
    <row r="77" ht="15" customHeight="1">
      <c r="A77" s="1039"/>
      <c r="B77" s="61"/>
      <c r="C77" t="s" s="513">
        <f>IF(LEFT(RIGHT($B$1,2),1)=" ",RIGHT($B$1,1),RIGHT($B$1,2))</f>
        <v>2355</v>
      </c>
      <c r="D77" s="61">
        <f>IF(LEFT(F77,14)="Bonne pratique",D76+1,D76)</f>
      </c>
      <c r="E77" s="565">
        <f>C77&amp;D77&amp;RIGHT(F77,1)</f>
      </c>
      <c r="F77" s="529"/>
      <c r="G77" s="541"/>
      <c r="H77" s="541"/>
      <c r="I77" s="541"/>
      <c r="J77" s="541"/>
      <c r="K77" s="541"/>
      <c r="L77" s="61"/>
      <c r="M77" s="541"/>
      <c r="N77" s="541"/>
      <c r="O77" s="61"/>
      <c r="P77" s="1042"/>
    </row>
    <row r="78" ht="187.8" customHeight="1">
      <c r="A78" s="1039"/>
      <c r="B78" s="542"/>
      <c r="C78" t="s" s="543">
        <f>IF(LEFT(RIGHT($B$1,2),1)=" ",RIGHT($B$1,1),RIGHT($B$1,2))</f>
        <v>2355</v>
      </c>
      <c r="D78" s="550">
        <f>IF(LEFT(F78,14)="Bonne pratique",D77+1,D77)</f>
      </c>
      <c r="E78" s="566">
        <f>C78&amp;D78&amp;RIGHT(F78,1)</f>
      </c>
      <c r="F78" t="s" s="546">
        <v>1769</v>
      </c>
      <c r="G78" s="567">
        <f>_xlfn.IFERROR(IF(VLOOKUP($E78,'BDD'!$A$1:$S$567,MATCH(G$10,'BDD'!$A$1:$P$1,0),FALSE)=0,"",VLOOKUP($E78,'BDD'!$A$1:$S$567,MATCH(G$10,'BDD'!$A$1:$P$1,0),FALSE)),"")</f>
      </c>
      <c r="H78" s="568">
        <f>IF(VLOOKUP(E78,'BDD'!$A$1:$S$567,15,FALSE)=0,"Critère non évalué","")</f>
      </c>
      <c r="I78" s="569">
        <f>_xlfn.IFERROR(IF(VLOOKUP($E78,'BDD'!$A$1:$S$567,MATCH(I$10,'BDD'!$A$1:$P$1,0),FALSE)=0,"",VLOOKUP($E78,'BDD'!$A$1:$S$567,MATCH(I$10,'BDD'!$A$1:$P$1,0),FALSE)),"")</f>
      </c>
      <c r="J78" s="549"/>
      <c r="K78" s="567">
        <f>_xlfn.IFERROR(IF(VLOOKUP($E78,'BDD'!$A$1:$S$567,MATCH(K$10,'BDD'!$A$1:$P$1,0),FALSE)=0,"",VLOOKUP($E78,'BDD'!$A$1:$S$567,MATCH(K$10,'BDD'!$A$1:$P$1,0),FALSE)),"")</f>
      </c>
      <c r="L78" s="550"/>
      <c r="M78" s="551"/>
      <c r="N78" s="551"/>
      <c r="O78" s="534"/>
      <c r="P78" s="1042"/>
    </row>
    <row r="79" ht="130.05" customHeight="1">
      <c r="A79" s="1039"/>
      <c r="B79" s="542"/>
      <c r="C79" t="s" s="543">
        <f>IF(LEFT(RIGHT($B$1,2),1)=" ",RIGHT($B$1,1),RIGHT($B$1,2))</f>
        <v>2355</v>
      </c>
      <c r="D79" s="550">
        <f>IF(LEFT(F79,14)="Bonne pratique",D78+1,D78)</f>
      </c>
      <c r="E79" s="566">
        <f>C79&amp;D79&amp;RIGHT(F79,1)</f>
      </c>
      <c r="F79" t="s" s="552">
        <v>1772</v>
      </c>
      <c r="G79" s="557">
        <f>_xlfn.IFERROR(IF(VLOOKUP($E79,'BDD'!$A$1:$S$567,MATCH(G$10,'BDD'!$A$1:$P$1,0),FALSE)=0,"",VLOOKUP($E79,'BDD'!$A$1:$S$567,MATCH(G$10,'BDD'!$A$1:$P$1,0),FALSE)),"")</f>
      </c>
      <c r="H79" s="570">
        <f>IF(VLOOKUP(E79,'BDD'!$A$1:$S$567,15,FALSE)=0,"Critère non évalué","")</f>
      </c>
      <c r="I79" s="571">
        <f>_xlfn.IFERROR(IF(VLOOKUP($E79,'BDD'!$A$1:$S$567,MATCH(I$10,'BDD'!$A$1:$P$1,0),FALSE)=0,"",VLOOKUP($E79,'BDD'!$A$1:$S$567,MATCH(I$10,'BDD'!$A$1:$P$1,0),FALSE)),"")</f>
      </c>
      <c r="J79" s="554"/>
      <c r="K79" s="557">
        <f>_xlfn.IFERROR(IF(VLOOKUP($E79,'BDD'!$A$1:$S$567,MATCH(K$10,'BDD'!$A$1:$P$1,0),FALSE)=0,"",VLOOKUP($E79,'BDD'!$A$1:$S$567,MATCH(K$10,'BDD'!$A$1:$P$1,0),FALSE)),"")</f>
      </c>
      <c r="L79" s="550"/>
      <c r="M79" s="555"/>
      <c r="N79" s="555"/>
      <c r="O79" s="534"/>
      <c r="P79" s="1042"/>
    </row>
    <row r="80" ht="130.05" customHeight="1">
      <c r="A80" s="1039"/>
      <c r="B80" s="542"/>
      <c r="C80" t="s" s="543">
        <f>IF(LEFT(RIGHT($B$1,2),1)=" ",RIGHT($B$1,1),RIGHT($B$1,2))</f>
        <v>2355</v>
      </c>
      <c r="D80" s="550">
        <f>IF(LEFT(F80,14)="Bonne pratique",D79+1,D79)</f>
      </c>
      <c r="E80" s="566">
        <f>C80&amp;D80&amp;RIGHT(F80,1)</f>
      </c>
      <c r="F80" t="s" s="546">
        <v>1774</v>
      </c>
      <c r="G80" s="567">
        <f>_xlfn.IFERROR(IF(VLOOKUP($E80,'BDD'!$A$1:$S$567,MATCH(G$10,'BDD'!$A$1:$P$1,0),FALSE)=0,"",VLOOKUP($E80,'BDD'!$A$1:$S$567,MATCH(G$10,'BDD'!$A$1:$P$1,0),FALSE)),"")</f>
      </c>
      <c r="H80" s="568">
        <f>IF(VLOOKUP(E80,'BDD'!$A$1:$S$567,15,FALSE)=0,"Critère non évalué","")</f>
      </c>
      <c r="I80" s="569">
        <f>_xlfn.IFERROR(IF(VLOOKUP($E80,'BDD'!$A$1:$S$567,MATCH(I$10,'BDD'!$A$1:$P$1,0),FALSE)=0,"",VLOOKUP($E80,'BDD'!$A$1:$S$567,MATCH(I$10,'BDD'!$A$1:$P$1,0),FALSE)),"")</f>
      </c>
      <c r="J80" s="549"/>
      <c r="K80" s="567">
        <f>_xlfn.IFERROR(IF(VLOOKUP($E80,'BDD'!$A$1:$S$567,MATCH(K$10,'BDD'!$A$1:$P$1,0),FALSE)=0,"",VLOOKUP($E80,'BDD'!$A$1:$S$567,MATCH(K$10,'BDD'!$A$1:$P$1,0),FALSE)),"")</f>
      </c>
      <c r="L80" s="550"/>
      <c r="M80" s="551"/>
      <c r="N80" s="551"/>
      <c r="O80" s="534"/>
      <c r="P80" s="1042"/>
    </row>
    <row r="81" ht="130.05" customHeight="1" hidden="1">
      <c r="A81" s="1039"/>
      <c r="B81" s="542"/>
      <c r="C81" t="s" s="543">
        <f>IF(LEFT(RIGHT($B$1,2),1)=" ",RIGHT($B$1,1),RIGHT($B$1,2))</f>
        <v>2355</v>
      </c>
      <c r="D81" s="550">
        <f>IF(LEFT(F81,14)="Bonne pratique",D80+1,D80)</f>
      </c>
      <c r="E81" s="566">
        <f>C81&amp;D81&amp;RIGHT(F81,1)</f>
      </c>
      <c r="F81" t="s" s="552">
        <v>1776</v>
      </c>
      <c r="G81" s="557">
        <f>_xlfn.IFERROR(IF(VLOOKUP($E81,'BDD'!$A$1:$S$567,MATCH(G$10,'BDD'!$A$1:$P$1,0),FALSE)=0,"",VLOOKUP($E81,'BDD'!$A$1:$S$567,MATCH(G$10,'BDD'!$A$1:$P$1,0),FALSE)),"")</f>
      </c>
      <c r="H81" s="570">
        <f>IF(VLOOKUP(E81,'BDD'!$A$1:$S$567,15,FALSE)=0,"Critère non évalué","")</f>
      </c>
      <c r="I81" s="571">
        <f>_xlfn.IFERROR(IF(VLOOKUP($E81,'BDD'!$A$1:$S$567,MATCH(I$10,'BDD'!$A$1:$P$1,0),FALSE)=0,"",VLOOKUP($E81,'BDD'!$A$1:$S$567,MATCH(I$10,'BDD'!$A$1:$P$1,0),FALSE)),"")</f>
      </c>
      <c r="J81" s="556"/>
      <c r="K81" s="557">
        <f>_xlfn.IFERROR(IF(VLOOKUP($E81,'BDD'!$A$1:$S$567,MATCH(K$10,'BDD'!$A$1:$P$1,0),FALSE)=0,"",VLOOKUP($E81,'BDD'!$A$1:$S$567,MATCH(K$10,'BDD'!$A$1:$P$1,0),FALSE)),"")</f>
      </c>
      <c r="L81" s="550"/>
      <c r="M81" s="555"/>
      <c r="N81" s="555"/>
      <c r="O81" s="534"/>
      <c r="P81" s="1042"/>
    </row>
    <row r="82" ht="130.05" customHeight="1" hidden="1">
      <c r="A82" s="1039"/>
      <c r="B82" s="542"/>
      <c r="C82" t="s" s="543">
        <f>IF(LEFT(RIGHT($B$1,2),1)=" ",RIGHT($B$1,1),RIGHT($B$1,2))</f>
        <v>2355</v>
      </c>
      <c r="D82" s="550">
        <f>IF(LEFT(F82,14)="Bonne pratique",D81+1,D81)</f>
      </c>
      <c r="E82" s="566">
        <f>C82&amp;D82&amp;RIGHT(F82,1)</f>
      </c>
      <c r="F82" t="s" s="546">
        <v>1778</v>
      </c>
      <c r="G82" s="567">
        <f>_xlfn.IFERROR(IF(VLOOKUP($E82,'BDD'!$A$1:$S$567,MATCH(G$10,'BDD'!$A$1:$P$1,0),FALSE)=0,"",VLOOKUP($E82,'BDD'!$A$1:$S$567,MATCH(G$10,'BDD'!$A$1:$P$1,0),FALSE)),"")</f>
      </c>
      <c r="H82" s="568">
        <f>IF(VLOOKUP(E82,'BDD'!$A$1:$S$567,15,FALSE)=0,"Critère non évalué","")</f>
      </c>
      <c r="I82" s="569">
        <f>_xlfn.IFERROR(IF(VLOOKUP($E82,'BDD'!$A$1:$S$567,MATCH(I$10,'BDD'!$A$1:$P$1,0),FALSE)=0,"",VLOOKUP($E82,'BDD'!$A$1:$S$567,MATCH(I$10,'BDD'!$A$1:$P$1,0),FALSE)),"")</f>
      </c>
      <c r="J82" s="549"/>
      <c r="K82" s="567">
        <f>_xlfn.IFERROR(IF(VLOOKUP($E82,'BDD'!$A$1:$S$567,MATCH(K$10,'BDD'!$A$1:$P$1,0),FALSE)=0,"",VLOOKUP($E82,'BDD'!$A$1:$S$567,MATCH(K$10,'BDD'!$A$1:$P$1,0),FALSE)),"")</f>
      </c>
      <c r="L82" s="550"/>
      <c r="M82" s="557"/>
      <c r="N82" s="557"/>
      <c r="O82" s="534"/>
      <c r="P82" s="1042"/>
    </row>
    <row r="83" ht="130.05" customHeight="1" hidden="1">
      <c r="A83" s="1039"/>
      <c r="B83" s="542"/>
      <c r="C83" t="s" s="543">
        <f>IF(LEFT(RIGHT($B$1,2),1)=" ",RIGHT($B$1,1),RIGHT($B$1,2))</f>
        <v>2355</v>
      </c>
      <c r="D83" s="550">
        <f>IF(LEFT(F83,14)="Bonne pratique",D82+1,D82)</f>
      </c>
      <c r="E83" s="566">
        <f>C83&amp;D83&amp;RIGHT(F83,1)</f>
      </c>
      <c r="F83" t="s" s="552">
        <v>1780</v>
      </c>
      <c r="G83" s="557">
        <f>_xlfn.IFERROR(IF(VLOOKUP($E83,'BDD'!$A$1:$S$567,MATCH(G$10,'BDD'!$A$1:$P$1,0),FALSE)=0,"",VLOOKUP($E83,'BDD'!$A$1:$S$567,MATCH(G$10,'BDD'!$A$1:$P$1,0),FALSE)),"")</f>
      </c>
      <c r="H83" s="570">
        <f>IF(VLOOKUP(E83,'BDD'!$A$1:$S$567,15,FALSE)=0,"Critère non évalué","")</f>
      </c>
      <c r="I83" s="571">
        <f>_xlfn.IFERROR(IF(VLOOKUP($E83,'BDD'!$A$1:$S$567,MATCH(I$10,'BDD'!$A$1:$P$1,0),FALSE)=0,"",VLOOKUP($E83,'BDD'!$A$1:$S$567,MATCH(I$10,'BDD'!$A$1:$P$1,0),FALSE)),"")</f>
      </c>
      <c r="J83" s="556"/>
      <c r="K83" s="557">
        <f>_xlfn.IFERROR(IF(VLOOKUP($E83,'BDD'!$A$1:$S$567,MATCH(K$10,'BDD'!$A$1:$P$1,0),FALSE)=0,"",VLOOKUP($E83,'BDD'!$A$1:$S$567,MATCH(K$10,'BDD'!$A$1:$P$1,0),FALSE)),"")</f>
      </c>
      <c r="L83" s="550"/>
      <c r="M83" s="555"/>
      <c r="N83" s="555"/>
      <c r="O83" s="534"/>
      <c r="P83" s="1042"/>
    </row>
    <row r="84" ht="130.05" customHeight="1" hidden="1">
      <c r="A84" s="1039"/>
      <c r="B84" s="542"/>
      <c r="C84" t="s" s="543">
        <f>IF(LEFT(RIGHT($B$1,2),1)=" ",RIGHT($B$1,1),RIGHT($B$1,2))</f>
        <v>2355</v>
      </c>
      <c r="D84" s="550">
        <f>IF(LEFT(F84,14)="Bonne pratique",D83+1,D83)</f>
      </c>
      <c r="E84" s="566">
        <f>C84&amp;D84&amp;RIGHT(F84,1)</f>
      </c>
      <c r="F84" t="s" s="546">
        <v>1782</v>
      </c>
      <c r="G84" s="567">
        <f>_xlfn.IFERROR(IF(VLOOKUP($E84,'BDD'!$A$1:$S$567,MATCH(G$10,'BDD'!$A$1:$P$1,0),FALSE)=0,"",VLOOKUP($E84,'BDD'!$A$1:$S$567,MATCH(G$10,'BDD'!$A$1:$P$1,0),FALSE)),"")</f>
      </c>
      <c r="H84" s="568">
        <f>IF(VLOOKUP(E84,'BDD'!$A$1:$S$567,15,FALSE)=0,"Critère non évalué","")</f>
      </c>
      <c r="I84" s="569">
        <f>_xlfn.IFERROR(IF(VLOOKUP($E84,'BDD'!$A$1:$S$567,MATCH(I$10,'BDD'!$A$1:$P$1,0),FALSE)=0,"",VLOOKUP($E84,'BDD'!$A$1:$S$567,MATCH(I$10,'BDD'!$A$1:$P$1,0),FALSE)),"")</f>
      </c>
      <c r="J84" s="549"/>
      <c r="K84" s="567">
        <f>_xlfn.IFERROR(IF(VLOOKUP($E84,'BDD'!$A$1:$S$567,MATCH(K$10,'BDD'!$A$1:$P$1,0),FALSE)=0,"",VLOOKUP($E84,'BDD'!$A$1:$S$567,MATCH(K$10,'BDD'!$A$1:$P$1,0),FALSE)),"")</f>
      </c>
      <c r="L84" s="550"/>
      <c r="M84" s="557"/>
      <c r="N84" s="557"/>
      <c r="O84" s="534"/>
      <c r="P84" s="1042"/>
    </row>
    <row r="85" ht="14.4" customHeight="1">
      <c r="A85" s="1039"/>
      <c r="B85" s="61"/>
      <c r="C85" t="s" s="513">
        <f>IF(LEFT(RIGHT($B$1,2),1)=" ",RIGHT($B$1,1),RIGHT($B$1,2))</f>
        <v>2355</v>
      </c>
      <c r="D85" s="61"/>
      <c r="E85" s="61"/>
      <c r="F85" s="559"/>
      <c r="G85" s="559"/>
      <c r="H85" s="559"/>
      <c r="I85" s="559"/>
      <c r="J85" s="559"/>
      <c r="K85" s="559"/>
      <c r="L85" s="61"/>
      <c r="M85" s="559"/>
      <c r="N85" s="559"/>
      <c r="O85" s="61"/>
      <c r="P85" s="1042"/>
    </row>
    <row r="86" ht="14.4" customHeight="1">
      <c r="A86" s="1039"/>
      <c r="B86" s="61"/>
      <c r="C86" t="s" s="513">
        <f>IF(LEFT(RIGHT($B$1,2),1)=" ",RIGHT($B$1,1),RIGHT($B$1,2))</f>
        <v>2355</v>
      </c>
      <c r="D86" s="61"/>
      <c r="E86" s="61"/>
      <c r="F86" s="61"/>
      <c r="G86" s="61"/>
      <c r="H86" s="61"/>
      <c r="I86" s="61"/>
      <c r="J86" s="61"/>
      <c r="K86" s="61"/>
      <c r="L86" s="61"/>
      <c r="M86" s="61"/>
      <c r="N86" s="61"/>
      <c r="O86" s="61"/>
      <c r="P86" s="1042"/>
    </row>
    <row r="87" ht="30" customHeight="1">
      <c r="A87" s="1043"/>
      <c r="B87" s="512"/>
      <c r="C87" t="s" s="513">
        <f>IF(LEFT(RIGHT($B$1,2),1)=" ",RIGHT($B$1,1),RIGHT($B$1,2))</f>
        <v>2355</v>
      </c>
      <c r="D87" s="61">
        <f>IF(LEFT(F87,14)="Bonne pratique",D83+1,D83)</f>
      </c>
      <c r="E87" s="565">
        <f>C87&amp;D87&amp;RIGHT(F87,1)</f>
      </c>
      <c r="F87" t="s" s="516">
        <v>1887</v>
      </c>
      <c r="G87" s="517"/>
      <c r="H87" s="518"/>
      <c r="I87" s="519"/>
      <c r="J87" s="519">
        <f>VLOOKUP(E94,'BDD'!$A$2:$N$567,6,FALSE)</f>
      </c>
      <c r="K87" s="521"/>
      <c r="L87" s="517"/>
      <c r="M87" s="517"/>
      <c r="N87" s="517"/>
      <c r="O87" s="512"/>
      <c r="P87" s="1044"/>
    </row>
    <row r="88" ht="15" customHeight="1">
      <c r="A88" s="1039"/>
      <c r="B88" s="61"/>
      <c r="C88" t="s" s="513">
        <f>IF(LEFT(RIGHT($B$1,2),1)=" ",RIGHT($B$1,1),RIGHT($B$1,2))</f>
        <v>2355</v>
      </c>
      <c r="D88" s="61">
        <f>IF(LEFT(F88,14)="Bonne pratique",D87+1,D87)</f>
      </c>
      <c r="E88" s="565">
        <f>C88&amp;D88&amp;RIGHT(F88,1)</f>
      </c>
      <c r="F88" s="61"/>
      <c r="G88" s="61"/>
      <c r="H88" s="61"/>
      <c r="I88" s="61"/>
      <c r="J88" s="61"/>
      <c r="K88" s="61"/>
      <c r="L88" s="61"/>
      <c r="M88" s="61"/>
      <c r="N88" s="61"/>
      <c r="O88" s="61"/>
      <c r="P88" s="1042"/>
    </row>
    <row r="89" ht="18" customHeight="1">
      <c r="A89" s="1045"/>
      <c r="B89" s="524"/>
      <c r="C89" t="s" s="513">
        <f>IF(LEFT(RIGHT($B$1,2),1)=" ",RIGHT($B$1,1),RIGHT($B$1,2))</f>
        <v>2355</v>
      </c>
      <c r="D89" s="61">
        <f>IF(LEFT(F89,14)="Bonne pratique",D88+1,D88)</f>
      </c>
      <c r="E89" s="565">
        <f>C89&amp;D89&amp;RIGHT(F89,1)</f>
      </c>
      <c r="F89" s="524"/>
      <c r="G89" s="524"/>
      <c r="H89" s="524"/>
      <c r="I89" s="525"/>
      <c r="J89" t="s" s="526">
        <v>1299</v>
      </c>
      <c r="K89" s="525"/>
      <c r="L89" s="524"/>
      <c r="M89" s="524"/>
      <c r="N89" s="524"/>
      <c r="O89" s="524"/>
      <c r="P89" s="1046"/>
    </row>
    <row r="90" ht="18" customHeight="1">
      <c r="A90" s="1039"/>
      <c r="B90" s="61"/>
      <c r="C90" t="s" s="513">
        <f>IF(LEFT(RIGHT($B$1,2),1)=" ",RIGHT($B$1,1),RIGHT($B$1,2))</f>
        <v>2355</v>
      </c>
      <c r="D90" s="61">
        <f>IF(LEFT(F90,14)="Bonne pratique",D89+1,D89)</f>
      </c>
      <c r="E90" s="565">
        <f>C90&amp;D90&amp;RIGHT(F90,1)</f>
      </c>
      <c r="F90" s="61"/>
      <c r="G90" s="61"/>
      <c r="H90" s="61"/>
      <c r="I90" s="61"/>
      <c r="J90" s="528"/>
      <c r="K90" s="61"/>
      <c r="L90" s="61"/>
      <c r="M90" s="529"/>
      <c r="N90" s="529"/>
      <c r="O90" s="61"/>
      <c r="P90" s="1042"/>
    </row>
    <row r="91" ht="15" customHeight="1">
      <c r="A91" s="1039"/>
      <c r="B91" s="61"/>
      <c r="C91" t="s" s="513">
        <f>IF(LEFT(RIGHT($B$1,2),1)=" ",RIGHT($B$1,1),RIGHT($B$1,2))</f>
        <v>2355</v>
      </c>
      <c r="D91" s="61">
        <f>IF(LEFT(F91,14)="Bonne pratique",D90+1,D90)</f>
      </c>
      <c r="E91" s="565">
        <f>C91&amp;D91&amp;RIGHT(F91,1)</f>
      </c>
      <c r="F91" s="61"/>
      <c r="G91" s="529"/>
      <c r="H91" s="529"/>
      <c r="I91" s="529"/>
      <c r="J91" s="530"/>
      <c r="K91" s="529"/>
      <c r="L91" s="542"/>
      <c r="M91" t="s" s="562">
        <v>1763</v>
      </c>
      <c r="N91" s="563"/>
      <c r="O91" s="534"/>
      <c r="P91" s="1042"/>
    </row>
    <row r="92" ht="33" customHeight="1">
      <c r="A92" s="1039"/>
      <c r="B92" s="61"/>
      <c r="C92" t="s" s="513">
        <f>IF(LEFT(RIGHT($B$1,2),1)=" ",RIGHT($B$1,1),RIGHT($B$1,2))</f>
        <v>2355</v>
      </c>
      <c r="D92" s="61">
        <f>IF(LEFT(F92,14)="Bonne pratique",D91+1,D91)</f>
      </c>
      <c r="E92" s="565">
        <f>C92&amp;D92&amp;RIGHT(F92,1)</f>
      </c>
      <c r="F92" s="564"/>
      <c r="G92" t="s" s="536">
        <v>244</v>
      </c>
      <c r="H92" t="s" s="536">
        <v>1764</v>
      </c>
      <c r="I92" t="s" s="536">
        <v>1787</v>
      </c>
      <c r="J92" t="s" s="536">
        <v>1765</v>
      </c>
      <c r="K92" t="s" s="536">
        <v>1788</v>
      </c>
      <c r="L92" s="538"/>
      <c r="M92" t="s" s="539">
        <v>1766</v>
      </c>
      <c r="N92" t="s" s="540">
        <v>1767</v>
      </c>
      <c r="O92" s="534"/>
      <c r="P92" s="1042"/>
    </row>
    <row r="93" ht="15" customHeight="1">
      <c r="A93" s="1039"/>
      <c r="B93" s="61"/>
      <c r="C93" t="s" s="513">
        <f>IF(LEFT(RIGHT($B$1,2),1)=" ",RIGHT($B$1,1),RIGHT($B$1,2))</f>
        <v>2355</v>
      </c>
      <c r="D93" s="61">
        <f>IF(LEFT(F93,14)="Bonne pratique",D92+1,D92)</f>
      </c>
      <c r="E93" s="565">
        <f>C93&amp;D93&amp;RIGHT(F93,1)</f>
      </c>
      <c r="F93" s="529"/>
      <c r="G93" s="541"/>
      <c r="H93" s="541"/>
      <c r="I93" s="541"/>
      <c r="J93" s="541"/>
      <c r="K93" s="541"/>
      <c r="L93" s="61"/>
      <c r="M93" s="541"/>
      <c r="N93" s="541"/>
      <c r="O93" s="61"/>
      <c r="P93" s="1042"/>
    </row>
    <row r="94" ht="130.05" customHeight="1">
      <c r="A94" s="1039"/>
      <c r="B94" s="542"/>
      <c r="C94" t="s" s="543">
        <f>IF(LEFT(RIGHT($B$1,2),1)=" ",RIGHT($B$1,1),RIGHT($B$1,2))</f>
        <v>2355</v>
      </c>
      <c r="D94" s="550">
        <f>IF(LEFT(F94,14)="Bonne pratique",D93+1,D93)</f>
      </c>
      <c r="E94" s="566">
        <f>C94&amp;D94&amp;RIGHT(F94,1)</f>
      </c>
      <c r="F94" t="s" s="546">
        <v>1769</v>
      </c>
      <c r="G94" s="567">
        <f>_xlfn.IFERROR(IF(VLOOKUP($E94,'BDD'!$A$1:$S$567,MATCH(G$10,'BDD'!$A$1:$P$1,0),FALSE)=0,"",VLOOKUP($E94,'BDD'!$A$1:$S$567,MATCH(G$10,'BDD'!$A$1:$P$1,0),FALSE)),"")</f>
      </c>
      <c r="H94" s="568">
        <f>IF(VLOOKUP(E94,'BDD'!$A$1:$S$567,15,FALSE)=0,"Critère non évalué","")</f>
      </c>
      <c r="I94" s="569">
        <f>_xlfn.IFERROR(IF(VLOOKUP($E94,'BDD'!$A$1:$S$567,MATCH(I$10,'BDD'!$A$1:$P$1,0),FALSE)=0,"",VLOOKUP($E94,'BDD'!$A$1:$S$567,MATCH(I$10,'BDD'!$A$1:$P$1,0),FALSE)),"")</f>
      </c>
      <c r="J94" s="549"/>
      <c r="K94" s="567">
        <f>_xlfn.IFERROR(IF(VLOOKUP($E94,'BDD'!$A$1:$S$567,MATCH(K$10,'BDD'!$A$1:$P$1,0),FALSE)=0,"",VLOOKUP($E94,'BDD'!$A$1:$S$567,MATCH(K$10,'BDD'!$A$1:$P$1,0),FALSE)),"")</f>
      </c>
      <c r="L94" s="550"/>
      <c r="M94" s="551"/>
      <c r="N94" s="551"/>
      <c r="O94" s="534"/>
      <c r="P94" s="1042"/>
    </row>
    <row r="95" ht="130.05" customHeight="1">
      <c r="A95" s="1039"/>
      <c r="B95" s="542"/>
      <c r="C95" t="s" s="543">
        <f>IF(LEFT(RIGHT($B$1,2),1)=" ",RIGHT($B$1,1),RIGHT($B$1,2))</f>
        <v>2355</v>
      </c>
      <c r="D95" s="550">
        <f>IF(LEFT(F95,14)="Bonne pratique",D94+1,D94)</f>
      </c>
      <c r="E95" s="566">
        <f>C95&amp;D95&amp;RIGHT(F95,1)</f>
      </c>
      <c r="F95" t="s" s="552">
        <v>1772</v>
      </c>
      <c r="G95" s="557">
        <f>_xlfn.IFERROR(IF(VLOOKUP($E95,'BDD'!$A$1:$S$567,MATCH(G$10,'BDD'!$A$1:$P$1,0),FALSE)=0,"",VLOOKUP($E95,'BDD'!$A$1:$S$567,MATCH(G$10,'BDD'!$A$1:$P$1,0),FALSE)),"")</f>
      </c>
      <c r="H95" s="570">
        <f>IF(VLOOKUP(E95,'BDD'!$A$1:$S$567,15,FALSE)=0,"Critère non évalué","")</f>
      </c>
      <c r="I95" s="571">
        <f>_xlfn.IFERROR(IF(VLOOKUP($E95,'BDD'!$A$1:$S$567,MATCH(I$10,'BDD'!$A$1:$P$1,0),FALSE)=0,"",VLOOKUP($E95,'BDD'!$A$1:$S$567,MATCH(I$10,'BDD'!$A$1:$P$1,0),FALSE)),"")</f>
      </c>
      <c r="J95" s="554"/>
      <c r="K95" s="557">
        <f>_xlfn.IFERROR(IF(VLOOKUP($E95,'BDD'!$A$1:$S$567,MATCH(K$10,'BDD'!$A$1:$P$1,0),FALSE)=0,"",VLOOKUP($E95,'BDD'!$A$1:$S$567,MATCH(K$10,'BDD'!$A$1:$P$1,0),FALSE)),"")</f>
      </c>
      <c r="L95" s="550"/>
      <c r="M95" s="555"/>
      <c r="N95" s="555"/>
      <c r="O95" s="534"/>
      <c r="P95" s="1042"/>
    </row>
    <row r="96" ht="130.05" customHeight="1">
      <c r="A96" s="1039"/>
      <c r="B96" s="542"/>
      <c r="C96" t="s" s="543">
        <f>IF(LEFT(RIGHT($B$1,2),1)=" ",RIGHT($B$1,1),RIGHT($B$1,2))</f>
        <v>2355</v>
      </c>
      <c r="D96" s="550">
        <f>IF(LEFT(F96,14)="Bonne pratique",D95+1,D95)</f>
      </c>
      <c r="E96" s="566">
        <f>C96&amp;D96&amp;RIGHT(F96,1)</f>
      </c>
      <c r="F96" t="s" s="546">
        <v>1774</v>
      </c>
      <c r="G96" s="567">
        <f>_xlfn.IFERROR(IF(VLOOKUP($E96,'BDD'!$A$1:$S$567,MATCH(G$10,'BDD'!$A$1:$P$1,0),FALSE)=0,"",VLOOKUP($E96,'BDD'!$A$1:$S$567,MATCH(G$10,'BDD'!$A$1:$P$1,0),FALSE)),"")</f>
      </c>
      <c r="H96" s="568">
        <f>IF(VLOOKUP(E96,'BDD'!$A$1:$S$567,15,FALSE)=0,"Critère non évalué","")</f>
      </c>
      <c r="I96" s="569">
        <f>_xlfn.IFERROR(IF(VLOOKUP($E96,'BDD'!$A$1:$S$567,MATCH(I$10,'BDD'!$A$1:$P$1,0),FALSE)=0,"",VLOOKUP($E96,'BDD'!$A$1:$S$567,MATCH(I$10,'BDD'!$A$1:$P$1,0),FALSE)),"")</f>
      </c>
      <c r="J96" s="549"/>
      <c r="K96" s="567">
        <f>_xlfn.IFERROR(IF(VLOOKUP($E96,'BDD'!$A$1:$S$567,MATCH(K$10,'BDD'!$A$1:$P$1,0),FALSE)=0,"",VLOOKUP($E96,'BDD'!$A$1:$S$567,MATCH(K$10,'BDD'!$A$1:$P$1,0),FALSE)),"")</f>
      </c>
      <c r="L96" s="550"/>
      <c r="M96" s="551"/>
      <c r="N96" s="551"/>
      <c r="O96" s="534"/>
      <c r="P96" s="1042"/>
    </row>
    <row r="97" ht="130.05" customHeight="1">
      <c r="A97" s="1039"/>
      <c r="B97" s="542"/>
      <c r="C97" t="s" s="543">
        <f>IF(LEFT(RIGHT($B$1,2),1)=" ",RIGHT($B$1,1),RIGHT($B$1,2))</f>
        <v>2355</v>
      </c>
      <c r="D97" s="550">
        <f>IF(LEFT(F97,14)="Bonne pratique",D96+1,D96)</f>
      </c>
      <c r="E97" s="566">
        <f>C97&amp;D97&amp;RIGHT(F97,1)</f>
      </c>
      <c r="F97" t="s" s="552">
        <v>1776</v>
      </c>
      <c r="G97" s="557">
        <f>_xlfn.IFERROR(IF(VLOOKUP($E97,'BDD'!$A$1:$S$567,MATCH(G$10,'BDD'!$A$1:$P$1,0),FALSE)=0,"",VLOOKUP($E97,'BDD'!$A$1:$S$567,MATCH(G$10,'BDD'!$A$1:$P$1,0),FALSE)),"")</f>
      </c>
      <c r="H97" s="570">
        <f>IF(VLOOKUP(E97,'BDD'!$A$1:$S$567,15,FALSE)=0,"Critère non évalué","")</f>
      </c>
      <c r="I97" s="571">
        <f>_xlfn.IFERROR(IF(VLOOKUP($E97,'BDD'!$A$1:$S$567,MATCH(I$10,'BDD'!$A$1:$P$1,0),FALSE)=0,"",VLOOKUP($E97,'BDD'!$A$1:$S$567,MATCH(I$10,'BDD'!$A$1:$P$1,0),FALSE)),"")</f>
      </c>
      <c r="J97" s="556"/>
      <c r="K97" s="557">
        <f>_xlfn.IFERROR(IF(VLOOKUP($E97,'BDD'!$A$1:$S$567,MATCH(K$10,'BDD'!$A$1:$P$1,0),FALSE)=0,"",VLOOKUP($E97,'BDD'!$A$1:$S$567,MATCH(K$10,'BDD'!$A$1:$P$1,0),FALSE)),"")</f>
      </c>
      <c r="L97" s="550"/>
      <c r="M97" s="555"/>
      <c r="N97" s="555"/>
      <c r="O97" s="534"/>
      <c r="P97" s="1042"/>
    </row>
    <row r="98" ht="130.05" customHeight="1">
      <c r="A98" s="1039"/>
      <c r="B98" s="542"/>
      <c r="C98" t="s" s="543">
        <f>IF(LEFT(RIGHT($B$1,2),1)=" ",RIGHT($B$1,1),RIGHT($B$1,2))</f>
        <v>2355</v>
      </c>
      <c r="D98" s="550">
        <f>IF(LEFT(F98,14)="Bonne pratique",D97+1,D97)</f>
      </c>
      <c r="E98" s="566">
        <f>C98&amp;D98&amp;RIGHT(F98,1)</f>
      </c>
      <c r="F98" t="s" s="546">
        <v>1778</v>
      </c>
      <c r="G98" s="567">
        <f>_xlfn.IFERROR(IF(VLOOKUP($E98,'BDD'!$A$1:$S$567,MATCH(G$10,'BDD'!$A$1:$P$1,0),FALSE)=0,"",VLOOKUP($E98,'BDD'!$A$1:$S$567,MATCH(G$10,'BDD'!$A$1:$P$1,0),FALSE)),"")</f>
      </c>
      <c r="H98" s="568">
        <f>IF(VLOOKUP(E98,'BDD'!$A$1:$S$567,15,FALSE)=0,"Critère non évalué","")</f>
      </c>
      <c r="I98" s="569">
        <f>_xlfn.IFERROR(IF(VLOOKUP($E98,'BDD'!$A$1:$S$567,MATCH(I$10,'BDD'!$A$1:$P$1,0),FALSE)=0,"",VLOOKUP($E98,'BDD'!$A$1:$S$567,MATCH(I$10,'BDD'!$A$1:$P$1,0),FALSE)),"")</f>
      </c>
      <c r="J98" s="549"/>
      <c r="K98" s="567">
        <f>_xlfn.IFERROR(IF(VLOOKUP($E98,'BDD'!$A$1:$S$567,MATCH(K$10,'BDD'!$A$1:$P$1,0),FALSE)=0,"",VLOOKUP($E98,'BDD'!$A$1:$S$567,MATCH(K$10,'BDD'!$A$1:$P$1,0),FALSE)),"")</f>
      </c>
      <c r="L98" s="550"/>
      <c r="M98" s="557"/>
      <c r="N98" s="557"/>
      <c r="O98" s="534"/>
      <c r="P98" s="1042"/>
    </row>
    <row r="99" ht="130.05" customHeight="1">
      <c r="A99" s="1039"/>
      <c r="B99" s="542"/>
      <c r="C99" t="s" s="543">
        <f>IF(LEFT(RIGHT($B$1,2),1)=" ",RIGHT($B$1,1),RIGHT($B$1,2))</f>
        <v>2355</v>
      </c>
      <c r="D99" s="550">
        <f>IF(LEFT(F99,14)="Bonne pratique",D98+1,D98)</f>
      </c>
      <c r="E99" s="566">
        <f>C99&amp;D99&amp;RIGHT(F99,1)</f>
      </c>
      <c r="F99" t="s" s="552">
        <v>1780</v>
      </c>
      <c r="G99" s="557">
        <f>_xlfn.IFERROR(IF(VLOOKUP($E99,'BDD'!$A$1:$S$567,MATCH(G$10,'BDD'!$A$1:$P$1,0),FALSE)=0,"",VLOOKUP($E99,'BDD'!$A$1:$S$567,MATCH(G$10,'BDD'!$A$1:$P$1,0),FALSE)),"")</f>
      </c>
      <c r="H99" s="570">
        <f>IF(VLOOKUP(E99,'BDD'!$A$1:$S$567,15,FALSE)=0,"Critère non évalué","")</f>
      </c>
      <c r="I99" s="571">
        <f>_xlfn.IFERROR(IF(VLOOKUP($E99,'BDD'!$A$1:$S$567,MATCH(I$10,'BDD'!$A$1:$P$1,0),FALSE)=0,"",VLOOKUP($E99,'BDD'!$A$1:$S$567,MATCH(I$10,'BDD'!$A$1:$P$1,0),FALSE)),"")</f>
      </c>
      <c r="J99" s="556"/>
      <c r="K99" s="557">
        <f>_xlfn.IFERROR(IF(VLOOKUP($E99,'BDD'!$A$1:$S$567,MATCH(K$10,'BDD'!$A$1:$P$1,0),FALSE)=0,"",VLOOKUP($E99,'BDD'!$A$1:$S$567,MATCH(K$10,'BDD'!$A$1:$P$1,0),FALSE)),"")</f>
      </c>
      <c r="L99" s="550"/>
      <c r="M99" s="555"/>
      <c r="N99" s="555"/>
      <c r="O99" s="534"/>
      <c r="P99" s="1042"/>
    </row>
    <row r="100" ht="130.05" customHeight="1" hidden="1">
      <c r="A100" s="1039"/>
      <c r="B100" s="542"/>
      <c r="C100" t="s" s="543">
        <f>IF(LEFT(RIGHT($B$1,2),1)=" ",RIGHT($B$1,1),RIGHT($B$1,2))</f>
        <v>2355</v>
      </c>
      <c r="D100" s="550">
        <f>IF(LEFT(F100,14)="Bonne pratique",D99+1,D99)</f>
      </c>
      <c r="E100" s="566">
        <f>C100&amp;D100&amp;RIGHT(F100,1)</f>
      </c>
      <c r="F100" t="s" s="546">
        <v>1782</v>
      </c>
      <c r="G100" s="567">
        <f>_xlfn.IFERROR(IF(VLOOKUP($E100,'BDD'!$A$1:$S$567,MATCH(G$10,'BDD'!$A$1:$P$1,0),FALSE)=0,"",VLOOKUP($E100,'BDD'!$A$1:$S$567,MATCH(G$10,'BDD'!$A$1:$P$1,0),FALSE)),"")</f>
      </c>
      <c r="H100" s="568">
        <f>IF(VLOOKUP(E100,'BDD'!$A$1:$S$567,15,FALSE)=0,"Critère non évalué","")</f>
      </c>
      <c r="I100" s="569">
        <f>_xlfn.IFERROR(IF(VLOOKUP($E100,'BDD'!$A$1:$S$567,MATCH(I$10,'BDD'!$A$1:$P$1,0),FALSE)=0,"",VLOOKUP($E100,'BDD'!$A$1:$S$567,MATCH(I$10,'BDD'!$A$1:$P$1,0),FALSE)),"")</f>
      </c>
      <c r="J100" s="549"/>
      <c r="K100" s="567">
        <f>_xlfn.IFERROR(IF(VLOOKUP($E100,'BDD'!$A$1:$S$567,MATCH(K$10,'BDD'!$A$1:$P$1,0),FALSE)=0,"",VLOOKUP($E100,'BDD'!$A$1:$S$567,MATCH(K$10,'BDD'!$A$1:$P$1,0),FALSE)),"")</f>
      </c>
      <c r="L100" s="550"/>
      <c r="M100" s="557"/>
      <c r="N100" s="557"/>
      <c r="O100" s="534"/>
      <c r="P100" s="1042"/>
    </row>
    <row r="101" ht="14.4" customHeight="1">
      <c r="A101" s="1039"/>
      <c r="B101" s="61"/>
      <c r="C101" t="s" s="513">
        <f>IF(LEFT(RIGHT($B$1,2),1)=" ",RIGHT($B$1,1),RIGHT($B$1,2))</f>
        <v>2355</v>
      </c>
      <c r="D101" s="61"/>
      <c r="E101" s="61"/>
      <c r="F101" s="541"/>
      <c r="G101" s="541"/>
      <c r="H101" s="541"/>
      <c r="I101" s="541"/>
      <c r="J101" s="541"/>
      <c r="K101" s="541"/>
      <c r="L101" s="61"/>
      <c r="M101" s="541"/>
      <c r="N101" s="541"/>
      <c r="O101" s="61"/>
      <c r="P101" s="1042"/>
    </row>
    <row r="102" ht="14.4" customHeight="1" hidden="1">
      <c r="A102" s="1039"/>
      <c r="B102" s="61"/>
      <c r="C102" t="s" s="513">
        <f>IF(LEFT(RIGHT($B$1,2),1)=" ",RIGHT($B$1,1),RIGHT($B$1,2))</f>
        <v>2355</v>
      </c>
      <c r="D102" s="61"/>
      <c r="E102" s="61"/>
      <c r="F102" s="541"/>
      <c r="G102" s="541"/>
      <c r="H102" s="541"/>
      <c r="I102" s="541"/>
      <c r="J102" s="541"/>
      <c r="K102" s="541"/>
      <c r="L102" s="61"/>
      <c r="M102" s="541"/>
      <c r="N102" s="541"/>
      <c r="O102" s="61"/>
      <c r="P102" s="1042"/>
    </row>
    <row r="103" ht="30" customHeight="1" hidden="1">
      <c r="A103" s="1043"/>
      <c r="B103" s="512"/>
      <c r="C103" t="s" s="513">
        <f>IF(LEFT(RIGHT($B$1,2),1)=" ",RIGHT($B$1,1),RIGHT($B$1,2))</f>
        <v>2355</v>
      </c>
      <c r="D103" s="61">
        <f>IF(LEFT(F103,14)="Bonne pratique",D99+1,D99)</f>
      </c>
      <c r="E103" s="565">
        <f>C103&amp;D103&amp;RIGHT(F103,1)</f>
      </c>
      <c r="F103" t="s" s="828">
        <v>1888</v>
      </c>
      <c r="G103" s="829"/>
      <c r="H103" s="830"/>
      <c r="I103" s="831"/>
      <c r="J103" s="831">
        <f>VLOOKUP(E110,'BDD'!$A$2:$N$567,6,FALSE)</f>
      </c>
      <c r="K103" s="832"/>
      <c r="L103" s="517"/>
      <c r="M103" s="829"/>
      <c r="N103" s="829"/>
      <c r="O103" s="512"/>
      <c r="P103" s="1044"/>
    </row>
    <row r="104" ht="9" customHeight="1" hidden="1">
      <c r="A104" s="1039"/>
      <c r="B104" s="61"/>
      <c r="C104" t="s" s="513">
        <f>IF(LEFT(RIGHT($B$1,2),1)=" ",RIGHT($B$1,1),RIGHT($B$1,2))</f>
        <v>2355</v>
      </c>
      <c r="D104" s="61">
        <f>IF(LEFT(F104,14)="Bonne pratique",D103+1,D103)</f>
      </c>
      <c r="E104" s="565">
        <f>C104&amp;D104&amp;RIGHT(F104,1)</f>
      </c>
      <c r="F104" s="541"/>
      <c r="G104" s="541"/>
      <c r="H104" s="541"/>
      <c r="I104" s="541"/>
      <c r="J104" s="541"/>
      <c r="K104" s="541"/>
      <c r="L104" s="61"/>
      <c r="M104" s="541"/>
      <c r="N104" s="541"/>
      <c r="O104" s="61"/>
      <c r="P104" s="1042"/>
    </row>
    <row r="105" ht="18" customHeight="1" hidden="1">
      <c r="A105" s="1045"/>
      <c r="B105" s="524"/>
      <c r="C105" t="s" s="513">
        <f>IF(LEFT(RIGHT($B$1,2),1)=" ",RIGHT($B$1,1),RIGHT($B$1,2))</f>
        <v>2355</v>
      </c>
      <c r="D105" s="61">
        <f>IF(LEFT(F105,14)="Bonne pratique",D104+1,D104)</f>
      </c>
      <c r="E105" s="565">
        <f>C105&amp;D105&amp;RIGHT(F105,1)</f>
      </c>
      <c r="F105" s="833"/>
      <c r="G105" s="833"/>
      <c r="H105" s="833"/>
      <c r="I105" s="834"/>
      <c r="J105" s="835"/>
      <c r="K105" s="834"/>
      <c r="L105" s="524"/>
      <c r="M105" s="833"/>
      <c r="N105" s="833"/>
      <c r="O105" s="524"/>
      <c r="P105" s="1046"/>
    </row>
    <row r="106" ht="18" customHeight="1" hidden="1">
      <c r="A106" s="1039"/>
      <c r="B106" s="61"/>
      <c r="C106" t="s" s="513">
        <f>IF(LEFT(RIGHT($B$1,2),1)=" ",RIGHT($B$1,1),RIGHT($B$1,2))</f>
        <v>2355</v>
      </c>
      <c r="D106" s="61">
        <f>IF(LEFT(F106,14)="Bonne pratique",D105+1,D105)</f>
      </c>
      <c r="E106" s="565">
        <f>C106&amp;D106&amp;RIGHT(F106,1)</f>
      </c>
      <c r="F106" s="541"/>
      <c r="G106" s="541"/>
      <c r="H106" s="541"/>
      <c r="I106" s="541"/>
      <c r="J106" s="836"/>
      <c r="K106" s="541"/>
      <c r="L106" s="61"/>
      <c r="M106" s="541"/>
      <c r="N106" s="541"/>
      <c r="O106" s="61"/>
      <c r="P106" s="1042"/>
    </row>
    <row r="107" ht="9" customHeight="1" hidden="1">
      <c r="A107" s="1039"/>
      <c r="B107" s="61"/>
      <c r="C107" t="s" s="513">
        <f>IF(LEFT(RIGHT($B$1,2),1)=" ",RIGHT($B$1,1),RIGHT($B$1,2))</f>
        <v>2355</v>
      </c>
      <c r="D107" s="61">
        <f>IF(LEFT(F107,14)="Bonne pratique",D106+1,D106)</f>
      </c>
      <c r="E107" s="565">
        <f>C107&amp;D107&amp;RIGHT(F107,1)</f>
      </c>
      <c r="F107" s="541"/>
      <c r="G107" s="541"/>
      <c r="H107" s="541"/>
      <c r="I107" s="541"/>
      <c r="J107" s="837"/>
      <c r="K107" s="541"/>
      <c r="L107" s="542"/>
      <c r="M107" t="s" s="562">
        <v>1763</v>
      </c>
      <c r="N107" s="563"/>
      <c r="O107" s="534"/>
      <c r="P107" s="1042"/>
    </row>
    <row r="108" ht="33" customHeight="1" hidden="1">
      <c r="A108" s="1039"/>
      <c r="B108" s="61"/>
      <c r="C108" t="s" s="513">
        <f>IF(LEFT(RIGHT($B$1,2),1)=" ",RIGHT($B$1,1),RIGHT($B$1,2))</f>
        <v>2355</v>
      </c>
      <c r="D108" s="61">
        <f>IF(LEFT(F108,14)="Bonne pratique",D107+1,D107)</f>
      </c>
      <c r="E108" s="565">
        <f>C108&amp;D108&amp;RIGHT(F108,1)</f>
      </c>
      <c r="F108" s="838"/>
      <c r="G108" t="s" s="536">
        <v>244</v>
      </c>
      <c r="H108" t="s" s="536">
        <v>1764</v>
      </c>
      <c r="I108" t="s" s="536">
        <v>1787</v>
      </c>
      <c r="J108" t="s" s="536">
        <v>1765</v>
      </c>
      <c r="K108" t="s" s="536">
        <v>1788</v>
      </c>
      <c r="L108" s="538"/>
      <c r="M108" t="s" s="539">
        <v>1766</v>
      </c>
      <c r="N108" t="s" s="540">
        <v>1767</v>
      </c>
      <c r="O108" s="534"/>
      <c r="P108" s="1042"/>
    </row>
    <row r="109" ht="9" customHeight="1" hidden="1">
      <c r="A109" s="1039"/>
      <c r="B109" s="61"/>
      <c r="C109" t="s" s="513">
        <f>IF(LEFT(RIGHT($B$1,2),1)=" ",RIGHT($B$1,1),RIGHT($B$1,2))</f>
        <v>2355</v>
      </c>
      <c r="D109" s="61">
        <f>IF(LEFT(F109,14)="Bonne pratique",D108+1,D108)</f>
      </c>
      <c r="E109" s="565">
        <f>C109&amp;D109&amp;RIGHT(F109,1)</f>
      </c>
      <c r="F109" s="541"/>
      <c r="G109" s="541"/>
      <c r="H109" s="541"/>
      <c r="I109" s="541"/>
      <c r="J109" s="541"/>
      <c r="K109" s="541"/>
      <c r="L109" s="61"/>
      <c r="M109" s="541"/>
      <c r="N109" s="541"/>
      <c r="O109" s="61"/>
      <c r="P109" s="1042"/>
    </row>
    <row r="110" ht="130.05" customHeight="1" hidden="1">
      <c r="A110" s="1039"/>
      <c r="B110" s="542"/>
      <c r="C110" t="s" s="543">
        <f>IF(LEFT(RIGHT($B$1,2),1)=" ",RIGHT($B$1,1),RIGHT($B$1,2))</f>
        <v>2355</v>
      </c>
      <c r="D110" s="550">
        <f>IF(LEFT(F110,14)="Bonne pratique",D109+1,D109)</f>
      </c>
      <c r="E110" s="566">
        <f>C110&amp;D110&amp;RIGHT(F110,1)</f>
      </c>
      <c r="F110" t="s" s="546">
        <v>1769</v>
      </c>
      <c r="G110" s="567">
        <f>_xlfn.IFERROR(IF(VLOOKUP($E110,'BDD'!$A$1:$S$567,MATCH(G$10,'BDD'!$A$1:$P$1,0),FALSE)=0,"",VLOOKUP($E110,'BDD'!$A$1:$S$567,MATCH(G$10,'BDD'!$A$1:$P$1,0),FALSE)),"")</f>
      </c>
      <c r="H110" s="568">
        <f>IF(VLOOKUP(E110,'BDD'!$A$1:$S$567,15,FALSE)=0,"Critère non évalué","")</f>
      </c>
      <c r="I110" s="569">
        <f>_xlfn.IFERROR(IF(VLOOKUP($E110,'BDD'!$A$1:$S$567,MATCH(I$10,'BDD'!$A$1:$P$1,0),FALSE)=0,"",VLOOKUP($E110,'BDD'!$A$1:$S$567,MATCH(I$10,'BDD'!$A$1:$P$1,0),FALSE)),"")</f>
      </c>
      <c r="J110" s="549"/>
      <c r="K110" s="567">
        <f>_xlfn.IFERROR(IF(VLOOKUP($E110,'BDD'!$A$1:$S$567,MATCH(K$10,'BDD'!$A$1:$P$1,0),FALSE)=0,"",VLOOKUP($E110,'BDD'!$A$1:$S$567,MATCH(K$10,'BDD'!$A$1:$P$1,0),FALSE)),"")</f>
      </c>
      <c r="L110" s="550"/>
      <c r="M110" s="551"/>
      <c r="N110" s="551"/>
      <c r="O110" s="534"/>
      <c r="P110" s="1042"/>
    </row>
    <row r="111" ht="130.05" customHeight="1" hidden="1">
      <c r="A111" s="1039"/>
      <c r="B111" s="542"/>
      <c r="C111" t="s" s="543">
        <f>IF(LEFT(RIGHT($B$1,2),1)=" ",RIGHT($B$1,1),RIGHT($B$1,2))</f>
        <v>2355</v>
      </c>
      <c r="D111" s="550">
        <f>IF(LEFT(F111,14)="Bonne pratique",D110+1,D110)</f>
      </c>
      <c r="E111" s="566">
        <f>C111&amp;D111&amp;RIGHT(F111,1)</f>
      </c>
      <c r="F111" t="s" s="552">
        <v>1772</v>
      </c>
      <c r="G111" s="557">
        <f>_xlfn.IFERROR(IF(VLOOKUP($E111,'BDD'!$A$1:$S$567,MATCH(G$10,'BDD'!$A$1:$P$1,0),FALSE)=0,"",VLOOKUP($E111,'BDD'!$A$1:$S$567,MATCH(G$10,'BDD'!$A$1:$P$1,0),FALSE)),"")</f>
      </c>
      <c r="H111" s="570">
        <f>IF(VLOOKUP(E111,'BDD'!$A$1:$S$567,15,FALSE)=0,"Critère non évalué","")</f>
      </c>
      <c r="I111" s="571">
        <f>_xlfn.IFERROR(IF(VLOOKUP($E111,'BDD'!$A$1:$S$567,MATCH(I$10,'BDD'!$A$1:$P$1,0),FALSE)=0,"",VLOOKUP($E111,'BDD'!$A$1:$S$567,MATCH(I$10,'BDD'!$A$1:$P$1,0),FALSE)),"")</f>
      </c>
      <c r="J111" s="554"/>
      <c r="K111" s="557">
        <f>_xlfn.IFERROR(IF(VLOOKUP($E111,'BDD'!$A$1:$S$567,MATCH(K$10,'BDD'!$A$1:$P$1,0),FALSE)=0,"",VLOOKUP($E111,'BDD'!$A$1:$S$567,MATCH(K$10,'BDD'!$A$1:$P$1,0),FALSE)),"")</f>
      </c>
      <c r="L111" s="550"/>
      <c r="M111" s="555"/>
      <c r="N111" s="555"/>
      <c r="O111" s="534"/>
      <c r="P111" s="1042"/>
    </row>
    <row r="112" ht="130.05" customHeight="1" hidden="1">
      <c r="A112" s="1039"/>
      <c r="B112" s="542"/>
      <c r="C112" t="s" s="543">
        <f>IF(LEFT(RIGHT($B$1,2),1)=" ",RIGHT($B$1,1),RIGHT($B$1,2))</f>
        <v>2355</v>
      </c>
      <c r="D112" s="550">
        <f>IF(LEFT(F112,14)="Bonne pratique",D111+1,D111)</f>
      </c>
      <c r="E112" s="566">
        <f>C112&amp;D112&amp;RIGHT(F112,1)</f>
      </c>
      <c r="F112" t="s" s="546">
        <v>1774</v>
      </c>
      <c r="G112" s="567">
        <f>_xlfn.IFERROR(IF(VLOOKUP($E112,'BDD'!$A$1:$S$567,MATCH(G$10,'BDD'!$A$1:$P$1,0),FALSE)=0,"",VLOOKUP($E112,'BDD'!$A$1:$S$567,MATCH(G$10,'BDD'!$A$1:$P$1,0),FALSE)),"")</f>
      </c>
      <c r="H112" s="568">
        <f>IF(VLOOKUP(E112,'BDD'!$A$1:$S$567,15,FALSE)=0,"Critère non évalué","")</f>
      </c>
      <c r="I112" s="569">
        <f>_xlfn.IFERROR(IF(VLOOKUP($E112,'BDD'!$A$1:$S$567,MATCH(I$10,'BDD'!$A$1:$P$1,0),FALSE)=0,"",VLOOKUP($E112,'BDD'!$A$1:$S$567,MATCH(I$10,'BDD'!$A$1:$P$1,0),FALSE)),"")</f>
      </c>
      <c r="J112" s="549"/>
      <c r="K112" s="567">
        <f>_xlfn.IFERROR(IF(VLOOKUP($E112,'BDD'!$A$1:$S$567,MATCH(K$10,'BDD'!$A$1:$P$1,0),FALSE)=0,"",VLOOKUP($E112,'BDD'!$A$1:$S$567,MATCH(K$10,'BDD'!$A$1:$P$1,0),FALSE)),"")</f>
      </c>
      <c r="L112" s="550"/>
      <c r="M112" s="551"/>
      <c r="N112" s="551"/>
      <c r="O112" s="534"/>
      <c r="P112" s="1042"/>
    </row>
    <row r="113" ht="130.05" customHeight="1" hidden="1">
      <c r="A113" s="1039"/>
      <c r="B113" s="542"/>
      <c r="C113" t="s" s="543">
        <f>IF(LEFT(RIGHT($B$1,2),1)=" ",RIGHT($B$1,1),RIGHT($B$1,2))</f>
        <v>2355</v>
      </c>
      <c r="D113" s="550">
        <f>IF(LEFT(F113,14)="Bonne pratique",D112+1,D112)</f>
      </c>
      <c r="E113" s="566">
        <f>C113&amp;D113&amp;RIGHT(F113,1)</f>
      </c>
      <c r="F113" t="s" s="552">
        <v>1776</v>
      </c>
      <c r="G113" s="557">
        <f>_xlfn.IFERROR(IF(VLOOKUP($E113,'BDD'!$A$1:$S$567,MATCH(G$10,'BDD'!$A$1:$P$1,0),FALSE)=0,"",VLOOKUP($E113,'BDD'!$A$1:$S$567,MATCH(G$10,'BDD'!$A$1:$P$1,0),FALSE)),"")</f>
      </c>
      <c r="H113" s="570">
        <f>IF(VLOOKUP(E113,'BDD'!$A$1:$S$567,15,FALSE)=0,"Critère non évalué","")</f>
      </c>
      <c r="I113" s="571">
        <f>_xlfn.IFERROR(IF(VLOOKUP($E113,'BDD'!$A$1:$S$567,MATCH(I$10,'BDD'!$A$1:$P$1,0),FALSE)=0,"",VLOOKUP($E113,'BDD'!$A$1:$S$567,MATCH(I$10,'BDD'!$A$1:$P$1,0),FALSE)),"")</f>
      </c>
      <c r="J113" s="556"/>
      <c r="K113" s="557">
        <f>_xlfn.IFERROR(IF(VLOOKUP($E113,'BDD'!$A$1:$S$567,MATCH(K$10,'BDD'!$A$1:$P$1,0),FALSE)=0,"",VLOOKUP($E113,'BDD'!$A$1:$S$567,MATCH(K$10,'BDD'!$A$1:$P$1,0),FALSE)),"")</f>
      </c>
      <c r="L113" s="550"/>
      <c r="M113" s="555"/>
      <c r="N113" s="555"/>
      <c r="O113" s="534"/>
      <c r="P113" s="1042"/>
    </row>
    <row r="114" ht="130.05" customHeight="1" hidden="1">
      <c r="A114" s="1039"/>
      <c r="B114" s="542"/>
      <c r="C114" t="s" s="543">
        <f>IF(LEFT(RIGHT($B$1,2),1)=" ",RIGHT($B$1,1),RIGHT($B$1,2))</f>
        <v>2355</v>
      </c>
      <c r="D114" s="550">
        <f>IF(LEFT(F114,14)="Bonne pratique",D113+1,D113)</f>
      </c>
      <c r="E114" s="566">
        <f>C114&amp;D114&amp;RIGHT(F114,1)</f>
      </c>
      <c r="F114" t="s" s="546">
        <v>1778</v>
      </c>
      <c r="G114" s="567">
        <f>_xlfn.IFERROR(IF(VLOOKUP($E114,'BDD'!$A$1:$S$567,MATCH(G$10,'BDD'!$A$1:$P$1,0),FALSE)=0,"",VLOOKUP($E114,'BDD'!$A$1:$S$567,MATCH(G$10,'BDD'!$A$1:$P$1,0),FALSE)),"")</f>
      </c>
      <c r="H114" s="568">
        <f>IF(VLOOKUP(E114,'BDD'!$A$1:$S$567,15,FALSE)=0,"Critère non évalué","")</f>
      </c>
      <c r="I114" s="569">
        <f>_xlfn.IFERROR(IF(VLOOKUP($E114,'BDD'!$A$1:$S$567,MATCH(I$10,'BDD'!$A$1:$P$1,0),FALSE)=0,"",VLOOKUP($E114,'BDD'!$A$1:$S$567,MATCH(I$10,'BDD'!$A$1:$P$1,0),FALSE)),"")</f>
      </c>
      <c r="J114" s="549"/>
      <c r="K114" s="567">
        <f>_xlfn.IFERROR(IF(VLOOKUP($E114,'BDD'!$A$1:$S$567,MATCH(K$10,'BDD'!$A$1:$P$1,0),FALSE)=0,"",VLOOKUP($E114,'BDD'!$A$1:$S$567,MATCH(K$10,'BDD'!$A$1:$P$1,0),FALSE)),"")</f>
      </c>
      <c r="L114" s="550"/>
      <c r="M114" s="557"/>
      <c r="N114" s="557"/>
      <c r="O114" s="534"/>
      <c r="P114" s="1042"/>
    </row>
    <row r="115" ht="130.05" customHeight="1" hidden="1">
      <c r="A115" s="1039"/>
      <c r="B115" s="542"/>
      <c r="C115" t="s" s="543">
        <f>IF(LEFT(RIGHT($B$1,2),1)=" ",RIGHT($B$1,1),RIGHT($B$1,2))</f>
        <v>2355</v>
      </c>
      <c r="D115" s="550">
        <f>IF(LEFT(F115,14)="Bonne pratique",D114+1,D114)</f>
      </c>
      <c r="E115" s="566">
        <f>C115&amp;D115&amp;RIGHT(F115,1)</f>
      </c>
      <c r="F115" t="s" s="552">
        <v>1780</v>
      </c>
      <c r="G115" s="557">
        <f>_xlfn.IFERROR(IF(VLOOKUP($E115,'BDD'!$A$1:$S$567,MATCH(G$10,'BDD'!$A$1:$P$1,0),FALSE)=0,"",VLOOKUP($E115,'BDD'!$A$1:$S$567,MATCH(G$10,'BDD'!$A$1:$P$1,0),FALSE)),"")</f>
      </c>
      <c r="H115" s="570">
        <f>IF(VLOOKUP(E115,'BDD'!$A$1:$S$567,15,FALSE)=0,"Critère non évalué","")</f>
      </c>
      <c r="I115" s="571">
        <f>_xlfn.IFERROR(IF(VLOOKUP($E115,'BDD'!$A$1:$S$567,MATCH(I$10,'BDD'!$A$1:$P$1,0),FALSE)=0,"",VLOOKUP($E115,'BDD'!$A$1:$S$567,MATCH(I$10,'BDD'!$A$1:$P$1,0),FALSE)),"")</f>
      </c>
      <c r="J115" s="556"/>
      <c r="K115" s="557">
        <f>_xlfn.IFERROR(IF(VLOOKUP($E115,'BDD'!$A$1:$S$567,MATCH(K$10,'BDD'!$A$1:$P$1,0),FALSE)=0,"",VLOOKUP($E115,'BDD'!$A$1:$S$567,MATCH(K$10,'BDD'!$A$1:$P$1,0),FALSE)),"")</f>
      </c>
      <c r="L115" s="550"/>
      <c r="M115" s="555"/>
      <c r="N115" s="555"/>
      <c r="O115" s="534"/>
      <c r="P115" s="1042"/>
    </row>
    <row r="116" ht="130.05" customHeight="1" hidden="1">
      <c r="A116" s="1039"/>
      <c r="B116" s="542"/>
      <c r="C116" t="s" s="543">
        <f>RIGHT($B$1,1)</f>
        <v>2385</v>
      </c>
      <c r="D116" s="550">
        <f>IF(LEFT(F116,14)="Bonne pratique",D115+1,D115)</f>
      </c>
      <c r="E116" s="566">
        <f>C116&amp;D116&amp;RIGHT(F116,1)</f>
      </c>
      <c r="F116" t="s" s="546">
        <v>1782</v>
      </c>
      <c r="G116" s="567">
        <f>_xlfn.IFERROR(IF(VLOOKUP($E116,'BDD'!$A$1:$S$567,MATCH(G$10,'BDD'!$A$1:$P$1,0),FALSE)=0,"",VLOOKUP($E116,'BDD'!$A$1:$S$567,MATCH(G$10,'BDD'!$A$1:$P$1,0),FALSE)),"")</f>
      </c>
      <c r="H116" s="568">
        <f>IF(VLOOKUP(E116,'BDD'!$A$1:$S$567,15,FALSE)=0,"Critère non évalué","")</f>
      </c>
      <c r="I116" s="569">
        <f>_xlfn.IFERROR(IF(VLOOKUP($E116,'BDD'!$A$1:$S$567,MATCH(I$10,'BDD'!$A$1:$P$1,0),FALSE)=0,"",VLOOKUP($E116,'BDD'!$A$1:$S$567,MATCH(I$10,'BDD'!$A$1:$P$1,0),FALSE)),"")</f>
      </c>
      <c r="J116" s="549"/>
      <c r="K116" s="567">
        <f>_xlfn.IFERROR(IF(VLOOKUP($E116,'BDD'!$A$1:$S$567,MATCH(K$10,'BDD'!$A$1:$P$1,0),FALSE)=0,"",VLOOKUP($E116,'BDD'!$A$1:$S$567,MATCH(K$10,'BDD'!$A$1:$P$1,0),FALSE)),"")</f>
      </c>
      <c r="L116" s="550"/>
      <c r="M116" s="557"/>
      <c r="N116" s="557"/>
      <c r="O116" s="534"/>
      <c r="P116" s="1042"/>
    </row>
    <row r="117" ht="14.4" customHeight="1">
      <c r="A117" s="1039"/>
      <c r="B117" s="61"/>
      <c r="C117" s="61"/>
      <c r="D117" s="61"/>
      <c r="E117" s="61"/>
      <c r="F117" s="559"/>
      <c r="G117" s="559"/>
      <c r="H117" s="559"/>
      <c r="I117" s="559"/>
      <c r="J117" s="559"/>
      <c r="K117" s="559"/>
      <c r="L117" s="61"/>
      <c r="M117" s="559"/>
      <c r="N117" s="559"/>
      <c r="O117" s="61"/>
      <c r="P117" s="1042"/>
    </row>
    <row r="118" ht="14.4" customHeight="1">
      <c r="A118" t="s" s="1047">
        <v>171</v>
      </c>
      <c r="B118" s="1048"/>
      <c r="C118" s="1048"/>
      <c r="D118" s="1048"/>
      <c r="E118" s="1048"/>
      <c r="F118" s="1048"/>
      <c r="G118" s="1048"/>
      <c r="H118" s="1048"/>
      <c r="I118" s="1048"/>
      <c r="J118" s="1048"/>
      <c r="K118" s="1048"/>
      <c r="L118" s="1048"/>
      <c r="M118" s="1048"/>
      <c r="N118" s="1048"/>
      <c r="O118" s="1048"/>
      <c r="P118" t="s" s="1049">
        <v>171</v>
      </c>
    </row>
  </sheetData>
  <mergeCells count="7">
    <mergeCell ref="M107:N107"/>
    <mergeCell ref="M9:N9"/>
    <mergeCell ref="M25:N25"/>
    <mergeCell ref="M41:N41"/>
    <mergeCell ref="M57:N57"/>
    <mergeCell ref="M75:N75"/>
    <mergeCell ref="M91:N91"/>
  </mergeCells>
  <pageMargins left="0.7" right="0.7" top="0.75" bottom="0.75" header="0.3" footer="0.3"/>
  <pageSetup firstPageNumber="1" fitToHeight="1" fitToWidth="1" scale="100" useFirstPageNumber="0" orientation="portrait" pageOrder="downThenOver"/>
  <headerFooter>
    <oddFooter>&amp;C&amp;"Helvetica Neue,Regular"&amp;12&amp;K000000&amp;P</oddFooter>
  </headerFooter>
  <drawing r:id="rId1"/>
</worksheet>
</file>

<file path=xl/worksheets/sheet27.xml><?xml version="1.0" encoding="utf-8"?>
<worksheet xmlns:r="http://schemas.openxmlformats.org/officeDocument/2006/relationships" xmlns="http://schemas.openxmlformats.org/spreadsheetml/2006/main">
  <dimension ref="A1:AI100"/>
  <sheetViews>
    <sheetView workbookViewId="0" showGridLines="0" defaultGridColor="1"/>
  </sheetViews>
  <sheetFormatPr defaultColWidth="8.83333" defaultRowHeight="14.4" customHeight="1" outlineLevelRow="0" outlineLevelCol="0"/>
  <cols>
    <col min="1" max="2" width="5.85156" style="1050" customWidth="1"/>
    <col min="3" max="5" hidden="1" width="8.83333" style="1050" customWidth="1"/>
    <col min="6" max="6" width="25.5" style="1050" customWidth="1"/>
    <col min="7" max="7" width="73.5" style="1050" customWidth="1"/>
    <col min="8" max="12" width="5.85156" style="1050" customWidth="1"/>
    <col min="13" max="13" width="8.85156" style="1050" customWidth="1"/>
    <col min="14" max="14" width="50.8516" style="1050" customWidth="1"/>
    <col min="15" max="21" width="4.35156" style="1050" customWidth="1"/>
    <col min="22" max="22" width="3" style="1050" customWidth="1"/>
    <col min="23" max="23" width="23.8516" style="1050" customWidth="1"/>
    <col min="24" max="24" width="59.8516" style="1050" customWidth="1"/>
    <col min="25" max="25" width="4" style="1050" customWidth="1"/>
    <col min="26" max="27" width="17.1719" style="1050" customWidth="1"/>
    <col min="28" max="28" width="5.85156" style="1050" customWidth="1"/>
    <col min="29" max="29" width="7.85156" style="1050" customWidth="1"/>
    <col min="30" max="30" width="2.5" style="1050" customWidth="1"/>
    <col min="31" max="31" width="19" style="1050" customWidth="1"/>
    <col min="32" max="34" width="5.85156" style="1050" customWidth="1"/>
    <col min="35" max="35" width="8.85156" style="1050" customWidth="1"/>
    <col min="36" max="16384" width="8.85156" style="1050" customWidth="1"/>
  </cols>
  <sheetData>
    <row r="1" ht="45" customHeight="1">
      <c r="A1" s="1051"/>
      <c r="B1" t="s" s="1033">
        <v>2354</v>
      </c>
      <c r="C1" s="1052"/>
      <c r="D1" s="1052"/>
      <c r="E1" s="1034"/>
      <c r="F1" s="1034"/>
      <c r="G1" s="1034"/>
      <c r="H1" s="1034"/>
      <c r="I1" s="1034"/>
      <c r="J1" s="1053"/>
      <c r="K1" s="1054"/>
      <c r="L1" s="1034"/>
      <c r="M1" s="1034"/>
      <c r="N1" s="1055"/>
      <c r="O1" s="1055"/>
      <c r="P1" s="1055"/>
      <c r="Q1" t="s" s="1056">
        <f>VLOOKUP($E$27,'BDD'!$A$2:$N$567,3,FALSE)</f>
        <v>233</v>
      </c>
      <c r="R1" s="1035"/>
      <c r="S1" s="1036"/>
      <c r="T1" s="1036"/>
      <c r="U1" s="1036"/>
      <c r="V1" s="1036"/>
      <c r="W1" s="1036"/>
      <c r="X1" s="1036"/>
      <c r="Y1" s="1036"/>
      <c r="Z1" s="1036"/>
      <c r="AA1" s="1036"/>
      <c r="AB1" s="1036"/>
      <c r="AC1" s="1036"/>
      <c r="AD1" s="1036"/>
      <c r="AE1" s="1036"/>
      <c r="AF1" s="1036"/>
      <c r="AG1" s="1036"/>
      <c r="AH1" s="1036"/>
      <c r="AI1" s="582"/>
    </row>
    <row r="2" ht="45" customHeight="1">
      <c r="A2" s="1039"/>
      <c r="B2" s="1040"/>
      <c r="C2" s="1040"/>
      <c r="D2" s="1040"/>
      <c r="E2" s="1040"/>
      <c r="F2" s="1040"/>
      <c r="G2" s="1040"/>
      <c r="H2" s="1040"/>
      <c r="I2" s="1040"/>
      <c r="J2" s="1040"/>
      <c r="K2" s="1040"/>
      <c r="L2" s="1040"/>
      <c r="M2" s="1040"/>
      <c r="N2" s="1057"/>
      <c r="O2" s="1057"/>
      <c r="P2" s="1057"/>
      <c r="Q2" t="s" s="1041">
        <f>VLOOKUP($E$27,'BDD'!$A$2:$N$567,4,FALSE)</f>
        <v>1210</v>
      </c>
      <c r="R2" s="1040"/>
      <c r="S2" s="1058"/>
      <c r="T2" s="1058"/>
      <c r="U2" s="1058"/>
      <c r="V2" s="1058"/>
      <c r="W2" s="1058"/>
      <c r="X2" s="1058"/>
      <c r="Y2" s="1058"/>
      <c r="Z2" s="1058"/>
      <c r="AA2" s="1058"/>
      <c r="AB2" s="1058"/>
      <c r="AC2" s="1058"/>
      <c r="AD2" s="1058"/>
      <c r="AE2" s="1058"/>
      <c r="AF2" s="1058"/>
      <c r="AG2" s="1058"/>
      <c r="AH2" s="1058"/>
      <c r="AI2" s="585"/>
    </row>
    <row r="3" ht="45" customHeight="1">
      <c r="A3" s="1039"/>
      <c r="B3" s="586"/>
      <c r="C3" s="586"/>
      <c r="D3" s="586"/>
      <c r="E3" s="586"/>
      <c r="F3" s="586"/>
      <c r="G3" s="587"/>
      <c r="H3" s="587"/>
      <c r="I3" s="587"/>
      <c r="J3" s="587"/>
      <c r="K3" s="587"/>
      <c r="L3" s="587"/>
      <c r="M3" s="587"/>
      <c r="N3" s="586"/>
      <c r="O3" s="586"/>
      <c r="P3" s="586"/>
      <c r="Q3" s="586"/>
      <c r="R3" s="586"/>
      <c r="S3" s="586"/>
      <c r="T3" s="586"/>
      <c r="U3" s="586"/>
      <c r="V3" s="586"/>
      <c r="W3" s="588"/>
      <c r="X3" s="586"/>
      <c r="Y3" s="586"/>
      <c r="Z3" s="586"/>
      <c r="AA3" s="589"/>
      <c r="AB3" s="586"/>
      <c r="AC3" s="586"/>
      <c r="AD3" s="586"/>
      <c r="AE3" s="586"/>
      <c r="AF3" s="586"/>
      <c r="AG3" s="586"/>
      <c r="AH3" s="1040"/>
      <c r="AI3" s="585"/>
    </row>
    <row r="4" ht="26.4" customHeight="1">
      <c r="A4" s="1039"/>
      <c r="B4" s="586"/>
      <c r="C4" s="586"/>
      <c r="D4" s="586"/>
      <c r="E4" s="586"/>
      <c r="F4" s="586"/>
      <c r="G4" t="s" s="590">
        <v>1817</v>
      </c>
      <c r="H4" s="591"/>
      <c r="I4" s="587"/>
      <c r="J4" s="591"/>
      <c r="K4" s="591"/>
      <c r="L4" s="591"/>
      <c r="M4" s="591"/>
      <c r="N4" s="586"/>
      <c r="O4" s="586"/>
      <c r="P4" s="586"/>
      <c r="Q4" s="586"/>
      <c r="R4" s="586"/>
      <c r="S4" s="586"/>
      <c r="T4" s="586"/>
      <c r="U4" s="1059"/>
      <c r="V4" s="1059"/>
      <c r="W4" t="s" s="1060">
        <v>1818</v>
      </c>
      <c r="X4" s="1059"/>
      <c r="Y4" s="586"/>
      <c r="Z4" s="593"/>
      <c r="AA4" s="594"/>
      <c r="AB4" t="s" s="595">
        <v>1819</v>
      </c>
      <c r="AC4" s="586"/>
      <c r="AD4" s="586"/>
      <c r="AE4" s="586"/>
      <c r="AF4" s="596"/>
      <c r="AG4" s="596"/>
      <c r="AH4" s="1061"/>
      <c r="AI4" s="585"/>
    </row>
    <row r="5" ht="42" customHeight="1">
      <c r="A5" s="1039"/>
      <c r="B5" s="586"/>
      <c r="C5" s="586"/>
      <c r="D5" s="586"/>
      <c r="E5" t="s" s="744">
        <f>$C$25&amp;"11"</f>
        <v>2356</v>
      </c>
      <c r="F5" s="586"/>
      <c r="G5" t="s" s="598">
        <f>IF(VLOOKUP(E5,'BDD'!$A$2:$N$567,13,FALSE)=0,"",VLOOKUP(E5,'BDD'!$A$2:$N$567,13,FALSE))</f>
        <v>1215</v>
      </c>
      <c r="H5" s="599"/>
      <c r="I5" s="587"/>
      <c r="J5" s="25"/>
      <c r="K5" s="599"/>
      <c r="L5" s="1062"/>
      <c r="M5" s="1062"/>
      <c r="N5" s="1063"/>
      <c r="O5" s="1063"/>
      <c r="P5" s="1063"/>
      <c r="Q5" s="1063"/>
      <c r="R5" s="1063"/>
      <c r="S5" s="1063"/>
      <c r="T5" s="1063"/>
      <c r="U5" s="1063"/>
      <c r="V5" s="1063"/>
      <c r="W5" s="1064"/>
      <c r="X5" s="1063"/>
      <c r="Y5" s="1063"/>
      <c r="Z5" s="1063"/>
      <c r="AA5" s="1065"/>
      <c r="AB5" s="1063"/>
      <c r="AC5" s="586"/>
      <c r="AD5" s="586"/>
      <c r="AE5" s="586"/>
      <c r="AF5" s="586"/>
      <c r="AG5" s="586"/>
      <c r="AH5" s="1040"/>
      <c r="AI5" s="585"/>
    </row>
    <row r="6" ht="30" customHeight="1">
      <c r="A6" s="1066"/>
      <c r="B6" s="565"/>
      <c r="C6" s="565"/>
      <c r="D6" s="565"/>
      <c r="E6" t="s" s="558">
        <f>$C$25&amp;"12"</f>
        <v>2357</v>
      </c>
      <c r="F6" s="565"/>
      <c r="G6" t="s" s="598">
        <f>IF(VLOOKUP(E6,'BDD'!$A$2:$N$567,13,FALSE)=0,"",VLOOKUP(E6,'BDD'!$A$2:$N$567,13,FALSE))</f>
        <v>1220</v>
      </c>
      <c r="H6" s="605"/>
      <c r="I6" s="587"/>
      <c r="J6" s="25"/>
      <c r="K6" s="1067"/>
      <c r="L6" s="1068"/>
      <c r="M6" s="1069"/>
      <c r="N6" s="1070"/>
      <c r="O6" s="1071"/>
      <c r="P6" s="1071"/>
      <c r="Q6" s="1071"/>
      <c r="R6" s="1071"/>
      <c r="S6" s="1071"/>
      <c r="T6" s="1071"/>
      <c r="U6" s="1071"/>
      <c r="V6" s="1072"/>
      <c r="W6" s="1071"/>
      <c r="X6" s="1071"/>
      <c r="Y6" s="1072"/>
      <c r="Z6" s="1073"/>
      <c r="AA6" s="1073"/>
      <c r="AB6" s="1074"/>
      <c r="AC6" s="1075"/>
      <c r="AD6" s="615"/>
      <c r="AE6" s="615"/>
      <c r="AF6" s="587"/>
      <c r="AG6" s="587"/>
      <c r="AH6" s="1076"/>
      <c r="AI6" s="617"/>
    </row>
    <row r="7" ht="31.8" customHeight="1">
      <c r="A7" s="1066"/>
      <c r="B7" s="565"/>
      <c r="C7" s="565"/>
      <c r="D7" s="565"/>
      <c r="E7" t="s" s="558">
        <f>$C$25&amp;"13"</f>
        <v>2358</v>
      </c>
      <c r="F7" s="565"/>
      <c r="G7" t="s" s="598">
        <f>IF(VLOOKUP(E7,'BDD'!$A$2:$N$567,13,FALSE)=0,"",VLOOKUP(E7,'BDD'!$A$2:$N$567,13,FALSE))</f>
        <v>1226</v>
      </c>
      <c r="H7" s="605"/>
      <c r="I7" s="587"/>
      <c r="J7" s="25"/>
      <c r="K7" s="1067"/>
      <c r="L7" s="1077"/>
      <c r="M7" s="1078"/>
      <c r="N7" t="s" s="620">
        <v>11</v>
      </c>
      <c r="O7" t="s" s="621">
        <v>12</v>
      </c>
      <c r="P7" t="s" s="621">
        <v>13</v>
      </c>
      <c r="Q7" t="s" s="621">
        <v>14</v>
      </c>
      <c r="R7" t="s" s="621">
        <v>15</v>
      </c>
      <c r="S7" t="s" s="621">
        <v>16</v>
      </c>
      <c r="T7" t="s" s="621">
        <v>17</v>
      </c>
      <c r="U7" t="s" s="621">
        <v>18</v>
      </c>
      <c r="V7" s="206"/>
      <c r="W7" t="s" s="622">
        <v>20</v>
      </c>
      <c r="X7" t="s" s="623">
        <v>21</v>
      </c>
      <c r="Y7" s="1079"/>
      <c r="Z7" t="s" s="625">
        <v>22</v>
      </c>
      <c r="AA7" t="s" s="626">
        <v>223</v>
      </c>
      <c r="AB7" s="1080"/>
      <c r="AC7" s="1081"/>
      <c r="AD7" t="s" s="629">
        <v>1820</v>
      </c>
      <c r="AE7" t="s" s="630">
        <v>1752</v>
      </c>
      <c r="AF7" s="631"/>
      <c r="AG7" s="587"/>
      <c r="AH7" s="1076"/>
      <c r="AI7" s="617"/>
    </row>
    <row r="8" ht="41.4" customHeight="1">
      <c r="A8" s="1066"/>
      <c r="B8" s="565"/>
      <c r="C8" s="565"/>
      <c r="D8" s="565"/>
      <c r="E8" t="s" s="558">
        <f>$C$25&amp;"14"</f>
        <v>2359</v>
      </c>
      <c r="F8" s="565"/>
      <c r="G8" t="s" s="598">
        <f>IF(VLOOKUP(E8,'BDD'!$A$2:$N$567,13,FALSE)=0,"",VLOOKUP(E8,'BDD'!$A$2:$N$567,13,FALSE))</f>
        <v>1230</v>
      </c>
      <c r="H8" s="605"/>
      <c r="I8" s="587"/>
      <c r="J8" s="25"/>
      <c r="K8" s="1067"/>
      <c r="L8" s="1077"/>
      <c r="M8" t="s" s="929">
        <f>IF(LEFT(RIGHT($B$1,2),1)=" ",RIGHT($B$1,1),RIGHT($B$1,2))&amp;1</f>
        <v>2386</v>
      </c>
      <c r="N8" t="s" s="539">
        <f>RIGHT(M8,1)&amp;" : "&amp;VLOOKUP($M8&amp;"1",'BDD'!$A$2:$N$567,6,FALSE)</f>
        <v>2387</v>
      </c>
      <c r="O8" t="s" s="71">
        <f>IF(VLOOKUP($M8&amp;RIGHT(O$7,1),'BDD'!$A$1:$S$600,15,FALSE)=4,"NE",IF(VLOOKUP($M8&amp;RIGHT(O$7,1),'BDD'!$A$1:$S$600,15,FALSE)=0,"NE",VLOOKUP($M8&amp;RIGHT(O$7,1),'BDD'!$A$1:$S$600,15,FALSE)))</f>
        <v>27</v>
      </c>
      <c r="P8" t="s" s="71">
        <f>IF(VLOOKUP($M8&amp;RIGHT(P$7,1),'BDD'!$A$1:$S$600,15,FALSE)=4,"NE",IF(VLOOKUP($M8&amp;RIGHT(P$7,1),'BDD'!$A$1:$S$600,15,FALSE)=0,"NE",VLOOKUP($M8&amp;RIGHT(P$7,1),'BDD'!$A$1:$S$600,15,FALSE)))</f>
        <v>27</v>
      </c>
      <c r="Q8" t="s" s="71">
        <f>IF(VLOOKUP($M8&amp;RIGHT(Q$7,1),'BDD'!$A$1:$S$600,15,FALSE)=4,"NE",IF(VLOOKUP($M8&amp;RIGHT(Q$7,1),'BDD'!$A$1:$S$600,15,FALSE)=0,"NE",VLOOKUP($M8&amp;RIGHT(Q$7,1),'BDD'!$A$1:$S$600,15,FALSE)))</f>
        <v>27</v>
      </c>
      <c r="R8" t="s" s="71">
        <f>IF(VLOOKUP($M8&amp;RIGHT(R$7,1),'BDD'!$A$1:$S$600,15,FALSE)=4,"NE",IF(VLOOKUP($M8&amp;RIGHT(R$7,1),'BDD'!$A$1:$S$600,15,FALSE)=0,"NE",VLOOKUP($M8&amp;RIGHT(R$7,1),'BDD'!$A$1:$S$600,15,FALSE)))</f>
        <v>27</v>
      </c>
      <c r="S8" t="s" s="71">
        <f>IF(VLOOKUP($M8&amp;RIGHT(S$7,1),'BDD'!$A$1:$S$600,15,FALSE)=4,"NE",IF(VLOOKUP($M8&amp;RIGHT(S$7,1),'BDD'!$A$1:$S$600,15,FALSE)=0,"NE",VLOOKUP($M8&amp;RIGHT(S$7,1),'BDD'!$A$1:$S$600,15,FALSE)))</f>
        <v>27</v>
      </c>
      <c r="T8" t="s" s="71">
        <f>IF(VLOOKUP($M8&amp;RIGHT(T$7,1),'BDD'!$A$1:$S$600,15,FALSE)=4,"NE",IF(VLOOKUP($M8&amp;RIGHT(T$7,1),'BDD'!$A$1:$S$600,15,FALSE)=0,"NE",VLOOKUP($M8&amp;RIGHT(T$7,1),'BDD'!$A$1:$S$600,15,FALSE)))</f>
        <v>27</v>
      </c>
      <c r="U8" s="72"/>
      <c r="V8" s="1082"/>
      <c r="W8" t="s" s="634">
        <v>28</v>
      </c>
      <c r="X8" s="635"/>
      <c r="Y8" s="1083"/>
      <c r="Z8" s="637">
        <f>O25</f>
        <v>0</v>
      </c>
      <c r="AA8" s="77">
        <f>P25</f>
      </c>
      <c r="AB8" s="1080"/>
      <c r="AC8" s="1081"/>
      <c r="AD8" s="638"/>
      <c r="AE8" t="s" s="639">
        <v>1753</v>
      </c>
      <c r="AF8" s="631"/>
      <c r="AG8" s="587"/>
      <c r="AH8" s="1076"/>
      <c r="AI8" s="617"/>
    </row>
    <row r="9" ht="30" customHeight="1">
      <c r="A9" s="1066"/>
      <c r="B9" s="565"/>
      <c r="C9" s="565"/>
      <c r="D9" s="565"/>
      <c r="E9" t="s" s="558">
        <f>$C$25&amp;"15"</f>
        <v>2360</v>
      </c>
      <c r="F9" s="565"/>
      <c r="G9" t="s" s="598">
        <f>IF(VLOOKUP(E9,'BDD'!$A$2:$N$567,13,FALSE)=0,"",VLOOKUP(E9,'BDD'!$A$2:$N$567,13,FALSE))</f>
      </c>
      <c r="H9" s="605"/>
      <c r="I9" s="587"/>
      <c r="J9" s="25"/>
      <c r="K9" s="1067"/>
      <c r="L9" s="1077"/>
      <c r="M9" t="s" s="929">
        <f>IF(LEFT(RIGHT($B$1,2),1)=" ",RIGHT($B$1,1),RIGHT($B$1,2))&amp;2</f>
        <v>2388</v>
      </c>
      <c r="N9" t="s" s="640">
        <f>RIGHT(M9,1)&amp;" : "&amp;VLOOKUP($M9&amp;"1",'BDD'!$A$2:$N$567,6,FALSE)</f>
        <v>2389</v>
      </c>
      <c r="O9" t="s" s="85">
        <f>IF(VLOOKUP($M9&amp;RIGHT(O$7,1),'BDD'!$A$1:$S$600,15,FALSE)=4,"NE",IF(VLOOKUP($M9&amp;RIGHT(O$7,1),'BDD'!$A$1:$S$600,15,FALSE)=0,"NE",VLOOKUP($M9&amp;RIGHT(O$7,1),'BDD'!$A$1:$S$600,15,FALSE)))</f>
        <v>27</v>
      </c>
      <c r="P9" t="s" s="85">
        <f>IF(VLOOKUP($M9&amp;RIGHT(P$7,1),'BDD'!$A$1:$S$600,15,FALSE)=4,"NE",IF(VLOOKUP($M9&amp;RIGHT(P$7,1),'BDD'!$A$1:$S$600,15,FALSE)=0,"NE",VLOOKUP($M9&amp;RIGHT(P$7,1),'BDD'!$A$1:$S$600,15,FALSE)))</f>
        <v>27</v>
      </c>
      <c r="Q9" t="s" s="85">
        <f>IF(VLOOKUP($M9&amp;RIGHT(Q$7,1),'BDD'!$A$1:$S$600,15,FALSE)=4,"NE",IF(VLOOKUP($M9&amp;RIGHT(Q$7,1),'BDD'!$A$1:$S$600,15,FALSE)=0,"NE",VLOOKUP($M9&amp;RIGHT(Q$7,1),'BDD'!$A$1:$S$600,15,FALSE)))</f>
        <v>27</v>
      </c>
      <c r="R9" s="86"/>
      <c r="S9" s="86"/>
      <c r="T9" s="86"/>
      <c r="U9" s="86"/>
      <c r="V9" s="1082"/>
      <c r="W9" t="s" s="641">
        <v>28</v>
      </c>
      <c r="X9" s="642"/>
      <c r="Y9" s="1084"/>
      <c r="Z9" s="644">
        <f>O33</f>
        <v>0</v>
      </c>
      <c r="AA9" s="90">
        <f>P33</f>
      </c>
      <c r="AB9" s="1080"/>
      <c r="AC9" s="1081"/>
      <c r="AD9" s="638"/>
      <c r="AE9" t="s" s="645">
        <v>1754</v>
      </c>
      <c r="AF9" s="631"/>
      <c r="AG9" s="587"/>
      <c r="AH9" s="1076"/>
      <c r="AI9" s="617"/>
    </row>
    <row r="10" ht="30" customHeight="1">
      <c r="A10" s="1066"/>
      <c r="B10" s="565"/>
      <c r="C10" s="565"/>
      <c r="D10" s="565"/>
      <c r="E10" t="s" s="558">
        <f>$C$25&amp;"16"</f>
        <v>2361</v>
      </c>
      <c r="F10" s="565"/>
      <c r="G10" t="s" s="646">
        <f>IF(VLOOKUP(E10,'BDD'!$A$2:$N$567,13,FALSE)=0,"",VLOOKUP(E10,'BDD'!$A$2:$N$567,13,FALSE))</f>
      </c>
      <c r="H10" s="605"/>
      <c r="I10" s="587"/>
      <c r="J10" s="25"/>
      <c r="K10" s="1067"/>
      <c r="L10" s="1077"/>
      <c r="M10" t="s" s="929">
        <f>IF(LEFT(RIGHT($B$1,2),1)=" ",RIGHT($B$1,1),RIGHT($B$1,2))&amp;3</f>
        <v>2390</v>
      </c>
      <c r="N10" t="s" s="539">
        <f>RIGHT(M10,1)&amp;" : "&amp;VLOOKUP($M10&amp;"1",'BDD'!$A$2:$N$567,6,FALSE)</f>
        <v>2391</v>
      </c>
      <c r="O10" t="s" s="71">
        <f>IF(VLOOKUP($M10&amp;RIGHT(O$7,1),'BDD'!$A$1:$S$600,15,FALSE)=4,"NE",IF(VLOOKUP($M10&amp;RIGHT(O$7,1),'BDD'!$A$1:$S$600,15,FALSE)=0,"NE",VLOOKUP($M10&amp;RIGHT(O$7,1),'BDD'!$A$1:$S$600,15,FALSE)))</f>
        <v>27</v>
      </c>
      <c r="P10" t="s" s="71">
        <f>IF(VLOOKUP($M10&amp;RIGHT(P$7,1),'BDD'!$A$1:$S$600,15,FALSE)=4,"NE",IF(VLOOKUP($M10&amp;RIGHT(P$7,1),'BDD'!$A$1:$S$600,15,FALSE)=0,"NE",VLOOKUP($M10&amp;RIGHT(P$7,1),'BDD'!$A$1:$S$600,15,FALSE)))</f>
        <v>27</v>
      </c>
      <c r="Q10" t="s" s="71">
        <f>IF(VLOOKUP($M10&amp;RIGHT(Q$7,1),'BDD'!$A$1:$S$600,15,FALSE)=4,"NE",IF(VLOOKUP($M10&amp;RIGHT(Q$7,1),'BDD'!$A$1:$S$600,15,FALSE)=0,"NE",VLOOKUP($M10&amp;RIGHT(Q$7,1),'BDD'!$A$1:$S$600,15,FALSE)))</f>
        <v>27</v>
      </c>
      <c r="R10" s="72"/>
      <c r="S10" s="72"/>
      <c r="T10" s="72"/>
      <c r="U10" s="72"/>
      <c r="V10" s="1082"/>
      <c r="W10" t="s" s="647">
        <v>28</v>
      </c>
      <c r="X10" s="648"/>
      <c r="Y10" s="1083"/>
      <c r="Z10" s="637">
        <f>O38</f>
        <v>0</v>
      </c>
      <c r="AA10" s="77">
        <f>P38</f>
      </c>
      <c r="AB10" s="1080"/>
      <c r="AC10" s="1081"/>
      <c r="AD10" s="649"/>
      <c r="AE10" t="s" s="650">
        <v>1824</v>
      </c>
      <c r="AF10" s="651"/>
      <c r="AG10" s="652"/>
      <c r="AH10" s="1085"/>
      <c r="AI10" s="617"/>
    </row>
    <row r="11" ht="30" customHeight="1">
      <c r="A11" s="1039"/>
      <c r="B11" s="586"/>
      <c r="C11" s="586"/>
      <c r="D11" s="586"/>
      <c r="E11" t="s" s="744">
        <f>$C$25&amp;"17"</f>
        <v>2362</v>
      </c>
      <c r="F11" s="586"/>
      <c r="G11" t="s" s="646">
        <f>IF(VLOOKUP(E11,'BDD'!$A$2:$N$567,13,FALSE)=0,"",VLOOKUP(E11,'BDD'!$A$2:$N$567,13,FALSE))</f>
      </c>
      <c r="H11" s="652"/>
      <c r="I11" s="587"/>
      <c r="J11" s="25"/>
      <c r="K11" s="1086"/>
      <c r="L11" s="1087"/>
      <c r="M11" t="s" s="929">
        <f>IF(LEFT(RIGHT($B$1,2),1)=" ",RIGHT($B$1,1),RIGHT($B$1,2))&amp;4</f>
        <v>2392</v>
      </c>
      <c r="N11" t="s" s="640">
        <f>RIGHT(M11,1)&amp;" : "&amp;VLOOKUP($M11&amp;"1",'BDD'!$A$2:$N$567,6,FALSE)</f>
        <v>2393</v>
      </c>
      <c r="O11" t="s" s="85">
        <f>IF(VLOOKUP($M11&amp;RIGHT(O$7,1),'BDD'!$A$1:$S$600,15,FALSE)=4,"NE",IF(VLOOKUP($M11&amp;RIGHT(O$7,1),'BDD'!$A$1:$S$600,15,FALSE)=0,"NE",VLOOKUP($M11&amp;RIGHT(O$7,1),'BDD'!$A$1:$S$600,15,FALSE)))</f>
        <v>27</v>
      </c>
      <c r="P11" t="s" s="85">
        <f>IF(VLOOKUP($M11&amp;RIGHT(P$7,1),'BDD'!$A$1:$S$600,15,FALSE)=4,"NE",IF(VLOOKUP($M11&amp;RIGHT(P$7,1),'BDD'!$A$1:$S$600,15,FALSE)=0,"NE",VLOOKUP($M11&amp;RIGHT(P$7,1),'BDD'!$A$1:$S$600,15,FALSE)))</f>
        <v>27</v>
      </c>
      <c r="Q11" t="s" s="85">
        <f>IF(VLOOKUP($M11&amp;RIGHT(Q$7,1),'BDD'!$A$1:$S$600,15,FALSE)=4,"NE",IF(VLOOKUP($M11&amp;RIGHT(Q$7,1),'BDD'!$A$1:$S$600,15,FALSE)=0,"NE",VLOOKUP($M11&amp;RIGHT(Q$7,1),'BDD'!$A$1:$S$600,15,FALSE)))</f>
        <v>27</v>
      </c>
      <c r="R11" t="s" s="85">
        <f>IF(VLOOKUP($M11&amp;RIGHT(R$7,1),'BDD'!$A$1:$S$600,15,FALSE)=4,"NE",IF(VLOOKUP($M11&amp;RIGHT(R$7,1),'BDD'!$A$1:$S$600,15,FALSE)=0,"NE",VLOOKUP($M11&amp;RIGHT(R$7,1),'BDD'!$A$1:$S$600,15,FALSE)))</f>
        <v>27</v>
      </c>
      <c r="S11" t="s" s="85">
        <f>IF(VLOOKUP($M11&amp;RIGHT(S$7,1),'BDD'!$A$1:$S$600,15,FALSE)=4,"NE",IF(VLOOKUP($M11&amp;RIGHT(S$7,1),'BDD'!$A$1:$S$600,15,FALSE)=0,"NE",VLOOKUP($M11&amp;RIGHT(S$7,1),'BDD'!$A$1:$S$600,15,FALSE)))</f>
        <v>27</v>
      </c>
      <c r="T11" t="s" s="85">
        <f>IF(VLOOKUP($M11&amp;RIGHT(T$7,1),'BDD'!$A$1:$S$600,15,FALSE)=4,"NE",IF(VLOOKUP($M11&amp;RIGHT(T$7,1),'BDD'!$A$1:$S$600,15,FALSE)=0,"NE",VLOOKUP($M11&amp;RIGHT(T$7,1),'BDD'!$A$1:$S$600,15,FALSE)))</f>
        <v>27</v>
      </c>
      <c r="U11" s="86"/>
      <c r="V11" s="1082"/>
      <c r="W11" t="s" s="641">
        <v>28</v>
      </c>
      <c r="X11" s="642"/>
      <c r="Y11" s="1083"/>
      <c r="Z11" s="644">
        <f>O43</f>
        <v>0</v>
      </c>
      <c r="AA11" s="90">
        <f>P43</f>
      </c>
      <c r="AB11" s="1080"/>
      <c r="AC11" s="1088"/>
      <c r="AD11" s="658"/>
      <c r="AE11" s="659"/>
      <c r="AF11" s="652"/>
      <c r="AG11" s="652"/>
      <c r="AH11" s="1085"/>
      <c r="AI11" s="585"/>
    </row>
    <row r="12" ht="30" customHeight="1">
      <c r="A12" s="1039"/>
      <c r="B12" s="586"/>
      <c r="C12" s="586"/>
      <c r="D12" s="586"/>
      <c r="E12" s="586"/>
      <c r="F12" s="586"/>
      <c r="G12" t="s" s="660">
        <v>1826</v>
      </c>
      <c r="H12" s="587"/>
      <c r="I12" s="587"/>
      <c r="J12" s="25"/>
      <c r="K12" s="1089"/>
      <c r="L12" s="1090"/>
      <c r="M12" t="s" s="929">
        <f>IF(LEFT(RIGHT($B$1,2),1)=" ",RIGHT($B$1,1),RIGHT($B$1,2))&amp;5</f>
        <v>2394</v>
      </c>
      <c r="N12" t="s" s="539">
        <f>RIGHT(M12,1)&amp;" : "&amp;VLOOKUP($M12&amp;"1",'BDD'!$A$2:$N$567,6,FALSE)</f>
        <v>2395</v>
      </c>
      <c r="O12" t="s" s="71">
        <f>IF(VLOOKUP($M12&amp;RIGHT(O$7,1),'BDD'!$A$1:$S$600,15,FALSE)=4,"NE",IF(VLOOKUP($M12&amp;RIGHT(O$7,1),'BDD'!$A$1:$S$600,15,FALSE)=0,"NE",VLOOKUP($M12&amp;RIGHT(O$7,1),'BDD'!$A$1:$S$600,15,FALSE)))</f>
        <v>27</v>
      </c>
      <c r="P12" t="s" s="71">
        <f>IF(VLOOKUP($M12&amp;RIGHT(P$7,1),'BDD'!$A$1:$S$600,15,FALSE)=4,"NE",IF(VLOOKUP($M12&amp;RIGHT(P$7,1),'BDD'!$A$1:$S$600,15,FALSE)=0,"NE",VLOOKUP($M12&amp;RIGHT(P$7,1),'BDD'!$A$1:$S$600,15,FALSE)))</f>
        <v>27</v>
      </c>
      <c r="Q12" t="s" s="71">
        <f>IF(VLOOKUP($M12&amp;RIGHT(Q$7,1),'BDD'!$A$1:$S$600,15,FALSE)=4,"NE",IF(VLOOKUP($M12&amp;RIGHT(Q$7,1),'BDD'!$A$1:$S$600,15,FALSE)=0,"NE",VLOOKUP($M12&amp;RIGHT(Q$7,1),'BDD'!$A$1:$S$600,15,FALSE)))</f>
        <v>27</v>
      </c>
      <c r="R12" s="72"/>
      <c r="S12" s="72"/>
      <c r="T12" s="72"/>
      <c r="U12" s="72"/>
      <c r="V12" s="1082"/>
      <c r="W12" t="s" s="647">
        <v>28</v>
      </c>
      <c r="X12" s="648"/>
      <c r="Y12" s="1083"/>
      <c r="Z12" s="637">
        <f>O51</f>
        <v>0</v>
      </c>
      <c r="AA12" s="77">
        <f>P51</f>
      </c>
      <c r="AB12" s="1080"/>
      <c r="AC12" s="1088"/>
      <c r="AD12" s="666"/>
      <c r="AE12" s="25"/>
      <c r="AF12" s="586"/>
      <c r="AG12" s="586"/>
      <c r="AH12" s="1040"/>
      <c r="AI12" s="585"/>
    </row>
    <row r="13" ht="30" customHeight="1">
      <c r="A13" s="1039"/>
      <c r="B13" s="586"/>
      <c r="C13" s="586"/>
      <c r="D13" s="586"/>
      <c r="E13" t="s" s="744">
        <f>$C$25&amp;"11"</f>
        <v>2356</v>
      </c>
      <c r="F13" s="586"/>
      <c r="G13" t="s" s="667">
        <f>IF(VLOOKUP(E13,'BDD'!$A$2:$N$567,14,FALSE)=0,"",VLOOKUP(E13,'BDD'!$A$2:$N$567,14,FALSE))</f>
        <v>1216</v>
      </c>
      <c r="H13" s="591"/>
      <c r="I13" s="587"/>
      <c r="J13" s="25"/>
      <c r="K13" s="1086"/>
      <c r="L13" s="1087"/>
      <c r="M13" t="s" s="929">
        <f>IF(LEFT(RIGHT($B$1,2),1)=" ",RIGHT($B$1,1),RIGHT($B$1,2))&amp;6</f>
        <v>2396</v>
      </c>
      <c r="N13" t="s" s="640">
        <f>RIGHT(M13,1)&amp;" : "&amp;VLOOKUP($M13&amp;"1",'BDD'!$A$2:$N$567,6,FALSE)</f>
        <v>2397</v>
      </c>
      <c r="O13" t="s" s="85">
        <f>IF(VLOOKUP($M13&amp;RIGHT(O$7,1),'BDD'!$A$1:$S$600,15,FALSE)=4,"NE",IF(VLOOKUP($M13&amp;RIGHT(O$7,1),'BDD'!$A$1:$S$600,15,FALSE)=0,"NE",VLOOKUP($M13&amp;RIGHT(O$7,1),'BDD'!$A$1:$S$600,15,FALSE)))</f>
        <v>27</v>
      </c>
      <c r="P13" t="s" s="85">
        <f>IF(VLOOKUP($M13&amp;RIGHT(P$7,1),'BDD'!$A$1:$S$600,15,FALSE)=4,"NE",IF(VLOOKUP($M13&amp;RIGHT(P$7,1),'BDD'!$A$1:$S$600,15,FALSE)=0,"NE",VLOOKUP($M13&amp;RIGHT(P$7,1),'BDD'!$A$1:$S$600,15,FALSE)))</f>
        <v>27</v>
      </c>
      <c r="Q13" t="s" s="85">
        <f>IF(VLOOKUP($M13&amp;RIGHT(Q$7,1),'BDD'!$A$1:$S$600,15,FALSE)=4,"NE",IF(VLOOKUP($M13&amp;RIGHT(Q$7,1),'BDD'!$A$1:$S$600,15,FALSE)=0,"NE",VLOOKUP($M13&amp;RIGHT(Q$7,1),'BDD'!$A$1:$S$600,15,FALSE)))</f>
        <v>27</v>
      </c>
      <c r="R13" t="s" s="85">
        <f>IF(VLOOKUP($M13&amp;RIGHT(R$7,1),'BDD'!$A$1:$S$600,15,FALSE)=4,"NE",IF(VLOOKUP($M13&amp;RIGHT(R$7,1),'BDD'!$A$1:$S$600,15,FALSE)=0,"NE",VLOOKUP($M13&amp;RIGHT(R$7,1),'BDD'!$A$1:$S$600,15,FALSE)))</f>
        <v>27</v>
      </c>
      <c r="S13" t="s" s="85">
        <f>IF(VLOOKUP($M13&amp;RIGHT(S$7,1),'BDD'!$A$1:$S$600,15,FALSE)=4,"NE",IF(VLOOKUP($M13&amp;RIGHT(S$7,1),'BDD'!$A$1:$S$600,15,FALSE)=0,"NE",VLOOKUP($M13&amp;RIGHT(S$7,1),'BDD'!$A$1:$S$600,15,FALSE)))</f>
        <v>27</v>
      </c>
      <c r="T13" t="s" s="85">
        <f>IF(VLOOKUP($M13&amp;RIGHT(T$7,1),'BDD'!$A$1:$S$600,15,FALSE)=4,"NE",IF(VLOOKUP($M13&amp;RIGHT(T$7,1),'BDD'!$A$1:$S$600,15,FALSE)=0,"NE",VLOOKUP($M13&amp;RIGHT(T$7,1),'BDD'!$A$1:$S$600,15,FALSE)))</f>
        <v>27</v>
      </c>
      <c r="U13" s="86"/>
      <c r="V13" s="1082"/>
      <c r="W13" t="s" s="847">
        <v>28</v>
      </c>
      <c r="X13" s="848"/>
      <c r="Y13" s="1083"/>
      <c r="Z13" s="644">
        <f>O56</f>
        <v>0</v>
      </c>
      <c r="AA13" s="90">
        <f>P56</f>
      </c>
      <c r="AB13" s="1080"/>
      <c r="AC13" s="1088"/>
      <c r="AD13" s="586"/>
      <c r="AE13" s="586"/>
      <c r="AF13" s="679"/>
      <c r="AG13" s="679"/>
      <c r="AH13" s="1091"/>
      <c r="AI13" s="585"/>
    </row>
    <row r="14" ht="30" customHeight="1">
      <c r="A14" s="1039"/>
      <c r="B14" s="586"/>
      <c r="C14" s="586"/>
      <c r="D14" s="586"/>
      <c r="E14" t="s" s="744">
        <f>$C$25&amp;"12"</f>
        <v>2357</v>
      </c>
      <c r="F14" s="586"/>
      <c r="G14" t="s" s="667">
        <f>IF(VLOOKUP(E14,'BDD'!$A$2:$N$567,14,FALSE)=0,"",VLOOKUP(E14,'BDD'!$A$2:$N$567,14,FALSE))</f>
        <v>1221</v>
      </c>
      <c r="H14" s="681"/>
      <c r="I14" s="587"/>
      <c r="J14" s="25"/>
      <c r="K14" s="1092"/>
      <c r="L14" s="1093"/>
      <c r="M14" s="1094"/>
      <c r="N14" s="1095"/>
      <c r="O14" s="1096"/>
      <c r="P14" s="1096"/>
      <c r="Q14" s="1096"/>
      <c r="R14" s="1096"/>
      <c r="S14" s="1096"/>
      <c r="T14" s="1096"/>
      <c r="U14" s="1096"/>
      <c r="V14" s="1097"/>
      <c r="W14" s="1098"/>
      <c r="X14" s="1099"/>
      <c r="Y14" s="1097"/>
      <c r="Z14" s="1100"/>
      <c r="AA14" s="1100"/>
      <c r="AB14" s="1101"/>
      <c r="AC14" s="1088"/>
      <c r="AD14" s="679"/>
      <c r="AE14" s="679"/>
      <c r="AF14" s="586"/>
      <c r="AG14" s="586"/>
      <c r="AH14" s="1040"/>
      <c r="AI14" s="585"/>
    </row>
    <row r="15" ht="30" customHeight="1">
      <c r="A15" s="1039"/>
      <c r="B15" s="586"/>
      <c r="C15" s="586"/>
      <c r="D15" s="586"/>
      <c r="E15" t="s" s="744">
        <f>$C$25&amp;"13"</f>
        <v>2358</v>
      </c>
      <c r="F15" s="586"/>
      <c r="G15" t="s" s="667">
        <f>IF(VLOOKUP(E15,'BDD'!$A$2:$N$567,14,FALSE)=0,"",VLOOKUP(E15,'BDD'!$A$2:$N$567,14,FALSE))</f>
        <v>1227</v>
      </c>
      <c r="H15" s="694"/>
      <c r="I15" s="587"/>
      <c r="J15" s="25"/>
      <c r="K15" s="1102"/>
      <c r="L15" s="1103"/>
      <c r="M15" s="1104"/>
      <c r="N15" t="s" s="1105">
        <f>"Evaluation globale du vecteur "&amp;RIGHT(B1,2)</f>
        <v>2398</v>
      </c>
      <c r="O15" s="1106"/>
      <c r="P15" s="1107"/>
      <c r="Q15" s="1107"/>
      <c r="R15" s="1107"/>
      <c r="S15" s="1107"/>
      <c r="T15" s="1107"/>
      <c r="U15" s="1107"/>
      <c r="V15" s="1107"/>
      <c r="W15" s="1108"/>
      <c r="X15" s="1109"/>
      <c r="Y15" s="1110"/>
      <c r="Z15" t="s" s="1111">
        <v>1829</v>
      </c>
      <c r="AA15" t="s" s="1111">
        <v>1830</v>
      </c>
      <c r="AB15" s="1112"/>
      <c r="AC15" s="1113"/>
      <c r="AD15" s="586"/>
      <c r="AE15" s="586"/>
      <c r="AF15" s="586"/>
      <c r="AG15" s="586"/>
      <c r="AH15" s="1040"/>
      <c r="AI15" s="585"/>
    </row>
    <row r="16" ht="30" customHeight="1">
      <c r="A16" s="1039"/>
      <c r="B16" s="586"/>
      <c r="C16" s="586"/>
      <c r="D16" s="586"/>
      <c r="E16" t="s" s="744">
        <f>$C$25&amp;"14"</f>
        <v>2359</v>
      </c>
      <c r="F16" s="586"/>
      <c r="G16" t="s" s="667">
        <f>IF(VLOOKUP(E16,'BDD'!$A$2:$N$567,14,FALSE)=0,"",VLOOKUP(E16,'BDD'!$A$2:$N$567,14,FALSE))</f>
      </c>
      <c r="H16" s="694"/>
      <c r="I16" s="587"/>
      <c r="J16" s="25"/>
      <c r="K16" s="1089"/>
      <c r="L16" s="1090"/>
      <c r="M16" s="1114"/>
      <c r="N16" s="697"/>
      <c r="O16" s="1115"/>
      <c r="P16" s="1107"/>
      <c r="Q16" s="1107"/>
      <c r="R16" s="1107"/>
      <c r="S16" s="1107"/>
      <c r="T16" s="1107"/>
      <c r="U16" s="1107"/>
      <c r="V16" s="1116"/>
      <c r="W16" t="s" s="701">
        <v>28</v>
      </c>
      <c r="X16" s="702"/>
      <c r="Y16" s="1117"/>
      <c r="Z16" s="1118">
        <f>O22</f>
        <v>0</v>
      </c>
      <c r="AA16" s="1119">
        <f>SUM($W$26:$W$65)</f>
      </c>
      <c r="AB16" s="1120"/>
      <c r="AC16" s="1113"/>
      <c r="AD16" s="586"/>
      <c r="AE16" s="586"/>
      <c r="AF16" s="586"/>
      <c r="AG16" s="586"/>
      <c r="AH16" s="1040"/>
      <c r="AI16" s="585"/>
    </row>
    <row r="17" ht="41.4" customHeight="1">
      <c r="A17" s="1039"/>
      <c r="B17" s="586"/>
      <c r="C17" s="586"/>
      <c r="D17" s="586"/>
      <c r="E17" t="s" s="744">
        <f>$C$25&amp;"15"</f>
        <v>2360</v>
      </c>
      <c r="F17" s="586"/>
      <c r="G17" t="s" s="667">
        <f>IF(VLOOKUP(E17,'BDD'!$A$2:$N$567,14,FALSE)=0,"",VLOOKUP(E17,'BDD'!$A$2:$N$567,14,FALSE))</f>
      </c>
      <c r="H17" s="694"/>
      <c r="I17" s="587"/>
      <c r="J17" s="25"/>
      <c r="K17" s="1102"/>
      <c r="L17" s="1121"/>
      <c r="M17" s="1122"/>
      <c r="N17" s="1123"/>
      <c r="O17" s="1124"/>
      <c r="P17" s="1124"/>
      <c r="Q17" s="1124"/>
      <c r="R17" s="1124"/>
      <c r="S17" s="1124"/>
      <c r="T17" s="1124"/>
      <c r="U17" s="1124"/>
      <c r="V17" s="1124"/>
      <c r="W17" s="1125"/>
      <c r="X17" s="1123"/>
      <c r="Y17" s="1124"/>
      <c r="Z17" s="1126"/>
      <c r="AA17" s="1126"/>
      <c r="AB17" s="1127"/>
      <c r="AC17" s="1113"/>
      <c r="AD17" s="586"/>
      <c r="AE17" s="586"/>
      <c r="AF17" s="586"/>
      <c r="AG17" s="586"/>
      <c r="AH17" s="1040"/>
      <c r="AI17" s="585"/>
    </row>
    <row r="18" ht="63.6" customHeight="1">
      <c r="A18" s="1039"/>
      <c r="B18" s="586"/>
      <c r="C18" s="586"/>
      <c r="D18" s="586"/>
      <c r="E18" t="s" s="744">
        <f>$C$25&amp;"16"</f>
        <v>2361</v>
      </c>
      <c r="F18" s="586"/>
      <c r="G18" t="s" s="667">
        <f>IF(VLOOKUP(E18,'BDD'!$A$2:$N$567,14,FALSE)=0,"",VLOOKUP(E18,'BDD'!$A$2:$N$567,14,FALSE))</f>
      </c>
      <c r="H18" s="694"/>
      <c r="I18" s="587"/>
      <c r="J18" s="25"/>
      <c r="K18" s="25"/>
      <c r="L18" s="1128"/>
      <c r="M18" s="1128"/>
      <c r="N18" s="1129"/>
      <c r="O18" s="1129"/>
      <c r="P18" s="1129"/>
      <c r="Q18" s="1129"/>
      <c r="R18" s="1129"/>
      <c r="S18" s="1128"/>
      <c r="T18" s="1128"/>
      <c r="U18" s="1128"/>
      <c r="V18" s="1128"/>
      <c r="W18" s="1128"/>
      <c r="X18" s="1128"/>
      <c r="Y18" s="1128"/>
      <c r="Z18" s="1128"/>
      <c r="AA18" s="1128"/>
      <c r="AB18" s="1128"/>
      <c r="AC18" s="586"/>
      <c r="AD18" s="586"/>
      <c r="AE18" s="586"/>
      <c r="AF18" s="586"/>
      <c r="AG18" s="586"/>
      <c r="AH18" s="1040"/>
      <c r="AI18" s="585"/>
    </row>
    <row r="19" ht="63.6" customHeight="1" hidden="1">
      <c r="A19" s="1039"/>
      <c r="B19" s="586"/>
      <c r="C19" s="586"/>
      <c r="D19" s="586"/>
      <c r="E19" t="s" s="744">
        <f>$C$25&amp;"17"</f>
        <v>2362</v>
      </c>
      <c r="F19" s="586"/>
      <c r="G19" t="s" s="667">
        <f>IF(VLOOKUP(E19,'BDD'!$A$2:$N$567,14,FALSE)=0,"",VLOOKUP(E19,'BDD'!$A$2:$N$567,14,FALSE))</f>
      </c>
      <c r="H19" s="694"/>
      <c r="I19" s="587"/>
      <c r="J19" s="25"/>
      <c r="K19" s="25"/>
      <c r="L19" s="25"/>
      <c r="M19" s="25"/>
      <c r="N19" s="1026"/>
      <c r="O19" s="1026"/>
      <c r="P19" s="1026"/>
      <c r="Q19" s="1026"/>
      <c r="R19" s="1026"/>
      <c r="S19" s="25"/>
      <c r="T19" s="25"/>
      <c r="U19" s="25"/>
      <c r="V19" s="25"/>
      <c r="W19" s="25"/>
      <c r="X19" s="25"/>
      <c r="Y19" s="25"/>
      <c r="Z19" s="25"/>
      <c r="AA19" s="25"/>
      <c r="AB19" s="25"/>
      <c r="AC19" s="586"/>
      <c r="AD19" s="586"/>
      <c r="AE19" s="586"/>
      <c r="AF19" s="586"/>
      <c r="AG19" s="586"/>
      <c r="AH19" s="1040"/>
      <c r="AI19" s="585"/>
    </row>
    <row r="20" ht="30" customHeight="1">
      <c r="A20" s="1039"/>
      <c r="B20" s="586"/>
      <c r="C20" s="586"/>
      <c r="D20" s="586"/>
      <c r="E20" s="586"/>
      <c r="F20" s="586"/>
      <c r="G20" s="717"/>
      <c r="H20" s="694"/>
      <c r="I20" s="587"/>
      <c r="J20" s="25"/>
      <c r="K20" s="694"/>
      <c r="L20" s="694"/>
      <c r="M20" s="719"/>
      <c r="N20" t="s" s="536">
        <v>1831</v>
      </c>
      <c r="O20" s="721">
        <f>COUNTIF(N27:N100,"Non renseigné")</f>
        <v>27</v>
      </c>
      <c r="P20" s="722"/>
      <c r="Q20" s="722"/>
      <c r="R20" s="723"/>
      <c r="S20" s="724"/>
      <c r="T20" s="586"/>
      <c r="U20" s="586"/>
      <c r="V20" s="586"/>
      <c r="W20" s="586"/>
      <c r="X20" s="586"/>
      <c r="Y20" s="586"/>
      <c r="Z20" s="586"/>
      <c r="AA20" s="586"/>
      <c r="AB20" s="586"/>
      <c r="AC20" s="586"/>
      <c r="AD20" s="586"/>
      <c r="AE20" s="586"/>
      <c r="AF20" s="586"/>
      <c r="AG20" s="586"/>
      <c r="AH20" s="1040"/>
      <c r="AI20" s="585"/>
    </row>
    <row r="21" ht="30" customHeight="1">
      <c r="A21" s="1039"/>
      <c r="B21" s="586"/>
      <c r="C21" s="586"/>
      <c r="D21" s="586"/>
      <c r="E21" t="s" s="744">
        <f>RIGHT($B$1,1)&amp;"17"</f>
        <v>2399</v>
      </c>
      <c r="F21" s="586"/>
      <c r="G21" s="717"/>
      <c r="H21" s="694"/>
      <c r="I21" s="694"/>
      <c r="J21" s="25"/>
      <c r="K21" s="694"/>
      <c r="L21" s="694"/>
      <c r="M21" s="719"/>
      <c r="N21" t="s" s="855">
        <v>1832</v>
      </c>
      <c r="O21" s="856">
        <f>COUNTIF($N$27:$N$90,"Non évalué")</f>
        <v>0</v>
      </c>
      <c r="P21" s="857"/>
      <c r="Q21" s="857"/>
      <c r="R21" s="858"/>
      <c r="S21" s="724"/>
      <c r="T21" s="586"/>
      <c r="U21" s="586"/>
      <c r="V21" s="586"/>
      <c r="W21" s="586"/>
      <c r="X21" s="586"/>
      <c r="Y21" s="586"/>
      <c r="Z21" s="586"/>
      <c r="AA21" s="586"/>
      <c r="AB21" s="586"/>
      <c r="AC21" s="586"/>
      <c r="AD21" s="586"/>
      <c r="AE21" s="586"/>
      <c r="AF21" s="586"/>
      <c r="AG21" s="586"/>
      <c r="AH21" s="1040"/>
      <c r="AI21" s="585"/>
    </row>
    <row r="22" ht="50.4" customHeight="1">
      <c r="A22" s="1039"/>
      <c r="B22" s="586"/>
      <c r="C22" s="586"/>
      <c r="D22" s="586"/>
      <c r="E22" s="586"/>
      <c r="F22" s="586"/>
      <c r="G22" s="717"/>
      <c r="H22" s="730"/>
      <c r="I22" s="730"/>
      <c r="J22" s="730"/>
      <c r="K22" s="730"/>
      <c r="L22" s="731"/>
      <c r="M22" s="719"/>
      <c r="N22" t="s" s="732">
        <v>1833</v>
      </c>
      <c r="O22" s="733">
        <v>0</v>
      </c>
      <c r="P22" s="734"/>
      <c r="Q22" s="734"/>
      <c r="R22" s="734"/>
      <c r="S22" s="586"/>
      <c r="T22" s="586"/>
      <c r="U22" s="586"/>
      <c r="V22" s="586"/>
      <c r="W22" s="586"/>
      <c r="X22" s="586"/>
      <c r="Y22" s="586"/>
      <c r="Z22" s="586"/>
      <c r="AA22" s="586"/>
      <c r="AB22" s="586"/>
      <c r="AC22" s="586"/>
      <c r="AD22" s="586"/>
      <c r="AE22" s="586"/>
      <c r="AF22" s="586"/>
      <c r="AG22" s="586"/>
      <c r="AH22" s="1040"/>
      <c r="AI22" s="585"/>
    </row>
    <row r="23" ht="30" customHeight="1">
      <c r="A23" s="1039"/>
      <c r="B23" s="586"/>
      <c r="C23" s="25"/>
      <c r="D23" s="586"/>
      <c r="E23" s="586"/>
      <c r="F23" s="586"/>
      <c r="G23" s="736"/>
      <c r="H23" t="s" s="737">
        <v>245</v>
      </c>
      <c r="I23" s="738"/>
      <c r="J23" s="739"/>
      <c r="K23" s="739"/>
      <c r="L23" s="740"/>
      <c r="M23" s="741"/>
      <c r="N23" s="742"/>
      <c r="O23" s="730"/>
      <c r="P23" s="730"/>
      <c r="Q23" s="730"/>
      <c r="R23" s="730"/>
      <c r="S23" s="730"/>
      <c r="T23" s="730"/>
      <c r="U23" s="730"/>
      <c r="V23" s="730"/>
      <c r="W23" s="586"/>
      <c r="X23" s="586"/>
      <c r="Y23" s="586"/>
      <c r="Z23" s="586"/>
      <c r="AA23" s="586"/>
      <c r="AB23" s="586"/>
      <c r="AC23" s="586"/>
      <c r="AD23" s="586"/>
      <c r="AE23" s="586"/>
      <c r="AF23" s="586"/>
      <c r="AG23" s="586"/>
      <c r="AH23" s="1040"/>
      <c r="AI23" s="585"/>
    </row>
    <row r="24" ht="39.6" customHeight="1">
      <c r="A24" s="1039"/>
      <c r="B24" s="586"/>
      <c r="C24" t="s" s="744">
        <v>10</v>
      </c>
      <c r="D24" t="s" s="745">
        <v>1745</v>
      </c>
      <c r="E24" t="s" s="745">
        <v>1834</v>
      </c>
      <c r="F24" s="746"/>
      <c r="G24" t="s" s="747">
        <v>244</v>
      </c>
      <c r="H24" t="s" s="747">
        <v>283</v>
      </c>
      <c r="I24" t="s" s="747">
        <v>263</v>
      </c>
      <c r="J24" t="s" s="747">
        <v>271</v>
      </c>
      <c r="K24" t="s" s="747">
        <v>291</v>
      </c>
      <c r="L24" t="s" s="747">
        <v>256</v>
      </c>
      <c r="M24" s="748"/>
      <c r="N24" t="s" s="747">
        <v>1764</v>
      </c>
      <c r="O24" t="s" s="749">
        <v>22</v>
      </c>
      <c r="P24" s="750"/>
      <c r="Q24" s="750"/>
      <c r="R24" s="750"/>
      <c r="S24" t="s" s="751">
        <v>223</v>
      </c>
      <c r="T24" s="750"/>
      <c r="U24" s="750"/>
      <c r="V24" s="752"/>
      <c r="W24" s="724"/>
      <c r="X24" s="586"/>
      <c r="Y24" s="586"/>
      <c r="Z24" s="586"/>
      <c r="AA24" s="586"/>
      <c r="AB24" s="586"/>
      <c r="AC24" s="586"/>
      <c r="AD24" s="586"/>
      <c r="AE24" s="586"/>
      <c r="AF24" s="586"/>
      <c r="AG24" s="586"/>
      <c r="AH24" s="1040"/>
      <c r="AI24" s="585"/>
    </row>
    <row r="25" ht="30" customHeight="1">
      <c r="A25" s="1039"/>
      <c r="B25" s="753"/>
      <c r="C25" t="s" s="754">
        <f>IF(LEFT(RIGHT($B$1,2),1)=" ",RIGHT($B$1,1),RIGHT($B$1,2))</f>
        <v>2355</v>
      </c>
      <c r="D25" s="755">
        <f>IF(LEFT(F25,5)="Bonne",B23+1,D24)</f>
        <v>1</v>
      </c>
      <c r="E25" s="756"/>
      <c r="F25" t="s" s="757">
        <v>1762</v>
      </c>
      <c r="G25" t="s" s="758">
        <f>VLOOKUP(E27,'BDD'!$A$2:$N$567,6,FALSE)</f>
        <v>1211</v>
      </c>
      <c r="H25" s="759"/>
      <c r="I25" s="760"/>
      <c r="J25" s="760"/>
      <c r="K25" s="760"/>
      <c r="L25" s="761"/>
      <c r="M25" s="762"/>
      <c r="N25" s="763"/>
      <c r="O25" s="764">
        <v>0</v>
      </c>
      <c r="P25" s="764"/>
      <c r="Q25" s="764"/>
      <c r="R25" s="764"/>
      <c r="S25" s="765">
        <f>_xlfn.SUMIFS(S1:S100,$D1:$D100,D25,$N1:$N100,"Exigences"&amp;"*")</f>
      </c>
      <c r="T25" s="765"/>
      <c r="U25" s="765"/>
      <c r="V25" s="766"/>
      <c r="W25" s="767"/>
      <c r="X25" s="586"/>
      <c r="Y25" s="586"/>
      <c r="Z25" s="586"/>
      <c r="AA25" s="586"/>
      <c r="AB25" s="586"/>
      <c r="AC25" s="586"/>
      <c r="AD25" s="586"/>
      <c r="AE25" s="586"/>
      <c r="AF25" s="586"/>
      <c r="AG25" s="586"/>
      <c r="AH25" s="1040"/>
      <c r="AI25" s="585"/>
    </row>
    <row r="26" ht="30" customHeight="1">
      <c r="A26" s="1039"/>
      <c r="B26" s="753"/>
      <c r="C26" t="s" s="754">
        <f>IF(LEFT(RIGHT($B$1,2),1)=" ",RIGHT($B$1,1),RIGHT($B$1,2))</f>
        <v>2355</v>
      </c>
      <c r="D26" s="755">
        <f>IF(LEFT(F26,5)="Bonne",D24+1,D25)</f>
        <v>1</v>
      </c>
      <c r="E26" s="768"/>
      <c r="F26" t="s" s="769">
        <v>1835</v>
      </c>
      <c r="G26" t="s" s="770">
        <f>VLOOKUP(E28,'BDD'!$A$2:$N$567,7,FALSE)</f>
        <v>2400</v>
      </c>
      <c r="H26" s="771"/>
      <c r="I26" s="771"/>
      <c r="J26" s="771"/>
      <c r="K26" s="771"/>
      <c r="L26" s="772"/>
      <c r="M26" s="773"/>
      <c r="N26" s="774"/>
      <c r="O26" s="775"/>
      <c r="P26" s="775"/>
      <c r="Q26" s="775"/>
      <c r="R26" s="775"/>
      <c r="S26" s="776"/>
      <c r="T26" s="776"/>
      <c r="U26" s="776"/>
      <c r="V26" s="777"/>
      <c r="W26" s="789">
        <f>_xlfn.IFERROR(IF(N26='Suppl'!$E$65,0,IF(N26='Suppl'!$E$66,1/2/(_xlfn.COUNTIFS($N1:$N100,"Exigences"&amp;"*")+_xlfn.COUNTIFS($N1:$N100,"Non"&amp;"*")),IF(N26='Suppl'!$E$67,1/(_xlfn.COUNTIFS($N1:$N100,"Exigences"&amp;"*")+_xlfn.COUNTIFS($N1:$N100,"Non"&amp;"*")),0))),0)</f>
        <v>0</v>
      </c>
      <c r="X26" s="586"/>
      <c r="Y26" s="586"/>
      <c r="Z26" s="586"/>
      <c r="AA26" s="586"/>
      <c r="AB26" s="586"/>
      <c r="AC26" s="586"/>
      <c r="AD26" s="586"/>
      <c r="AE26" s="586"/>
      <c r="AF26" s="586"/>
      <c r="AG26" s="586"/>
      <c r="AH26" s="1040"/>
      <c r="AI26" s="585"/>
    </row>
    <row r="27" ht="30" customHeight="1">
      <c r="A27" s="1039"/>
      <c r="B27" s="753"/>
      <c r="C27" t="s" s="754">
        <f>IF(LEFT(RIGHT($B$1,2),1)=" ",RIGHT($B$1,1),RIGHT($B$1,2))</f>
        <v>2355</v>
      </c>
      <c r="D27" s="755">
        <f>IF(LEFT(F27,5)="Bonne",D25+1,D26)</f>
        <v>1</v>
      </c>
      <c r="E27" t="s" s="778">
        <f>C27&amp;D27&amp;RIGHT(F27,1)</f>
        <v>2356</v>
      </c>
      <c r="F27" t="s" s="779">
        <v>1769</v>
      </c>
      <c r="G27" t="s" s="780">
        <f>VLOOKUP(E27,'BDD'!$A$2:$N$567,MATCH(G$24,'BDD'!$A$1:$P$1,0),FALSE)</f>
        <v>1213</v>
      </c>
      <c r="H27" s="781"/>
      <c r="I27" t="s" s="792">
        <v>263</v>
      </c>
      <c r="J27" s="782"/>
      <c r="K27" s="782"/>
      <c r="L27" s="793"/>
      <c r="M27" s="784">
        <f>IF(N27="Exigences partiellement respectées",1,IF(N27="Exigences respectées",2,0))</f>
        <v>0</v>
      </c>
      <c r="N27" t="s" s="780">
        <f>VLOOKUP(VLOOKUP(E27,'BDD'!$A$2:$P$428,15,FALSE),'Suppl'!$D$64:$E$68,2,FALSE)</f>
        <v>1751</v>
      </c>
      <c r="O27" s="1130"/>
      <c r="P27" s="787"/>
      <c r="Q27" s="787"/>
      <c r="R27" s="787"/>
      <c r="S27" s="787">
        <f>IF(N27='Suppl'!$E$65,0,IF(N27='Suppl'!$E$66,1/2/(_xlfn.COUNTIFS($D1:$D100,D27,$N1:$N100,"Exigences"&amp;"*",G1:G100,"&lt;&gt;0")+_xlfn.COUNTIFS($D1:$D100,D27,$N1:$N100,"Non"&amp;"*",G1:G100,"&lt;&gt;0")),IF(N27='Suppl'!$E$67,1/(_xlfn.COUNTIFS($D1:$D100,D27,$N1:$N100,"Exigences"&amp;"*",G1:G100,"&lt;&gt;0")+_xlfn.COUNTIFS($D1:$D100,D27,$N1:$N100,"Non"&amp;"*",G1:G100,"&lt;&gt;0")),0)))</f>
        <v>0</v>
      </c>
      <c r="T27" s="787"/>
      <c r="U27" s="787"/>
      <c r="V27" s="788"/>
      <c r="W27" s="789">
        <f>_xlfn.IFERROR(IF(N27='Suppl'!$E$65,0,IF(N27='Suppl'!$E$66,1/2/(_xlfn.COUNTIFS($N1:$N100,"Exigences"&amp;"*")+_xlfn.COUNTIFS($N1:$N100,"Non"&amp;"*")),IF(N27='Suppl'!$E$67,1/(_xlfn.COUNTIFS($N1:$N100,"Exigences"&amp;"*")+_xlfn.COUNTIFS($N1:$N100,"Non"&amp;"*")),0))),0)</f>
        <v>0</v>
      </c>
      <c r="X27" s="586"/>
      <c r="Y27" s="586"/>
      <c r="Z27" s="586"/>
      <c r="AA27" s="586"/>
      <c r="AB27" s="586"/>
      <c r="AC27" s="586"/>
      <c r="AD27" s="586"/>
      <c r="AE27" s="586"/>
      <c r="AF27" s="586"/>
      <c r="AG27" s="586"/>
      <c r="AH27" s="1040"/>
      <c r="AI27" s="585"/>
    </row>
    <row r="28" ht="55.2" customHeight="1">
      <c r="A28" s="1039"/>
      <c r="B28" s="753"/>
      <c r="C28" t="s" s="754">
        <f>IF(LEFT(RIGHT($B$1,2),1)=" ",RIGHT($B$1,1),RIGHT($B$1,2))</f>
        <v>2355</v>
      </c>
      <c r="D28" s="755">
        <f>IF(LEFT(F28,5)="Bonne",D26+1,D27)</f>
        <v>1</v>
      </c>
      <c r="E28" t="s" s="778">
        <f>C28&amp;D28&amp;RIGHT(F28,1)</f>
        <v>2357</v>
      </c>
      <c r="F28" t="s" s="790">
        <v>1837</v>
      </c>
      <c r="G28" t="s" s="791">
        <f>VLOOKUP(E28,'BDD'!$A$2:$N$567,MATCH(G$24,'BDD'!$A$1:$P$1,0),FALSE)</f>
        <v>1218</v>
      </c>
      <c r="H28" s="781"/>
      <c r="I28" s="782"/>
      <c r="J28" t="s" s="792">
        <v>271</v>
      </c>
      <c r="K28" s="782"/>
      <c r="L28" s="793"/>
      <c r="M28" s="794">
        <f>IF(N28="Exigences partiellement respectées",1,IF(N28="Exigences respectées",2,0))</f>
        <v>0</v>
      </c>
      <c r="N28" t="s" s="791">
        <f>VLOOKUP(VLOOKUP(E28,'BDD'!$A$2:$P$428,15,FALSE),'Suppl'!$D$64:$E$68,2,FALSE)</f>
        <v>1751</v>
      </c>
      <c r="O28" s="789"/>
      <c r="P28" s="797"/>
      <c r="Q28" s="797"/>
      <c r="R28" s="797"/>
      <c r="S28" s="797">
        <f>IF(N28='Suppl'!$E$65,0,IF(N28='Suppl'!$E$66,1/2/(_xlfn.COUNTIFS($D1:$D100,D28,$N1:$N100,"Exigences"&amp;"*",G1:G100,"&lt;&gt;0")+_xlfn.COUNTIFS($D1:$D100,D28,$N1:$N100,"Non"&amp;"*",G1:G100,"&lt;&gt;0")),IF(N28='Suppl'!$E$67,1/(_xlfn.COUNTIFS($D1:$D100,D28,$N1:$N100,"Exigences"&amp;"*",G1:G100,"&lt;&gt;0")+_xlfn.COUNTIFS($D1:$D100,D28,$N1:$N100,"Non"&amp;"*",G1:G100,"&lt;&gt;0")),0)))</f>
        <v>0</v>
      </c>
      <c r="T28" s="797"/>
      <c r="U28" s="797"/>
      <c r="V28" s="798"/>
      <c r="W28" s="789">
        <f>_xlfn.IFERROR(IF(N28='Suppl'!$E$65,0,IF(N28='Suppl'!$E$66,1/2/(_xlfn.COUNTIFS($N1:$N100,"Exigences"&amp;"*")+_xlfn.COUNTIFS($N1:$N100,"Non"&amp;"*")),IF(N28='Suppl'!$E$67,1/(_xlfn.COUNTIFS($N1:$N100,"Exigences"&amp;"*")+_xlfn.COUNTIFS($N1:$N100,"Non"&amp;"*")),0))),0)</f>
        <v>0</v>
      </c>
      <c r="X28" s="586"/>
      <c r="Y28" s="586"/>
      <c r="Z28" s="586"/>
      <c r="AA28" s="586"/>
      <c r="AB28" s="586"/>
      <c r="AC28" s="586"/>
      <c r="AD28" s="586"/>
      <c r="AE28" s="586"/>
      <c r="AF28" s="586"/>
      <c r="AG28" s="586"/>
      <c r="AH28" s="1040"/>
      <c r="AI28" s="585"/>
    </row>
    <row r="29" ht="41.4" customHeight="1">
      <c r="A29" s="1039"/>
      <c r="B29" s="753"/>
      <c r="C29" t="s" s="754">
        <f>IF(LEFT(RIGHT($B$1,2),1)=" ",RIGHT($B$1,1),RIGHT($B$1,2))</f>
        <v>2355</v>
      </c>
      <c r="D29" s="755">
        <f>IF(LEFT(F29,5)="Bonne",D27+1,D28)</f>
        <v>1</v>
      </c>
      <c r="E29" t="s" s="778">
        <f>C29&amp;D29&amp;RIGHT(F29,1)</f>
        <v>2358</v>
      </c>
      <c r="F29" t="s" s="779">
        <v>1774</v>
      </c>
      <c r="G29" t="s" s="780">
        <f>VLOOKUP(E29,'BDD'!$A$2:$N$567,MATCH(G$24,'BDD'!$A$1:$P$1,0),FALSE)</f>
        <v>1224</v>
      </c>
      <c r="H29" s="781"/>
      <c r="I29" s="782"/>
      <c r="J29" t="s" s="792">
        <v>271</v>
      </c>
      <c r="K29" s="782"/>
      <c r="L29" s="793"/>
      <c r="M29" s="794">
        <f>IF(N29="Exigences partiellement respectées",1,IF(N29="Exigences respectées",2,0))</f>
        <v>0</v>
      </c>
      <c r="N29" t="s" s="780">
        <f>VLOOKUP(VLOOKUP(E29,'BDD'!$A$2:$P$428,15,FALSE),'Suppl'!$D$64:$E$68,2,FALSE)</f>
        <v>1751</v>
      </c>
      <c r="O29" s="789"/>
      <c r="P29" s="797"/>
      <c r="Q29" s="797"/>
      <c r="R29" s="797"/>
      <c r="S29" s="797">
        <f>IF(N29='Suppl'!$E$65,0,IF(N29='Suppl'!$E$66,1/2/(_xlfn.COUNTIFS($D1:$D100,D29,$N1:$N100,"Exigences"&amp;"*",G1:G100,"&lt;&gt;0")+_xlfn.COUNTIFS($D1:$D100,D29,$N1:$N100,"Non"&amp;"*",G1:G100,"&lt;&gt;0")),IF(N29='Suppl'!$E$67,1/(_xlfn.COUNTIFS($D1:$D100,D29,$N1:$N100,"Exigences"&amp;"*",G1:G100,"&lt;&gt;0")+_xlfn.COUNTIFS($D1:$D100,D29,$N1:$N100,"Non"&amp;"*",G1:G100,"&lt;&gt;0")),0)))</f>
        <v>0</v>
      </c>
      <c r="T29" s="797"/>
      <c r="U29" s="797"/>
      <c r="V29" s="798"/>
      <c r="W29" s="789">
        <f>_xlfn.IFERROR(IF(N29='Suppl'!$E$65,0,IF(N29='Suppl'!$E$66,1/2/(_xlfn.COUNTIFS($N1:$N100,"Exigences"&amp;"*")+_xlfn.COUNTIFS($N1:$N100,"Non"&amp;"*")),IF(N29='Suppl'!$E$67,1/(_xlfn.COUNTIFS($N1:$N100,"Exigences"&amp;"*")+_xlfn.COUNTIFS($N1:$N100,"Non"&amp;"*")),0))),0)</f>
        <v>0</v>
      </c>
      <c r="X29" s="586"/>
      <c r="Y29" s="586"/>
      <c r="Z29" s="586"/>
      <c r="AA29" s="586"/>
      <c r="AB29" s="586"/>
      <c r="AC29" s="586"/>
      <c r="AD29" s="586"/>
      <c r="AE29" s="586"/>
      <c r="AF29" s="586"/>
      <c r="AG29" s="586"/>
      <c r="AH29" s="1040"/>
      <c r="AI29" s="585"/>
    </row>
    <row r="30" ht="41.4" customHeight="1">
      <c r="A30" s="1039"/>
      <c r="B30" s="753"/>
      <c r="C30" t="s" s="754">
        <f>IF(LEFT(RIGHT($B$1,2),1)=" ",RIGHT($B$1,1),RIGHT($B$1,2))</f>
        <v>2355</v>
      </c>
      <c r="D30" s="755">
        <f>IF(LEFT(F30,5)="Bonne",D28+1,D29)</f>
        <v>1</v>
      </c>
      <c r="E30" t="s" s="778">
        <f>C30&amp;D30&amp;RIGHT(F30,1)</f>
        <v>2359</v>
      </c>
      <c r="F30" t="s" s="790">
        <v>1776</v>
      </c>
      <c r="G30" t="s" s="791">
        <f>VLOOKUP(E30,'BDD'!$A$2:$N$567,MATCH(G$24,'BDD'!$A$1:$P$1,0),FALSE)</f>
        <v>1229</v>
      </c>
      <c r="H30" s="781"/>
      <c r="I30" s="782"/>
      <c r="J30" t="s" s="792">
        <v>271</v>
      </c>
      <c r="K30" s="782"/>
      <c r="L30" s="793"/>
      <c r="M30" s="794">
        <f>IF(N30="Exigences partiellement respectées",1,IF(N30="Exigences respectées",2,0))</f>
        <v>0</v>
      </c>
      <c r="N30" t="s" s="791">
        <f>VLOOKUP(VLOOKUP(E30,'BDD'!$A$2:$P$428,15,FALSE),'Suppl'!$D$64:$E$68,2,FALSE)</f>
        <v>1751</v>
      </c>
      <c r="O30" s="789"/>
      <c r="P30" s="797"/>
      <c r="Q30" s="797"/>
      <c r="R30" s="797"/>
      <c r="S30" s="797">
        <f>IF(N30='Suppl'!$E$65,0,IF(N30='Suppl'!$E$66,1/2/(_xlfn.COUNTIFS($D1:$D100,D30,$N1:$N100,"Exigences"&amp;"*",G1:G100,"&lt;&gt;0")+_xlfn.COUNTIFS($D1:$D100,D30,$N1:$N100,"Non"&amp;"*",G1:G100,"&lt;&gt;0")),IF(N30='Suppl'!$E$67,1/(_xlfn.COUNTIFS($D1:$D100,D30,$N1:$N100,"Exigences"&amp;"*",G1:G100,"&lt;&gt;0")+_xlfn.COUNTIFS($D1:$D100,D30,$N1:$N100,"Non"&amp;"*",G1:G100,"&lt;&gt;0")),0)))</f>
        <v>0</v>
      </c>
      <c r="T30" s="797"/>
      <c r="U30" s="797"/>
      <c r="V30" s="798"/>
      <c r="W30" s="789">
        <f>_xlfn.IFERROR(IF(N30='Suppl'!$E$65,0,IF(N30='Suppl'!$E$66,1/2/(_xlfn.COUNTIFS($N1:$N100,"Exigences"&amp;"*")+_xlfn.COUNTIFS($N1:$N100,"Non"&amp;"*")),IF(N30='Suppl'!$E$67,1/(_xlfn.COUNTIFS($N1:$N100,"Exigences"&amp;"*")+_xlfn.COUNTIFS($N1:$N100,"Non"&amp;"*")),0))),0)</f>
        <v>0</v>
      </c>
      <c r="X30" t="s" s="744">
        <v>171</v>
      </c>
      <c r="Y30" s="586"/>
      <c r="Z30" s="586"/>
      <c r="AA30" s="586"/>
      <c r="AB30" s="586"/>
      <c r="AC30" s="586"/>
      <c r="AD30" s="586"/>
      <c r="AE30" s="586"/>
      <c r="AF30" s="586"/>
      <c r="AG30" s="586"/>
      <c r="AH30" s="1040"/>
      <c r="AI30" s="585"/>
    </row>
    <row r="31" ht="30" customHeight="1">
      <c r="A31" s="1039"/>
      <c r="B31" s="753"/>
      <c r="C31" t="s" s="754">
        <f>IF(LEFT(RIGHT($B$1,2),1)=" ",RIGHT($B$1,1),RIGHT($B$1,2))</f>
        <v>2355</v>
      </c>
      <c r="D31" s="755">
        <f>IF(LEFT(F31,5)="Bonne",D29+1,D30)</f>
        <v>1</v>
      </c>
      <c r="E31" t="s" s="778">
        <f>C31&amp;D31&amp;RIGHT(F31,1)</f>
        <v>2360</v>
      </c>
      <c r="F31" t="s" s="779">
        <v>1778</v>
      </c>
      <c r="G31" t="s" s="780">
        <f>VLOOKUP(E31,'BDD'!$A$2:$N$567,MATCH(G$24,'BDD'!$A$1:$P$1,0),FALSE)</f>
        <v>1232</v>
      </c>
      <c r="H31" t="s" s="799">
        <v>283</v>
      </c>
      <c r="I31" s="782"/>
      <c r="J31" s="782"/>
      <c r="K31" s="782"/>
      <c r="L31" s="793"/>
      <c r="M31" s="794">
        <f>IF(N31="Exigences partiellement respectées",1,IF(N31="Exigences respectées",2,0))</f>
        <v>0</v>
      </c>
      <c r="N31" t="s" s="780">
        <f>VLOOKUP(VLOOKUP(E31,'BDD'!$A$2:$P$428,15,FALSE),'Suppl'!$D$64:$E$68,2,FALSE)</f>
        <v>1751</v>
      </c>
      <c r="O31" s="789"/>
      <c r="P31" s="797"/>
      <c r="Q31" s="797"/>
      <c r="R31" s="797"/>
      <c r="S31" s="797">
        <f>IF(N31='Suppl'!$E$65,0,IF(N31='Suppl'!$E$66,1/2/(_xlfn.COUNTIFS($D1:$D100,D31,$N1:$N100,"Exigences"&amp;"*",G1:G100,"&lt;&gt;0")+_xlfn.COUNTIFS($D1:$D100,D31,$N1:$N100,"Non"&amp;"*",G1:G100,"&lt;&gt;0")),IF(N31='Suppl'!$E$67,1/(_xlfn.COUNTIFS($D1:$D100,D31,$N1:$N100,"Exigences"&amp;"*",G1:G100,"&lt;&gt;0")+_xlfn.COUNTIFS($D1:$D100,D31,$N1:$N100,"Non"&amp;"*",G1:G100,"&lt;&gt;0")),0)))</f>
        <v>0</v>
      </c>
      <c r="T31" s="797"/>
      <c r="U31" s="797"/>
      <c r="V31" s="798"/>
      <c r="W31" s="789">
        <f>_xlfn.IFERROR(IF(N31='Suppl'!$E$65,0,IF(N31='Suppl'!$E$66,1/2/(_xlfn.COUNTIFS($N1:$N100,"Exigences"&amp;"*")+_xlfn.COUNTIFS($N1:$N100,"Non"&amp;"*")),IF(N31='Suppl'!$E$67,1/(_xlfn.COUNTIFS($N1:$N100,"Exigences"&amp;"*")+_xlfn.COUNTIFS($N1:$N100,"Non"&amp;"*")),0))),0)</f>
        <v>0</v>
      </c>
      <c r="X31" s="586"/>
      <c r="Y31" s="586"/>
      <c r="Z31" s="586"/>
      <c r="AA31" s="586"/>
      <c r="AB31" s="586"/>
      <c r="AC31" s="586"/>
      <c r="AD31" s="586"/>
      <c r="AE31" s="586"/>
      <c r="AF31" s="586"/>
      <c r="AG31" s="586"/>
      <c r="AH31" s="1040"/>
      <c r="AI31" s="585"/>
    </row>
    <row r="32" ht="30" customHeight="1">
      <c r="A32" s="1039"/>
      <c r="B32" s="753"/>
      <c r="C32" t="s" s="754">
        <f>IF(LEFT(RIGHT($B$1,2),1)=" ",RIGHT($B$1,1),RIGHT($B$1,2))</f>
        <v>2355</v>
      </c>
      <c r="D32" s="755">
        <f>IF(LEFT(F32,5)="Bonne",D30+1,D31)</f>
        <v>1</v>
      </c>
      <c r="E32" t="s" s="778">
        <f>C32&amp;D32&amp;RIGHT(F32,1)</f>
        <v>2361</v>
      </c>
      <c r="F32" t="s" s="790">
        <v>1780</v>
      </c>
      <c r="G32" t="s" s="791">
        <f>VLOOKUP(E32,'BDD'!$A$2:$N$567,MATCH(G$24,'BDD'!$A$1:$P$1,0),FALSE)</f>
        <v>1235</v>
      </c>
      <c r="H32" s="781"/>
      <c r="I32" s="782"/>
      <c r="J32" t="s" s="792">
        <v>271</v>
      </c>
      <c r="K32" s="782"/>
      <c r="L32" s="793"/>
      <c r="M32" s="800">
        <f>IF(N32="Exigences partiellement respectées",1,IF(N32="Exigences respectées",2,0))</f>
        <v>0</v>
      </c>
      <c r="N32" t="s" s="791">
        <f>VLOOKUP(VLOOKUP(E32,'BDD'!$A$2:$P$428,15,FALSE),'Suppl'!$D$64:$E$68,2,FALSE)</f>
        <v>1751</v>
      </c>
      <c r="O32" s="1131"/>
      <c r="P32" s="803"/>
      <c r="Q32" s="803"/>
      <c r="R32" s="803"/>
      <c r="S32" s="803">
        <f>IF(N32='Suppl'!$E$65,0,IF(N32='Suppl'!$E$66,1/2/(_xlfn.COUNTIFS($D1:$D100,D32,$N1:$N100,"Exigences"&amp;"*",G1:G100,"&lt;&gt;0")+_xlfn.COUNTIFS($D1:$D100,D32,$N1:$N100,"Non"&amp;"*",G1:G100,"&lt;&gt;0")),IF(N32='Suppl'!$E$67,1/(_xlfn.COUNTIFS($D1:$D100,D32,$N1:$N100,"Exigences"&amp;"*",G1:G100,"&lt;&gt;0")+_xlfn.COUNTIFS($D1:$D100,D32,$N1:$N100,"Non"&amp;"*",G1:G100,"&lt;&gt;0")),0)))</f>
        <v>0</v>
      </c>
      <c r="T32" s="803"/>
      <c r="U32" s="803"/>
      <c r="V32" s="804"/>
      <c r="W32" s="789">
        <f>_xlfn.IFERROR(IF(N32='Suppl'!$E$65,0,IF(N32='Suppl'!$E$66,1/2/(_xlfn.COUNTIFS($N1:$N100,"Exigences"&amp;"*")+_xlfn.COUNTIFS($N1:$N100,"Non"&amp;"*")),IF(N32='Suppl'!$E$67,1/(_xlfn.COUNTIFS($N1:$N100,"Exigences"&amp;"*")+_xlfn.COUNTIFS($N1:$N100,"Non"&amp;"*")),0))),0)</f>
        <v>0</v>
      </c>
      <c r="X32" s="586"/>
      <c r="Y32" s="586"/>
      <c r="Z32" s="586"/>
      <c r="AA32" s="586"/>
      <c r="AB32" s="586"/>
      <c r="AC32" s="586"/>
      <c r="AD32" s="586"/>
      <c r="AE32" s="586"/>
      <c r="AF32" s="586"/>
      <c r="AG32" s="586"/>
      <c r="AH32" s="1040"/>
      <c r="AI32" s="585"/>
    </row>
    <row r="33" ht="30" customHeight="1">
      <c r="A33" s="1039"/>
      <c r="B33" s="753"/>
      <c r="C33" t="s" s="754">
        <f>IF(LEFT(RIGHT($B$1,2),1)=" ",RIGHT($B$1,1),RIGHT($B$1,2))</f>
        <v>2355</v>
      </c>
      <c r="D33" s="755">
        <f>IF(LEFT(F33,5)="Bonne",D31+1,D32)</f>
        <v>2</v>
      </c>
      <c r="E33" t="s" s="778">
        <f>C33&amp;D33&amp;RIGHT(F33,1)</f>
        <v>2364</v>
      </c>
      <c r="F33" t="s" s="757">
        <v>1785</v>
      </c>
      <c r="G33" t="s" s="758">
        <f>VLOOKUP(E35,'BDD'!$A$2:$N$567,6,FALSE)</f>
        <v>1238</v>
      </c>
      <c r="H33" t="s" s="805">
        <f>VLOOKUP(E35,'BDD'!$A$2:$N$567,6,FALSE)</f>
        <v>1238</v>
      </c>
      <c r="I33" s="760"/>
      <c r="J33" s="760"/>
      <c r="K33" s="760"/>
      <c r="L33" s="761"/>
      <c r="M33" s="762"/>
      <c r="N33" s="763"/>
      <c r="O33" s="764">
        <v>0</v>
      </c>
      <c r="P33" s="764"/>
      <c r="Q33" s="764"/>
      <c r="R33" s="764"/>
      <c r="S33" s="765">
        <f>_xlfn.SUMIFS(S1:S100,$D1:$D100,D33,$N1:$N100,"Exigences"&amp;"*")</f>
      </c>
      <c r="T33" s="765"/>
      <c r="U33" s="765"/>
      <c r="V33" s="766"/>
      <c r="W33" s="789">
        <f>_xlfn.IFERROR(IF(N33='Suppl'!$E$65,0,IF(N33='Suppl'!$E$66,1/2/(_xlfn.COUNTIFS($N1:$N100,"Exigences"&amp;"*")+_xlfn.COUNTIFS($N1:$N100,"Non"&amp;"*")),IF(N33='Suppl'!$E$67,1/(_xlfn.COUNTIFS($N1:$N100,"Exigences"&amp;"*")+_xlfn.COUNTIFS($N1:$N100,"Non"&amp;"*")),0))),0)</f>
        <v>0</v>
      </c>
      <c r="X33" s="586"/>
      <c r="Y33" s="586"/>
      <c r="Z33" s="586"/>
      <c r="AA33" s="586"/>
      <c r="AB33" s="586"/>
      <c r="AC33" s="586"/>
      <c r="AD33" s="586"/>
      <c r="AE33" s="586"/>
      <c r="AF33" s="586"/>
      <c r="AG33" s="586"/>
      <c r="AH33" s="1040"/>
      <c r="AI33" s="585"/>
    </row>
    <row r="34" ht="30" customHeight="1">
      <c r="A34" s="1039"/>
      <c r="B34" s="753"/>
      <c r="C34" t="s" s="754">
        <f>IF(LEFT(RIGHT($B$1,2),1)=" ",RIGHT($B$1,1),RIGHT($B$1,2))</f>
        <v>2355</v>
      </c>
      <c r="D34" s="755">
        <f>IF(LEFT(F34,5)="Bonne",D32+1,D33)</f>
        <v>2</v>
      </c>
      <c r="E34" t="s" s="778">
        <f>C34&amp;D34&amp;RIGHT(F34,1)</f>
        <v>2366</v>
      </c>
      <c r="F34" t="s" s="769">
        <v>1835</v>
      </c>
      <c r="G34" t="s" s="770">
        <f>VLOOKUP(E36,'BDD'!$A$2:$N$567,7,FALSE)</f>
        <v>2401</v>
      </c>
      <c r="H34" s="771"/>
      <c r="I34" s="771"/>
      <c r="J34" s="771"/>
      <c r="K34" s="771"/>
      <c r="L34" s="772"/>
      <c r="M34" s="773"/>
      <c r="N34" s="774"/>
      <c r="O34" s="775"/>
      <c r="P34" s="775"/>
      <c r="Q34" s="775"/>
      <c r="R34" s="775"/>
      <c r="S34" s="776"/>
      <c r="T34" s="776"/>
      <c r="U34" s="776"/>
      <c r="V34" s="777"/>
      <c r="W34" s="789">
        <f>_xlfn.IFERROR(IF(N34='Suppl'!$E$65,0,IF(N34='Suppl'!$E$66,1/2/(_xlfn.COUNTIFS($N1:$N100,"Exigences"&amp;"*")+_xlfn.COUNTIFS($N1:$N100,"Non"&amp;"*")),IF(N34='Suppl'!$E$67,1/(_xlfn.COUNTIFS($N1:$N100,"Exigences"&amp;"*")+_xlfn.COUNTIFS($N1:$N100,"Non"&amp;"*")),0))),0)</f>
        <v>0</v>
      </c>
      <c r="X34" s="586"/>
      <c r="Y34" s="586"/>
      <c r="Z34" s="586"/>
      <c r="AA34" s="586"/>
      <c r="AB34" s="586"/>
      <c r="AC34" s="586"/>
      <c r="AD34" s="586"/>
      <c r="AE34" s="586"/>
      <c r="AF34" s="586"/>
      <c r="AG34" s="586"/>
      <c r="AH34" s="1040"/>
      <c r="AI34" s="585"/>
    </row>
    <row r="35" ht="44.4" customHeight="1">
      <c r="A35" s="1039"/>
      <c r="B35" s="753"/>
      <c r="C35" t="s" s="754">
        <f>IF(LEFT(RIGHT($B$1,2),1)=" ",RIGHT($B$1,1),RIGHT($B$1,2))</f>
        <v>2355</v>
      </c>
      <c r="D35" s="755">
        <f>IF(LEFT(F35,5)="Bonne",D33+1,D34)</f>
        <v>2</v>
      </c>
      <c r="E35" t="s" s="778">
        <f>C35&amp;D35&amp;RIGHT(F35,1)</f>
        <v>2366</v>
      </c>
      <c r="F35" t="s" s="779">
        <v>1769</v>
      </c>
      <c r="G35" t="s" s="780">
        <f>VLOOKUP(E35,'BDD'!$A$2:$N$567,MATCH(G$24,'BDD'!$A$1:$P$1,0),FALSE)</f>
        <v>1240</v>
      </c>
      <c r="H35" t="s" s="799">
        <v>283</v>
      </c>
      <c r="I35" s="782"/>
      <c r="J35" s="782"/>
      <c r="K35" s="782"/>
      <c r="L35" s="793"/>
      <c r="M35" s="784">
        <f>IF(N35="Exigences partiellement respectées",1,IF(N35="Exigences respectées",2,0))</f>
        <v>0</v>
      </c>
      <c r="N35" t="s" s="780">
        <f>VLOOKUP(VLOOKUP(E35,'BDD'!$A$2:$P$428,15,FALSE),'Suppl'!$D$64:$E$68,2,FALSE)</f>
        <v>1751</v>
      </c>
      <c r="O35" s="1130"/>
      <c r="P35" s="787"/>
      <c r="Q35" s="787"/>
      <c r="R35" s="787"/>
      <c r="S35" s="787">
        <f>IF(N35='Suppl'!$E$65,0,IF(N35='Suppl'!$E$66,1/2/(_xlfn.COUNTIFS($D1:$D100,D35,$N1:$N100,"Exigences"&amp;"*",G1:G100,"&lt;&gt;0")+_xlfn.COUNTIFS($D1:$D100,D35,$N1:$N100,"Non"&amp;"*",G1:G100,"&lt;&gt;0")),IF(N35='Suppl'!$E$67,1/(_xlfn.COUNTIFS($D1:$D100,D35,$N1:$N100,"Exigences"&amp;"*",G1:G100,"&lt;&gt;0")+_xlfn.COUNTIFS($D1:$D100,D35,$N1:$N100,"Non"&amp;"*",G1:G100,"&lt;&gt;0")),0)))</f>
        <v>0</v>
      </c>
      <c r="T35" s="787"/>
      <c r="U35" s="787"/>
      <c r="V35" s="788"/>
      <c r="W35" s="789">
        <f>_xlfn.IFERROR(IF(N35='Suppl'!$E$65,0,IF(N35='Suppl'!$E$66,1/2/(_xlfn.COUNTIFS($N1:$N100,"Exigences"&amp;"*")+_xlfn.COUNTIFS($N1:$N100,"Non"&amp;"*")),IF(N35='Suppl'!$E$67,1/(_xlfn.COUNTIFS($N1:$N100,"Exigences"&amp;"*")+_xlfn.COUNTIFS($N1:$N100,"Non"&amp;"*")),0))),0)</f>
        <v>0</v>
      </c>
      <c r="X35" s="586"/>
      <c r="Y35" s="586"/>
      <c r="Z35" s="586"/>
      <c r="AA35" s="586"/>
      <c r="AB35" s="586"/>
      <c r="AC35" s="586"/>
      <c r="AD35" s="586"/>
      <c r="AE35" s="586"/>
      <c r="AF35" s="586"/>
      <c r="AG35" s="586"/>
      <c r="AH35" s="1040"/>
      <c r="AI35" s="585"/>
    </row>
    <row r="36" ht="30" customHeight="1">
      <c r="A36" s="1039"/>
      <c r="B36" s="753"/>
      <c r="C36" t="s" s="754">
        <f>IF(LEFT(RIGHT($B$1,2),1)=" ",RIGHT($B$1,1),RIGHT($B$1,2))</f>
        <v>2355</v>
      </c>
      <c r="D36" s="755">
        <f>IF(LEFT(F36,5)="Bonne",D34+1,D35)</f>
        <v>2</v>
      </c>
      <c r="E36" t="s" s="778">
        <f>C36&amp;D36&amp;RIGHT(F36,1)</f>
        <v>2364</v>
      </c>
      <c r="F36" t="s" s="790">
        <v>1837</v>
      </c>
      <c r="G36" t="s" s="791">
        <f>VLOOKUP(E36,'BDD'!$A$2:$N$567,MATCH(G$24,'BDD'!$A$1:$P$1,0),FALSE)</f>
        <v>1243</v>
      </c>
      <c r="H36" t="s" s="799">
        <v>283</v>
      </c>
      <c r="I36" s="782"/>
      <c r="J36" s="782"/>
      <c r="K36" s="782"/>
      <c r="L36" s="793"/>
      <c r="M36" s="794">
        <f>IF(N36="Exigences partiellement respectées",1,IF(N36="Exigences respectées",2,0))</f>
        <v>0</v>
      </c>
      <c r="N36" t="s" s="791">
        <f>VLOOKUP(VLOOKUP(E36,'BDD'!$A$2:$P$428,15,FALSE),'Suppl'!$D$64:$E$68,2,FALSE)</f>
        <v>1751</v>
      </c>
      <c r="O36" s="789"/>
      <c r="P36" s="797"/>
      <c r="Q36" s="797"/>
      <c r="R36" s="797"/>
      <c r="S36" s="797">
        <f>IF(N36='Suppl'!$E$65,0,IF(N36='Suppl'!$E$66,1/2/(_xlfn.COUNTIFS($D1:$D100,D36,$N1:$N100,"Exigences"&amp;"*",G1:G100,"&lt;&gt;0")+_xlfn.COUNTIFS($D1:$D100,D36,$N1:$N100,"Non"&amp;"*",G1:G100,"&lt;&gt;0")),IF(N36='Suppl'!$E$67,1/(_xlfn.COUNTIFS($D1:$D100,D36,$N1:$N100,"Exigences"&amp;"*",G1:G100,"&lt;&gt;0")+_xlfn.COUNTIFS($D1:$D100,D36,$N1:$N100,"Non"&amp;"*",G1:G100,"&lt;&gt;0")),0)))</f>
        <v>0</v>
      </c>
      <c r="T36" s="797"/>
      <c r="U36" s="797"/>
      <c r="V36" s="798"/>
      <c r="W36" s="789">
        <f>_xlfn.IFERROR(IF(N36='Suppl'!$E$65,0,IF(N36='Suppl'!$E$66,1/2/(_xlfn.COUNTIFS($N1:$N100,"Exigences"&amp;"*")+_xlfn.COUNTIFS($N1:$N100,"Non"&amp;"*")),IF(N36='Suppl'!$E$67,1/(_xlfn.COUNTIFS($N1:$N100,"Exigences"&amp;"*")+_xlfn.COUNTIFS($N1:$N100,"Non"&amp;"*")),0))),0)</f>
        <v>0</v>
      </c>
      <c r="X36" s="586"/>
      <c r="Y36" s="586"/>
      <c r="Z36" s="586"/>
      <c r="AA36" s="586"/>
      <c r="AB36" s="586"/>
      <c r="AC36" s="586"/>
      <c r="AD36" s="586"/>
      <c r="AE36" s="586"/>
      <c r="AF36" s="586"/>
      <c r="AG36" s="586"/>
      <c r="AH36" s="1040"/>
      <c r="AI36" s="585"/>
    </row>
    <row r="37" ht="30" customHeight="1">
      <c r="A37" s="1039"/>
      <c r="B37" s="753"/>
      <c r="C37" t="s" s="754">
        <f>IF(LEFT(RIGHT($B$1,2),1)=" ",RIGHT($B$1,1),RIGHT($B$1,2))</f>
        <v>2355</v>
      </c>
      <c r="D37" s="755">
        <f>IF(LEFT(F37,5)="Bonne",D35+1,D36)</f>
        <v>2</v>
      </c>
      <c r="E37" t="s" s="778">
        <f>C37&amp;D37&amp;RIGHT(F37,1)</f>
        <v>2367</v>
      </c>
      <c r="F37" t="s" s="779">
        <v>1774</v>
      </c>
      <c r="G37" t="s" s="780">
        <f>VLOOKUP(E37,'BDD'!$A$2:$N$567,MATCH(G$24,'BDD'!$A$1:$P$1,0),FALSE)</f>
        <v>1246</v>
      </c>
      <c r="H37" s="781"/>
      <c r="I37" s="782"/>
      <c r="J37" t="s" s="792">
        <v>271</v>
      </c>
      <c r="K37" s="782"/>
      <c r="L37" s="793"/>
      <c r="M37" s="800">
        <f>IF(N37="Exigences partiellement respectées",1,IF(N37="Exigences respectées",2,0))</f>
        <v>0</v>
      </c>
      <c r="N37" t="s" s="780">
        <f>VLOOKUP(VLOOKUP(E37,'BDD'!$A$2:$P$428,15,FALSE),'Suppl'!$D$64:$E$68,2,FALSE)</f>
        <v>1751</v>
      </c>
      <c r="O37" s="1131"/>
      <c r="P37" s="803"/>
      <c r="Q37" s="803"/>
      <c r="R37" s="803"/>
      <c r="S37" s="803">
        <f>IF(N37='Suppl'!$E$65,0,IF(N37='Suppl'!$E$66,1/2/(_xlfn.COUNTIFS($D1:$D100,D37,$N1:$N100,"Exigences"&amp;"*",G1:G100,"&lt;&gt;0")+_xlfn.COUNTIFS($D1:$D100,D37,$N1:$N100,"Non"&amp;"*",G1:G100,"&lt;&gt;0")),IF(N37='Suppl'!$E$67,1/(_xlfn.COUNTIFS($D1:$D100,D37,$N1:$N100,"Exigences"&amp;"*",G1:G100,"&lt;&gt;0")+_xlfn.COUNTIFS($D1:$D100,D37,$N1:$N100,"Non"&amp;"*",G1:G100,"&lt;&gt;0")),0)))</f>
        <v>0</v>
      </c>
      <c r="T37" s="803"/>
      <c r="U37" s="803"/>
      <c r="V37" s="804"/>
      <c r="W37" s="789">
        <f>_xlfn.IFERROR(IF(N37='Suppl'!$E$65,0,IF(N37='Suppl'!$E$66,1/2/(_xlfn.COUNTIFS($N1:$N100,"Exigences"&amp;"*")+_xlfn.COUNTIFS($N1:$N100,"Non"&amp;"*")),IF(N37='Suppl'!$E$67,1/(_xlfn.COUNTIFS($N1:$N100,"Exigences"&amp;"*")+_xlfn.COUNTIFS($N1:$N100,"Non"&amp;"*")),0))),0)</f>
        <v>0</v>
      </c>
      <c r="X37" s="586"/>
      <c r="Y37" s="586"/>
      <c r="Z37" s="586"/>
      <c r="AA37" s="586"/>
      <c r="AB37" s="586"/>
      <c r="AC37" s="586"/>
      <c r="AD37" s="586"/>
      <c r="AE37" s="586"/>
      <c r="AF37" s="586"/>
      <c r="AG37" s="586"/>
      <c r="AH37" s="1040"/>
      <c r="AI37" s="585"/>
    </row>
    <row r="38" ht="30" customHeight="1">
      <c r="A38" s="1039"/>
      <c r="B38" s="753"/>
      <c r="C38" t="s" s="754">
        <f>IF(LEFT(RIGHT($B$1,2),1)=" ",RIGHT($B$1,1),RIGHT($B$1,2))</f>
        <v>2355</v>
      </c>
      <c r="D38" s="755">
        <f>IF(LEFT(F38,5)="Bonne",D36+1,D37)</f>
        <v>3</v>
      </c>
      <c r="E38" t="s" s="778">
        <f>C38&amp;D38&amp;RIGHT(F38,1)</f>
        <v>2372</v>
      </c>
      <c r="F38" t="s" s="757">
        <v>1797</v>
      </c>
      <c r="G38" t="s" s="758">
        <f>VLOOKUP(E40,'BDD'!$A$2:$N$567,6,FALSE)</f>
        <v>1252</v>
      </c>
      <c r="H38" s="759"/>
      <c r="I38" s="760"/>
      <c r="J38" s="760"/>
      <c r="K38" s="760"/>
      <c r="L38" s="761"/>
      <c r="M38" s="762"/>
      <c r="N38" s="763"/>
      <c r="O38" s="764">
        <v>0</v>
      </c>
      <c r="P38" s="764"/>
      <c r="Q38" s="764"/>
      <c r="R38" s="764"/>
      <c r="S38" s="765">
        <f>_xlfn.SUMIFS(S1:S100,$D1:$D100,D38,$N1:$N100,"Exigences"&amp;"*")</f>
      </c>
      <c r="T38" s="765"/>
      <c r="U38" s="765"/>
      <c r="V38" s="766"/>
      <c r="W38" s="789">
        <f>_xlfn.IFERROR(IF(N38='Suppl'!$E$65,0,IF(N38='Suppl'!$E$66,1/2/(_xlfn.COUNTIFS($N1:$N100,"Exigences"&amp;"*")+_xlfn.COUNTIFS($N1:$N100,"Non"&amp;"*")),IF(N38='Suppl'!$E$67,1/(_xlfn.COUNTIFS($N1:$N100,"Exigences"&amp;"*")+_xlfn.COUNTIFS($N1:$N100,"Non"&amp;"*")),0))),0)</f>
        <v>0</v>
      </c>
      <c r="X38" s="586"/>
      <c r="Y38" s="586"/>
      <c r="Z38" s="586"/>
      <c r="AA38" s="586"/>
      <c r="AB38" s="586"/>
      <c r="AC38" s="586"/>
      <c r="AD38" s="586"/>
      <c r="AE38" s="586"/>
      <c r="AF38" s="586"/>
      <c r="AG38" s="586"/>
      <c r="AH38" s="1040"/>
      <c r="AI38" s="585"/>
    </row>
    <row r="39" ht="30" customHeight="1">
      <c r="A39" s="1039"/>
      <c r="B39" s="753"/>
      <c r="C39" t="s" s="754">
        <f>IF(LEFT(RIGHT($B$1,2),1)=" ",RIGHT($B$1,1),RIGHT($B$1,2))</f>
        <v>2355</v>
      </c>
      <c r="D39" s="755">
        <f>IF(LEFT(F39,5)="Bonne",D37+1,D38)</f>
        <v>3</v>
      </c>
      <c r="E39" t="s" s="778">
        <f>C39&amp;D39&amp;RIGHT(F39,1)</f>
        <v>2374</v>
      </c>
      <c r="F39" t="s" s="769">
        <v>1835</v>
      </c>
      <c r="G39" t="s" s="809">
        <f>VLOOKUP(E41,'BDD'!$A$2:$N$567,7,FALSE)</f>
        <v>2402</v>
      </c>
      <c r="H39" s="810"/>
      <c r="I39" s="810"/>
      <c r="J39" s="810"/>
      <c r="K39" s="810"/>
      <c r="L39" s="810"/>
      <c r="M39" s="810"/>
      <c r="N39" s="811"/>
      <c r="O39" s="775"/>
      <c r="P39" s="775"/>
      <c r="Q39" s="775"/>
      <c r="R39" s="775"/>
      <c r="S39" s="776"/>
      <c r="T39" s="776"/>
      <c r="U39" s="776"/>
      <c r="V39" s="777"/>
      <c r="W39" s="789">
        <f>_xlfn.IFERROR(IF(N39='Suppl'!$E$65,0,IF(N39='Suppl'!$E$66,1/2/(_xlfn.COUNTIFS($N1:$N100,"Exigences"&amp;"*")+_xlfn.COUNTIFS($N1:$N100,"Non"&amp;"*")),IF(N39='Suppl'!$E$67,1/(_xlfn.COUNTIFS($N1:$N100,"Exigences"&amp;"*")+_xlfn.COUNTIFS($N1:$N100,"Non"&amp;"*")),0))),0)</f>
        <v>0</v>
      </c>
      <c r="X39" s="586"/>
      <c r="Y39" s="586"/>
      <c r="Z39" s="586"/>
      <c r="AA39" s="586"/>
      <c r="AB39" s="586"/>
      <c r="AC39" s="586"/>
      <c r="AD39" s="586"/>
      <c r="AE39" s="586"/>
      <c r="AF39" s="586"/>
      <c r="AG39" s="586"/>
      <c r="AH39" s="1040"/>
      <c r="AI39" s="585"/>
    </row>
    <row r="40" ht="55.2" customHeight="1">
      <c r="A40" s="1039"/>
      <c r="B40" s="753"/>
      <c r="C40" t="s" s="754">
        <f>IF(LEFT(RIGHT($B$1,2),1)=" ",RIGHT($B$1,1),RIGHT($B$1,2))</f>
        <v>2355</v>
      </c>
      <c r="D40" s="755">
        <f>IF(LEFT(F40,5)="Bonne",D38+1,D39)</f>
        <v>3</v>
      </c>
      <c r="E40" t="s" s="778">
        <f>C40&amp;D40&amp;RIGHT(F40,1)</f>
        <v>2374</v>
      </c>
      <c r="F40" t="s" s="779">
        <v>1769</v>
      </c>
      <c r="G40" t="s" s="780">
        <f>VLOOKUP(E40,'BDD'!$A$2:$N$567,MATCH(G$24,'BDD'!$A$1:$P$1,0),FALSE)</f>
        <v>2375</v>
      </c>
      <c r="H40" t="s" s="799">
        <v>283</v>
      </c>
      <c r="I40" s="782"/>
      <c r="J40" s="782"/>
      <c r="K40" s="782"/>
      <c r="L40" s="793"/>
      <c r="M40" s="784">
        <f>IF(N40="Exigences partiellement respectées",1,IF(N40="Exigences respectées",2,0))</f>
        <v>0</v>
      </c>
      <c r="N40" t="s" s="780">
        <f>VLOOKUP(VLOOKUP(E40,'BDD'!$A$2:$P$428,15,FALSE),'Suppl'!$D$64:$E$68,2,FALSE)</f>
        <v>1751</v>
      </c>
      <c r="O40" s="1130"/>
      <c r="P40" s="787"/>
      <c r="Q40" s="787"/>
      <c r="R40" s="787"/>
      <c r="S40" s="787">
        <f>IF(N40='Suppl'!$E$65,0,IF(N40='Suppl'!$E$66,1/2/(_xlfn.COUNTIFS($D1:$D100,D40,$N1:$N100,"Exigences"&amp;"*",G1:G100,"&lt;&gt;0")+_xlfn.COUNTIFS($D1:$D100,D40,$N1:$N100,"Non"&amp;"*",G1:G100,"&lt;&gt;0")),IF(N40='Suppl'!$E$67,1/(_xlfn.COUNTIFS($D1:$D100,D40,$N1:$N100,"Exigences"&amp;"*",G1:G100,"&lt;&gt;0")+_xlfn.COUNTIFS($D1:$D100,D40,$N1:$N100,"Non"&amp;"*",G1:G100,"&lt;&gt;0")),0)))</f>
        <v>0</v>
      </c>
      <c r="T40" s="787"/>
      <c r="U40" s="787"/>
      <c r="V40" s="788"/>
      <c r="W40" s="789">
        <f>_xlfn.IFERROR(IF(N40='Suppl'!$E$65,0,IF(N40='Suppl'!$E$66,1/2/(_xlfn.COUNTIFS($N1:$N100,"Exigences"&amp;"*")+_xlfn.COUNTIFS($N1:$N100,"Non"&amp;"*")),IF(N40='Suppl'!$E$67,1/(_xlfn.COUNTIFS($N1:$N100,"Exigences"&amp;"*")+_xlfn.COUNTIFS($N1:$N100,"Non"&amp;"*")),0))),0)</f>
        <v>0</v>
      </c>
      <c r="X40" s="586"/>
      <c r="Y40" s="586"/>
      <c r="Z40" s="586"/>
      <c r="AA40" s="586"/>
      <c r="AB40" s="586"/>
      <c r="AC40" s="586"/>
      <c r="AD40" s="586"/>
      <c r="AE40" s="586"/>
      <c r="AF40" s="586"/>
      <c r="AG40" s="586"/>
      <c r="AH40" s="1040"/>
      <c r="AI40" s="585"/>
    </row>
    <row r="41" ht="30" customHeight="1">
      <c r="A41" s="1039"/>
      <c r="B41" s="753"/>
      <c r="C41" t="s" s="754">
        <f>IF(LEFT(RIGHT($B$1,2),1)=" ",RIGHT($B$1,1),RIGHT($B$1,2))</f>
        <v>2355</v>
      </c>
      <c r="D41" s="755">
        <f>IF(LEFT(F41,5)="Bonne",D39+1,D40)</f>
        <v>3</v>
      </c>
      <c r="E41" t="s" s="778">
        <f>C41&amp;D41&amp;RIGHT(F41,1)</f>
        <v>2376</v>
      </c>
      <c r="F41" t="s" s="790">
        <v>1837</v>
      </c>
      <c r="G41" t="s" s="791">
        <f>VLOOKUP(E41,'BDD'!$A$2:$N$567,MATCH(G$24,'BDD'!$A$1:$P$1,0),FALSE)</f>
        <v>2377</v>
      </c>
      <c r="H41" s="781"/>
      <c r="I41" s="782"/>
      <c r="J41" t="s" s="792">
        <v>271</v>
      </c>
      <c r="K41" s="782"/>
      <c r="L41" s="793"/>
      <c r="M41" s="794">
        <f>IF(N41="Exigences partiellement respectées",1,IF(N41="Exigences respectées",2,0))</f>
        <v>0</v>
      </c>
      <c r="N41" t="s" s="791">
        <f>VLOOKUP(VLOOKUP(E41,'BDD'!$A$2:$P$428,15,FALSE),'Suppl'!$D$64:$E$68,2,FALSE)</f>
        <v>1751</v>
      </c>
      <c r="O41" s="789"/>
      <c r="P41" s="797"/>
      <c r="Q41" s="797"/>
      <c r="R41" s="797"/>
      <c r="S41" s="797">
        <f>IF(N41='Suppl'!$E$65,0,IF(N41='Suppl'!$E$66,1/2/(_xlfn.COUNTIFS($D1:$D100,D41,$N1:$N100,"Exigences"&amp;"*",G1:G100,"&lt;&gt;0")+_xlfn.COUNTIFS($D1:$D100,D41,$N1:$N100,"Non"&amp;"*",G1:G100,"&lt;&gt;0")),IF(N41='Suppl'!$E$67,1/(_xlfn.COUNTIFS($D1:$D100,D41,$N1:$N100,"Exigences"&amp;"*",G1:G100,"&lt;&gt;0")+_xlfn.COUNTIFS($D1:$D100,D41,$N1:$N100,"Non"&amp;"*",G1:G100,"&lt;&gt;0")),0)))</f>
        <v>0</v>
      </c>
      <c r="T41" s="797"/>
      <c r="U41" s="797"/>
      <c r="V41" s="798"/>
      <c r="W41" s="789">
        <f>_xlfn.IFERROR(IF(N41='Suppl'!$E$65,0,IF(N41='Suppl'!$E$66,1/2/(_xlfn.COUNTIFS($N1:$N100,"Exigences"&amp;"*")+_xlfn.COUNTIFS($N1:$N100,"Non"&amp;"*")),IF(N41='Suppl'!$E$67,1/(_xlfn.COUNTIFS($N1:$N100,"Exigences"&amp;"*")+_xlfn.COUNTIFS($N1:$N100,"Non"&amp;"*")),0))),0)</f>
        <v>0</v>
      </c>
      <c r="X41" s="586"/>
      <c r="Y41" s="586"/>
      <c r="Z41" s="586"/>
      <c r="AA41" s="586"/>
      <c r="AB41" s="586"/>
      <c r="AC41" s="586"/>
      <c r="AD41" s="586"/>
      <c r="AE41" s="586"/>
      <c r="AF41" s="586"/>
      <c r="AG41" s="586"/>
      <c r="AH41" s="1040"/>
      <c r="AI41" s="585"/>
    </row>
    <row r="42" ht="55.2" customHeight="1">
      <c r="A42" s="1039"/>
      <c r="B42" s="753"/>
      <c r="C42" t="s" s="754">
        <f>IF(LEFT(RIGHT($B$1,2),1)=" ",RIGHT($B$1,1),RIGHT($B$1,2))</f>
        <v>2355</v>
      </c>
      <c r="D42" s="755">
        <f>IF(LEFT(F42,5)="Bonne",D40+1,D41)</f>
        <v>3</v>
      </c>
      <c r="E42" t="s" s="778">
        <f>C42&amp;D42&amp;RIGHT(F42,1)</f>
        <v>2372</v>
      </c>
      <c r="F42" t="s" s="779">
        <v>1774</v>
      </c>
      <c r="G42" t="s" s="780">
        <f>VLOOKUP(E42,'BDD'!$A$2:$N$567,MATCH(G$24,'BDD'!$A$1:$P$1,0),FALSE)</f>
        <v>1260</v>
      </c>
      <c r="H42" s="781"/>
      <c r="I42" s="782"/>
      <c r="J42" s="782"/>
      <c r="K42" t="s" s="792">
        <v>291</v>
      </c>
      <c r="L42" s="793"/>
      <c r="M42" s="800">
        <f>IF(N42="Exigences partiellement respectées",1,IF(N42="Exigences respectées",2,0))</f>
        <v>0</v>
      </c>
      <c r="N42" t="s" s="780">
        <f>VLOOKUP(VLOOKUP(E42,'BDD'!$A$2:$P$428,15,FALSE),'Suppl'!$D$64:$E$68,2,FALSE)</f>
        <v>1751</v>
      </c>
      <c r="O42" s="1131"/>
      <c r="P42" s="803"/>
      <c r="Q42" s="803"/>
      <c r="R42" s="803"/>
      <c r="S42" s="803">
        <f>IF(N42='Suppl'!$E$65,0,IF(N42='Suppl'!$E$66,1/2/(_xlfn.COUNTIFS($D1:$D100,D42,$N1:$N100,"Exigences"&amp;"*",G1:G100,"&lt;&gt;0")+_xlfn.COUNTIFS($D1:$D100,D42,$N1:$N100,"Non"&amp;"*",G1:G100,"&lt;&gt;0")),IF(N42='Suppl'!$E$67,1/(_xlfn.COUNTIFS($D1:$D100,D42,$N1:$N100,"Exigences"&amp;"*",G1:G100,"&lt;&gt;0")+_xlfn.COUNTIFS($D1:$D100,D42,$N1:$N100,"Non"&amp;"*",G1:G100,"&lt;&gt;0")),0)))</f>
        <v>0</v>
      </c>
      <c r="T42" s="803"/>
      <c r="U42" s="803"/>
      <c r="V42" s="804"/>
      <c r="W42" s="789">
        <f>_xlfn.IFERROR(IF(N42='Suppl'!$E$65,0,IF(N42='Suppl'!$E$66,1/2/(_xlfn.COUNTIFS($N1:$N100,"Exigences"&amp;"*")+_xlfn.COUNTIFS($N1:$N100,"Non"&amp;"*")),IF(N42='Suppl'!$E$67,1/(_xlfn.COUNTIFS($N1:$N100,"Exigences"&amp;"*")+_xlfn.COUNTIFS($N1:$N100,"Non"&amp;"*")),0))),0)</f>
        <v>0</v>
      </c>
      <c r="X42" s="586"/>
      <c r="Y42" s="586"/>
      <c r="Z42" s="586"/>
      <c r="AA42" s="586"/>
      <c r="AB42" s="586"/>
      <c r="AC42" s="586"/>
      <c r="AD42" s="586"/>
      <c r="AE42" s="586"/>
      <c r="AF42" s="586"/>
      <c r="AG42" s="586"/>
      <c r="AH42" s="1040"/>
      <c r="AI42" s="585"/>
    </row>
    <row r="43" ht="30" customHeight="1">
      <c r="A43" s="1039"/>
      <c r="B43" s="753"/>
      <c r="C43" t="s" s="754">
        <f>IF(LEFT(RIGHT($B$1,2),1)=" ",RIGHT($B$1,1),RIGHT($B$1,2))</f>
        <v>2355</v>
      </c>
      <c r="D43" s="755">
        <v>4</v>
      </c>
      <c r="E43" t="s" s="778">
        <f>C43&amp;D43&amp;RIGHT(F43,1)</f>
        <v>2382</v>
      </c>
      <c r="F43" t="s" s="757">
        <v>1806</v>
      </c>
      <c r="G43" t="s" s="758">
        <f>VLOOKUP(E45,'BDD'!$A$2:$N$567,6,FALSE)</f>
        <v>1266</v>
      </c>
      <c r="H43" s="759"/>
      <c r="I43" s="760"/>
      <c r="J43" s="760"/>
      <c r="K43" s="760"/>
      <c r="L43" s="761"/>
      <c r="M43" s="762"/>
      <c r="N43" s="763"/>
      <c r="O43" s="764">
        <v>0</v>
      </c>
      <c r="P43" s="764"/>
      <c r="Q43" s="764"/>
      <c r="R43" s="764"/>
      <c r="S43" s="765">
        <f>_xlfn.SUMIFS(S1:S100,$D1:$D100,D43,$N1:$N100,"Exigences"&amp;"*")</f>
      </c>
      <c r="T43" s="765"/>
      <c r="U43" s="765"/>
      <c r="V43" s="766"/>
      <c r="W43" s="789">
        <f>_xlfn.IFERROR(IF(N43='Suppl'!$E$65,0,IF(N43='Suppl'!$E$66,1/2/(_xlfn.COUNTIFS($N1:$N100,"Exigences"&amp;"*")+_xlfn.COUNTIFS($N1:$N100,"Non"&amp;"*")),IF(N43='Suppl'!$E$67,1/(_xlfn.COUNTIFS($N1:$N100,"Exigences"&amp;"*")+_xlfn.COUNTIFS($N1:$N100,"Non"&amp;"*")),0))),0)</f>
        <v>0</v>
      </c>
      <c r="X43" s="586"/>
      <c r="Y43" s="586"/>
      <c r="Z43" s="586"/>
      <c r="AA43" s="586"/>
      <c r="AB43" s="586"/>
      <c r="AC43" s="586"/>
      <c r="AD43" s="586"/>
      <c r="AE43" s="586"/>
      <c r="AF43" s="586"/>
      <c r="AG43" s="586"/>
      <c r="AH43" s="1040"/>
      <c r="AI43" s="585"/>
    </row>
    <row r="44" ht="30" customHeight="1">
      <c r="A44" s="1039"/>
      <c r="B44" s="753"/>
      <c r="C44" t="s" s="754">
        <f>IF(LEFT(RIGHT($B$1,2),1)=" ",RIGHT($B$1,1),RIGHT($B$1,2))</f>
        <v>2355</v>
      </c>
      <c r="D44" s="755">
        <v>4</v>
      </c>
      <c r="E44" t="s" s="778">
        <f>C44&amp;D44&amp;RIGHT(F44,1)</f>
        <v>2384</v>
      </c>
      <c r="F44" t="s" s="769">
        <v>1835</v>
      </c>
      <c r="G44" t="s" s="770">
        <f>VLOOKUP(E46,'BDD'!$A$2:$N$567,7,FALSE)</f>
        <v>2403</v>
      </c>
      <c r="H44" s="771"/>
      <c r="I44" s="771"/>
      <c r="J44" s="771"/>
      <c r="K44" s="771"/>
      <c r="L44" s="772"/>
      <c r="M44" s="773"/>
      <c r="N44" s="774"/>
      <c r="O44" s="775"/>
      <c r="P44" s="775"/>
      <c r="Q44" s="775"/>
      <c r="R44" s="775"/>
      <c r="S44" s="776"/>
      <c r="T44" s="776"/>
      <c r="U44" s="776"/>
      <c r="V44" s="777"/>
      <c r="W44" s="789">
        <f>_xlfn.IFERROR(IF(N44='Suppl'!$E$65,0,IF(N44='Suppl'!$E$66,1/2/(_xlfn.COUNTIFS($N1:$N100,"Exigences"&amp;"*")+_xlfn.COUNTIFS($N1:$N100,"Non"&amp;"*")),IF(N44='Suppl'!$E$67,1/(_xlfn.COUNTIFS($N1:$N100,"Exigences"&amp;"*")+_xlfn.COUNTIFS($N1:$N100,"Non"&amp;"*")),0))),0)</f>
        <v>0</v>
      </c>
      <c r="X44" s="586"/>
      <c r="Y44" s="586"/>
      <c r="Z44" s="586"/>
      <c r="AA44" s="586"/>
      <c r="AB44" s="586"/>
      <c r="AC44" s="586"/>
      <c r="AD44" s="586"/>
      <c r="AE44" s="586"/>
      <c r="AF44" s="586"/>
      <c r="AG44" s="586"/>
      <c r="AH44" s="1040"/>
      <c r="AI44" s="585"/>
    </row>
    <row r="45" ht="30" customHeight="1">
      <c r="A45" s="1039"/>
      <c r="B45" s="753"/>
      <c r="C45" t="s" s="754">
        <f>IF(LEFT(RIGHT($B$1,2),1)=" ",RIGHT($B$1,1),RIGHT($B$1,2))</f>
        <v>2355</v>
      </c>
      <c r="D45" s="755">
        <f>IF(LEFT(F45,5)="Bonne",D43+1,D44)</f>
        <v>4</v>
      </c>
      <c r="E45" t="s" s="778">
        <f>C45&amp;D45&amp;RIGHT(F45,1)</f>
        <v>2384</v>
      </c>
      <c r="F45" t="s" s="779">
        <v>1769</v>
      </c>
      <c r="G45" t="s" s="780">
        <f>VLOOKUP(E45,'BDD'!$A$2:$N$567,MATCH(G$24,'BDD'!$A$1:$P$1,0),FALSE)</f>
        <v>1268</v>
      </c>
      <c r="H45" t="s" s="799">
        <v>283</v>
      </c>
      <c r="I45" s="782"/>
      <c r="J45" s="782"/>
      <c r="K45" s="782"/>
      <c r="L45" s="793"/>
      <c r="M45" s="784">
        <f>IF(N45="Exigences partiellement respectées",1,IF(N45="Exigences respectées",2,0))</f>
        <v>0</v>
      </c>
      <c r="N45" t="s" s="780">
        <f>VLOOKUP(VLOOKUP(E45,'BDD'!$A$2:$P$428,15,FALSE),'Suppl'!$D$64:$E$68,2,FALSE)</f>
        <v>1751</v>
      </c>
      <c r="O45" s="1130"/>
      <c r="P45" s="787"/>
      <c r="Q45" s="787"/>
      <c r="R45" s="787"/>
      <c r="S45" s="787">
        <f>IF(N45='Suppl'!$E$65,0,IF(N45='Suppl'!$E$66,1/2/(_xlfn.COUNTIFS($D1:$D100,D45,$N1:$N100,"Exigences"&amp;"*",G1:G100,"&lt;&gt;0")+_xlfn.COUNTIFS($D1:$D100,D45,$N1:$N100,"Non"&amp;"*",G1:G100,"&lt;&gt;0")),IF(N45='Suppl'!$E$67,1/(_xlfn.COUNTIFS($D1:$D100,D45,$N1:$N100,"Exigences"&amp;"*",G1:G100,"&lt;&gt;0")+_xlfn.COUNTIFS($D1:$D100,D45,$N1:$N100,"Non"&amp;"*",G1:G100,"&lt;&gt;0")),0)))</f>
        <v>0</v>
      </c>
      <c r="T45" s="787"/>
      <c r="U45" s="787"/>
      <c r="V45" s="788"/>
      <c r="W45" s="789">
        <f>_xlfn.IFERROR(IF(N45='Suppl'!$E$65,0,IF(N45='Suppl'!$E$66,1/2/(_xlfn.COUNTIFS($N1:$N100,"Exigences"&amp;"*")+_xlfn.COUNTIFS($N1:$N100,"Non"&amp;"*")),IF(N45='Suppl'!$E$67,1/(_xlfn.COUNTIFS($N1:$N100,"Exigences"&amp;"*")+_xlfn.COUNTIFS($N1:$N100,"Non"&amp;"*")),0))),0)</f>
        <v>0</v>
      </c>
      <c r="X45" s="586"/>
      <c r="Y45" s="586"/>
      <c r="Z45" s="586"/>
      <c r="AA45" s="586"/>
      <c r="AB45" s="586"/>
      <c r="AC45" s="586"/>
      <c r="AD45" s="586"/>
      <c r="AE45" s="586"/>
      <c r="AF45" s="586"/>
      <c r="AG45" s="586"/>
      <c r="AH45" s="1040"/>
      <c r="AI45" s="585"/>
    </row>
    <row r="46" ht="30" customHeight="1">
      <c r="A46" s="1039"/>
      <c r="B46" s="753"/>
      <c r="C46" t="s" s="754">
        <f>IF(LEFT(RIGHT($B$1,2),1)=" ",RIGHT($B$1,1),RIGHT($B$1,2))</f>
        <v>2355</v>
      </c>
      <c r="D46" s="755">
        <f>IF(LEFT(F46,5)="Bonne",D44+1,D45)</f>
        <v>4</v>
      </c>
      <c r="E46" t="s" s="778">
        <f>C46&amp;D46&amp;RIGHT(F46,1)</f>
        <v>2404</v>
      </c>
      <c r="F46" t="s" s="790">
        <v>1837</v>
      </c>
      <c r="G46" t="s" s="791">
        <f>VLOOKUP(E46,'BDD'!$A$2:$N$567,MATCH(G$24,'BDD'!$A$1:$P$1,0),FALSE)</f>
        <v>1270</v>
      </c>
      <c r="H46" s="781"/>
      <c r="I46" t="s" s="792">
        <v>263</v>
      </c>
      <c r="J46" s="782"/>
      <c r="K46" s="782"/>
      <c r="L46" s="793"/>
      <c r="M46" s="794">
        <f>IF(N46="Exigences partiellement respectées",1,IF(N46="Exigences respectées",2,0))</f>
        <v>0</v>
      </c>
      <c r="N46" t="s" s="791">
        <f>VLOOKUP(VLOOKUP(E46,'BDD'!$A$2:$P$428,15,FALSE),'Suppl'!$D$64:$E$68,2,FALSE)</f>
        <v>1751</v>
      </c>
      <c r="O46" s="789"/>
      <c r="P46" s="797"/>
      <c r="Q46" s="797"/>
      <c r="R46" s="797"/>
      <c r="S46" s="797">
        <f>IF(N46='Suppl'!$E$65,0,IF(N46='Suppl'!$E$66,1/2/(_xlfn.COUNTIFS($D1:$D100,D46,$N1:$N100,"Exigences"&amp;"*",G1:G100,"&lt;&gt;0")+_xlfn.COUNTIFS($D1:$D100,D46,$N1:$N100,"Non"&amp;"*",G1:G100,"&lt;&gt;0")),IF(N46='Suppl'!$E$67,1/(_xlfn.COUNTIFS($D1:$D100,D46,$N1:$N100,"Exigences"&amp;"*",G1:G100,"&lt;&gt;0")+_xlfn.COUNTIFS($D1:$D100,D46,$N1:$N100,"Non"&amp;"*",G1:G100,"&lt;&gt;0")),0)))</f>
        <v>0</v>
      </c>
      <c r="T46" s="797"/>
      <c r="U46" s="797"/>
      <c r="V46" s="798"/>
      <c r="W46" s="789">
        <f>_xlfn.IFERROR(IF(N46='Suppl'!$E$65,0,IF(N46='Suppl'!$E$66,1/2/(_xlfn.COUNTIFS($N1:$N100,"Exigences"&amp;"*")+_xlfn.COUNTIFS($N1:$N100,"Non"&amp;"*")),IF(N46='Suppl'!$E$67,1/(_xlfn.COUNTIFS($N1:$N100,"Exigences"&amp;"*")+_xlfn.COUNTIFS($N1:$N100,"Non"&amp;"*")),0))),0)</f>
        <v>0</v>
      </c>
      <c r="X46" s="586"/>
      <c r="Y46" s="586"/>
      <c r="Z46" s="586"/>
      <c r="AA46" s="586"/>
      <c r="AB46" s="586"/>
      <c r="AC46" s="586"/>
      <c r="AD46" s="586"/>
      <c r="AE46" s="586"/>
      <c r="AF46" s="586"/>
      <c r="AG46" s="586"/>
      <c r="AH46" s="1040"/>
      <c r="AI46" s="585"/>
    </row>
    <row r="47" ht="30" customHeight="1">
      <c r="A47" s="1039"/>
      <c r="B47" s="753"/>
      <c r="C47" t="s" s="754">
        <f>IF(LEFT(RIGHT($B$1,2),1)=" ",RIGHT($B$1,1),RIGHT($B$1,2))</f>
        <v>2355</v>
      </c>
      <c r="D47" s="755">
        <f>IF(LEFT(F47,5)="Bonne",D45+1,D46)</f>
        <v>4</v>
      </c>
      <c r="E47" t="s" s="778">
        <f>C47&amp;D47&amp;RIGHT(F47,1)</f>
        <v>2405</v>
      </c>
      <c r="F47" t="s" s="779">
        <v>1774</v>
      </c>
      <c r="G47" t="s" s="780">
        <f>VLOOKUP(E47,'BDD'!$A$2:$N$567,MATCH(G$24,'BDD'!$A$1:$P$1,0),FALSE)</f>
        <v>1273</v>
      </c>
      <c r="H47" s="781"/>
      <c r="I47" s="782"/>
      <c r="J47" s="782"/>
      <c r="K47" t="s" s="792">
        <v>291</v>
      </c>
      <c r="L47" s="793"/>
      <c r="M47" s="794">
        <f>IF(N47="Exigences partiellement respectées",1,IF(N47="Exigences respectées",2,0))</f>
        <v>0</v>
      </c>
      <c r="N47" t="s" s="780">
        <f>VLOOKUP(VLOOKUP(E47,'BDD'!$A$2:$P$428,15,FALSE),'Suppl'!$D$64:$E$68,2,FALSE)</f>
        <v>1751</v>
      </c>
      <c r="O47" s="789"/>
      <c r="P47" s="797"/>
      <c r="Q47" s="797"/>
      <c r="R47" s="797"/>
      <c r="S47" s="797">
        <f>IF(N47='Suppl'!$E$65,0,IF(N47='Suppl'!$E$66,1/2/(_xlfn.COUNTIFS($D1:$D100,D47,$N1:$N100,"Exigences"&amp;"*",G1:G100,"&lt;&gt;0")+_xlfn.COUNTIFS($D1:$D100,D47,$N1:$N100,"Non"&amp;"*",G1:G100,"&lt;&gt;0")),IF(N47='Suppl'!$E$67,1/(_xlfn.COUNTIFS($D1:$D100,D47,$N1:$N100,"Exigences"&amp;"*",G1:G100,"&lt;&gt;0")+_xlfn.COUNTIFS($D1:$D100,D47,$N1:$N100,"Non"&amp;"*",G1:G100,"&lt;&gt;0")),0)))</f>
        <v>0</v>
      </c>
      <c r="T47" s="797"/>
      <c r="U47" s="797"/>
      <c r="V47" s="798"/>
      <c r="W47" s="789">
        <f>_xlfn.IFERROR(IF(N47='Suppl'!$E$65,0,IF(N47='Suppl'!$E$66,1/2/(_xlfn.COUNTIFS($N1:$N100,"Exigences"&amp;"*")+_xlfn.COUNTIFS($N1:$N100,"Non"&amp;"*")),IF(N47='Suppl'!$E$67,1/(_xlfn.COUNTIFS($N1:$N100,"Exigences"&amp;"*")+_xlfn.COUNTIFS($N1:$N100,"Non"&amp;"*")),0))),0)</f>
        <v>0</v>
      </c>
      <c r="X47" s="586"/>
      <c r="Y47" s="586"/>
      <c r="Z47" s="586"/>
      <c r="AA47" s="586"/>
      <c r="AB47" s="586"/>
      <c r="AC47" s="586"/>
      <c r="AD47" s="586"/>
      <c r="AE47" s="586"/>
      <c r="AF47" s="586"/>
      <c r="AG47" s="586"/>
      <c r="AH47" s="1040"/>
      <c r="AI47" s="585"/>
    </row>
    <row r="48" ht="43.8" customHeight="1">
      <c r="A48" s="1039"/>
      <c r="B48" s="753"/>
      <c r="C48" t="s" s="754">
        <f>IF(LEFT(RIGHT($B$1,2),1)=" ",RIGHT($B$1,1),RIGHT($B$1,2))</f>
        <v>2355</v>
      </c>
      <c r="D48" s="755">
        <f>IF(LEFT(F48,5)="Bonne",D46+1,D47)</f>
        <v>4</v>
      </c>
      <c r="E48" t="s" s="778">
        <f>C48&amp;D48&amp;RIGHT(F48,1)</f>
        <v>2382</v>
      </c>
      <c r="F48" t="s" s="790">
        <v>1776</v>
      </c>
      <c r="G48" t="s" s="791">
        <f>VLOOKUP(E48,'BDD'!$A$2:$N$567,MATCH(G$24,'BDD'!$A$1:$P$1,0),FALSE)</f>
        <v>1275</v>
      </c>
      <c r="H48" t="s" s="799">
        <v>283</v>
      </c>
      <c r="I48" s="782"/>
      <c r="J48" s="782"/>
      <c r="K48" s="782"/>
      <c r="L48" s="793"/>
      <c r="M48" s="794">
        <f>IF(N48="Exigences partiellement respectées",1,IF(N48="Exigences respectées",2,0))</f>
        <v>0</v>
      </c>
      <c r="N48" t="s" s="791">
        <f>VLOOKUP(VLOOKUP(E48,'BDD'!$A$2:$P$428,15,FALSE),'Suppl'!$D$64:$E$68,2,FALSE)</f>
        <v>1751</v>
      </c>
      <c r="O48" s="789"/>
      <c r="P48" s="797"/>
      <c r="Q48" s="797"/>
      <c r="R48" s="797"/>
      <c r="S48" s="797">
        <f>IF(N48='Suppl'!$E$65,0,IF(N48='Suppl'!$E$66,1/2/(_xlfn.COUNTIFS($D1:$D100,D48,$N1:$N100,"Exigences"&amp;"*",G1:G100,"&lt;&gt;0")+_xlfn.COUNTIFS($D1:$D100,D48,$N1:$N100,"Non"&amp;"*",G1:G100,"&lt;&gt;0")),IF(N48='Suppl'!$E$67,1/(_xlfn.COUNTIFS($D1:$D100,D48,$N1:$N100,"Exigences"&amp;"*",G1:G100,"&lt;&gt;0")+_xlfn.COUNTIFS($D1:$D100,D48,$N1:$N100,"Non"&amp;"*",G1:G100,"&lt;&gt;0")),0)))</f>
      </c>
      <c r="T48" s="797"/>
      <c r="U48" s="797"/>
      <c r="V48" s="798"/>
      <c r="W48" s="789">
        <f>_xlfn.IFERROR(IF(N48='Suppl'!$E$65,0,IF(N48='Suppl'!$E$66,1/2/(_xlfn.COUNTIFS($N1:$N100,"Exigences"&amp;"*")+_xlfn.COUNTIFS($N1:$N100,"Non"&amp;"*")),IF(N48='Suppl'!$E$67,1/(_xlfn.COUNTIFS($N1:$N100,"Exigences"&amp;"*")+_xlfn.COUNTIFS($N1:$N100,"Non"&amp;"*")),0))),0)</f>
        <v>0</v>
      </c>
      <c r="X48" s="586"/>
      <c r="Y48" s="586"/>
      <c r="Z48" s="586"/>
      <c r="AA48" s="586"/>
      <c r="AB48" s="586"/>
      <c r="AC48" s="586"/>
      <c r="AD48" s="586"/>
      <c r="AE48" s="586"/>
      <c r="AF48" s="586"/>
      <c r="AG48" s="586"/>
      <c r="AH48" s="1040"/>
      <c r="AI48" s="585"/>
    </row>
    <row r="49" ht="30" customHeight="1">
      <c r="A49" s="1039"/>
      <c r="B49" s="753"/>
      <c r="C49" t="s" s="754">
        <f>IF(LEFT(RIGHT($B$1,2),1)=" ",RIGHT($B$1,1),RIGHT($B$1,2))</f>
        <v>2355</v>
      </c>
      <c r="D49" s="755">
        <f>IF(LEFT(F49,5)="Bonne",D47+1,D48)</f>
        <v>4</v>
      </c>
      <c r="E49" t="s" s="778">
        <f>C49&amp;D49&amp;RIGHT(F49,1)</f>
        <v>2406</v>
      </c>
      <c r="F49" t="s" s="779">
        <v>1778</v>
      </c>
      <c r="G49" t="s" s="780">
        <f>VLOOKUP(E49,'BDD'!$A$2:$N$567,MATCH(G$24,'BDD'!$A$1:$P$1,0),FALSE)</f>
        <v>1278</v>
      </c>
      <c r="H49" s="781"/>
      <c r="I49" t="s" s="792">
        <v>263</v>
      </c>
      <c r="J49" s="782"/>
      <c r="K49" s="782"/>
      <c r="L49" s="793"/>
      <c r="M49" s="794">
        <f>IF(N49="Exigences partiellement respectées",1,IF(N49="Exigences respectées",2,0))</f>
        <v>0</v>
      </c>
      <c r="N49" t="s" s="780">
        <f>VLOOKUP(VLOOKUP(E49,'BDD'!$A$2:$P$428,15,FALSE),'Suppl'!$D$64:$E$68,2,FALSE)</f>
        <v>1751</v>
      </c>
      <c r="O49" s="789"/>
      <c r="P49" s="797"/>
      <c r="Q49" s="797"/>
      <c r="R49" s="797"/>
      <c r="S49" s="797">
        <f>IF(N49='Suppl'!$E$65,0,IF(N49='Suppl'!$E$66,1/2/(_xlfn.COUNTIFS($D1:$D100,D49,$N1:$N100,"Exigences"&amp;"*",G1:G100,"&lt;&gt;0")+_xlfn.COUNTIFS($D1:$D100,D49,$N1:$N100,"Non"&amp;"*",G1:G100,"&lt;&gt;0")),IF(N49='Suppl'!$E$67,1/(_xlfn.COUNTIFS($D1:$D100,D49,$N1:$N100,"Exigences"&amp;"*",G1:G100,"&lt;&gt;0")+_xlfn.COUNTIFS($D1:$D100,D49,$N1:$N100,"Non"&amp;"*",G1:G100,"&lt;&gt;0")),0)))</f>
      </c>
      <c r="T49" s="797"/>
      <c r="U49" s="797"/>
      <c r="V49" s="798"/>
      <c r="W49" s="789">
        <f>_xlfn.IFERROR(IF(N49='Suppl'!$E$65,0,IF(N49='Suppl'!$E$66,1/2/(_xlfn.COUNTIFS($N1:$N100,"Exigences"&amp;"*")+_xlfn.COUNTIFS($N1:$N100,"Non"&amp;"*")),IF(N49='Suppl'!$E$67,1/(_xlfn.COUNTIFS($N1:$N100,"Exigences"&amp;"*")+_xlfn.COUNTIFS($N1:$N100,"Non"&amp;"*")),0))),0)</f>
        <v>0</v>
      </c>
      <c r="X49" s="586"/>
      <c r="Y49" s="586"/>
      <c r="Z49" s="586"/>
      <c r="AA49" s="586"/>
      <c r="AB49" s="586"/>
      <c r="AC49" s="586"/>
      <c r="AD49" s="586"/>
      <c r="AE49" s="586"/>
      <c r="AF49" s="586"/>
      <c r="AG49" s="586"/>
      <c r="AH49" s="1040"/>
      <c r="AI49" s="585"/>
    </row>
    <row r="50" ht="58.2" customHeight="1">
      <c r="A50" s="1039"/>
      <c r="B50" s="753"/>
      <c r="C50" t="s" s="754">
        <f>IF(LEFT(RIGHT($B$1,2),1)=" ",RIGHT($B$1,1),RIGHT($B$1,2))</f>
        <v>2355</v>
      </c>
      <c r="D50" s="755">
        <f>IF(LEFT(F50,5)="Bonne",D48+1,D49)</f>
        <v>4</v>
      </c>
      <c r="E50" t="s" s="778">
        <f>C50&amp;D50&amp;RIGHT(F50,1)</f>
        <v>2407</v>
      </c>
      <c r="F50" t="s" s="790">
        <v>1780</v>
      </c>
      <c r="G50" t="s" s="791">
        <f>VLOOKUP(E50,'BDD'!$A$2:$N$567,MATCH(G$24,'BDD'!$A$1:$P$1,0),FALSE)</f>
        <v>1281</v>
      </c>
      <c r="H50" s="781"/>
      <c r="I50" s="782"/>
      <c r="J50" s="782"/>
      <c r="K50" t="s" s="792">
        <v>291</v>
      </c>
      <c r="L50" s="793"/>
      <c r="M50" s="800">
        <f>IF(N50="Exigences partiellement respectées",1,IF(N50="Exigences respectées",2,0))</f>
        <v>0</v>
      </c>
      <c r="N50" t="s" s="791">
        <f>VLOOKUP(VLOOKUP(E50,'BDD'!$A$2:$P$428,15,FALSE),'Suppl'!$D$64:$E$68,2,FALSE)</f>
        <v>1751</v>
      </c>
      <c r="O50" s="1131"/>
      <c r="P50" s="803"/>
      <c r="Q50" s="803"/>
      <c r="R50" s="803"/>
      <c r="S50" s="803">
        <f>IF(N50='Suppl'!$E$65,0,IF(N50='Suppl'!$E$66,1/2/(_xlfn.COUNTIFS($D1:$D100,D50,$N1:$N100,"Exigences"&amp;"*",G1:G100,"&lt;&gt;0")+_xlfn.COUNTIFS($D1:$D100,D50,$N1:$N100,"Non"&amp;"*",G1:G100,"&lt;&gt;0")),IF(N50='Suppl'!$E$67,1/(_xlfn.COUNTIFS($D1:$D100,D50,$N1:$N100,"Exigences"&amp;"*",G1:G100,"&lt;&gt;0")+_xlfn.COUNTIFS($D1:$D100,D50,$N1:$N100,"Non"&amp;"*",G1:G100,"&lt;&gt;0")),0)))</f>
      </c>
      <c r="T50" s="803"/>
      <c r="U50" s="803"/>
      <c r="V50" s="804"/>
      <c r="W50" s="789">
        <f>_xlfn.IFERROR(IF(N50='Suppl'!$E$65,0,IF(N50='Suppl'!$E$66,1/2/(_xlfn.COUNTIFS($N1:$N100,"Exigences"&amp;"*")+_xlfn.COUNTIFS($N1:$N100,"Non"&amp;"*")),IF(N50='Suppl'!$E$67,1/(_xlfn.COUNTIFS($N1:$N100,"Exigences"&amp;"*")+_xlfn.COUNTIFS($N1:$N100,"Non"&amp;"*")),0))),0)</f>
        <v>0</v>
      </c>
      <c r="X50" s="586"/>
      <c r="Y50" s="586"/>
      <c r="Z50" s="586"/>
      <c r="AA50" s="586"/>
      <c r="AB50" s="586"/>
      <c r="AC50" s="586"/>
      <c r="AD50" s="586"/>
      <c r="AE50" s="586"/>
      <c r="AF50" s="586"/>
      <c r="AG50" s="586"/>
      <c r="AH50" s="1040"/>
      <c r="AI50" s="585"/>
    </row>
    <row r="51" ht="30" customHeight="1">
      <c r="A51" s="1039"/>
      <c r="B51" s="753"/>
      <c r="C51" t="s" s="754">
        <f>IF(LEFT(RIGHT($B$1,2),1)=" ",RIGHT($B$1,1),RIGHT($B$1,2))</f>
        <v>2355</v>
      </c>
      <c r="D51" s="755">
        <f>IF(LEFT(F51,5)="Bonne",D49+1,D50)</f>
        <v>5</v>
      </c>
      <c r="E51" t="s" s="778">
        <f>C51&amp;D51&amp;RIGHT(F51,1)</f>
        <v>2408</v>
      </c>
      <c r="F51" t="s" s="757">
        <v>1814</v>
      </c>
      <c r="G51" t="s" s="758">
        <f>VLOOKUP(E53,'BDD'!$A$2:$N$567,6,FALSE)</f>
        <v>1284</v>
      </c>
      <c r="H51" s="759"/>
      <c r="I51" s="760"/>
      <c r="J51" s="760"/>
      <c r="K51" s="760"/>
      <c r="L51" s="761"/>
      <c r="M51" s="762"/>
      <c r="N51" s="763"/>
      <c r="O51" s="764">
        <v>0</v>
      </c>
      <c r="P51" s="764"/>
      <c r="Q51" s="764"/>
      <c r="R51" s="764"/>
      <c r="S51" s="765">
        <f>_xlfn.SUMIFS(S1:S100,$D1:$D100,D51,$N1:$N100,"Exigences"&amp;"*")</f>
      </c>
      <c r="T51" s="765"/>
      <c r="U51" s="765"/>
      <c r="V51" s="766"/>
      <c r="W51" s="789">
        <f>_xlfn.IFERROR(IF(N51='Suppl'!$E$65,0,IF(N51='Suppl'!$E$66,1/2/(_xlfn.COUNTIFS($N1:$N100,"Exigences"&amp;"*")+_xlfn.COUNTIFS($N1:$N100,"Non"&amp;"*")),IF(N51='Suppl'!$E$67,1/(_xlfn.COUNTIFS($N1:$N100,"Exigences"&amp;"*")+_xlfn.COUNTIFS($N1:$N100,"Non"&amp;"*")),0))),0)</f>
        <v>0</v>
      </c>
      <c r="X51" s="586"/>
      <c r="Y51" s="586"/>
      <c r="Z51" s="586"/>
      <c r="AA51" s="586"/>
      <c r="AB51" s="586"/>
      <c r="AC51" s="586"/>
      <c r="AD51" s="586"/>
      <c r="AE51" s="586"/>
      <c r="AF51" s="586"/>
      <c r="AG51" s="586"/>
      <c r="AH51" s="1040"/>
      <c r="AI51" s="585"/>
    </row>
    <row r="52" ht="30" customHeight="1">
      <c r="A52" s="1039"/>
      <c r="B52" s="753"/>
      <c r="C52" t="s" s="754">
        <f>IF(LEFT(RIGHT($B$1,2),1)=" ",RIGHT($B$1,1),RIGHT($B$1,2))</f>
        <v>2355</v>
      </c>
      <c r="D52" s="755">
        <f>IF(LEFT(F52,5)="Bonne",D50+1,D51)</f>
        <v>5</v>
      </c>
      <c r="E52" t="s" s="778">
        <f>C52&amp;D52&amp;RIGHT(F52,1)</f>
        <v>2409</v>
      </c>
      <c r="F52" t="s" s="769">
        <v>1835</v>
      </c>
      <c r="G52" t="s" s="770">
        <f>VLOOKUP(E54,'BDD'!$A$2:$N$567,7,FALSE)</f>
        <v>2410</v>
      </c>
      <c r="H52" s="771"/>
      <c r="I52" s="771"/>
      <c r="J52" s="771"/>
      <c r="K52" s="771"/>
      <c r="L52" s="772"/>
      <c r="M52" s="773"/>
      <c r="N52" s="774"/>
      <c r="O52" s="775"/>
      <c r="P52" s="775"/>
      <c r="Q52" s="775"/>
      <c r="R52" s="775"/>
      <c r="S52" s="776"/>
      <c r="T52" s="776"/>
      <c r="U52" s="776"/>
      <c r="V52" s="777"/>
      <c r="W52" s="789">
        <f>_xlfn.IFERROR(IF(N52='Suppl'!$E$65,0,IF(N52='Suppl'!$E$66,1/2/(_xlfn.COUNTIFS($N1:$N100,"Exigences"&amp;"*")+_xlfn.COUNTIFS($N1:$N100,"Non"&amp;"*")),IF(N52='Suppl'!$E$67,1/(_xlfn.COUNTIFS($N1:$N100,"Exigences"&amp;"*")+_xlfn.COUNTIFS($N1:$N100,"Non"&amp;"*")),0))),0)</f>
        <v>0</v>
      </c>
      <c r="X52" s="586"/>
      <c r="Y52" s="586"/>
      <c r="Z52" s="586"/>
      <c r="AA52" s="586"/>
      <c r="AB52" s="586"/>
      <c r="AC52" s="586"/>
      <c r="AD52" s="586"/>
      <c r="AE52" s="586"/>
      <c r="AF52" s="586"/>
      <c r="AG52" s="586"/>
      <c r="AH52" s="1040"/>
      <c r="AI52" s="585"/>
    </row>
    <row r="53" ht="27.6" customHeight="1">
      <c r="A53" s="1039"/>
      <c r="B53" s="753"/>
      <c r="C53" t="s" s="754">
        <f>IF(LEFT(RIGHT($B$1,2),1)=" ",RIGHT($B$1,1),RIGHT($B$1,2))</f>
        <v>2355</v>
      </c>
      <c r="D53" s="755">
        <f>IF(LEFT(F53,5)="Bonne",D51+1,D52)</f>
        <v>5</v>
      </c>
      <c r="E53" t="s" s="778">
        <f>C53&amp;D53&amp;RIGHT(F53,1)</f>
        <v>2409</v>
      </c>
      <c r="F53" t="s" s="779">
        <v>1769</v>
      </c>
      <c r="G53" t="s" s="780">
        <f>VLOOKUP(E53,'BDD'!$A$2:$N$567,MATCH(G$24,'BDD'!$A$1:$P$1,0),FALSE)</f>
        <v>1286</v>
      </c>
      <c r="H53" t="s" s="799">
        <v>283</v>
      </c>
      <c r="I53" s="782"/>
      <c r="J53" s="782"/>
      <c r="K53" s="782"/>
      <c r="L53" s="793"/>
      <c r="M53" s="784">
        <f>IF(N53="Exigences partiellement respectées",1,IF(N53="Exigences respectées",2,0))</f>
        <v>0</v>
      </c>
      <c r="N53" t="s" s="780">
        <f>VLOOKUP(VLOOKUP(E53,'BDD'!$A$2:$P$428,15,FALSE),'Suppl'!$D$64:$E$68,2,FALSE)</f>
        <v>1751</v>
      </c>
      <c r="O53" s="1130"/>
      <c r="P53" s="787"/>
      <c r="Q53" s="787"/>
      <c r="R53" s="787"/>
      <c r="S53" s="787">
        <f>IF(N53='Suppl'!$E$65,0,IF(N53='Suppl'!$E$66,1/2/(_xlfn.COUNTIFS($D1:$D100,D53,$N1:$N100,"Exigences"&amp;"*",G1:G100,"&lt;&gt;0")+_xlfn.COUNTIFS($D1:$D100,D53,$N1:$N100,"Non"&amp;"*",G1:G100,"&lt;&gt;0")),IF(N53='Suppl'!$E$67,1/(_xlfn.COUNTIFS($D1:$D100,D53,$N1:$N100,"Exigences"&amp;"*",G1:G100,"&lt;&gt;0")+_xlfn.COUNTIFS($D1:$D100,D53,$N1:$N100,"Non"&amp;"*",G1:G100,"&lt;&gt;0")),0)))</f>
      </c>
      <c r="T53" s="787"/>
      <c r="U53" s="787"/>
      <c r="V53" s="788"/>
      <c r="W53" s="789">
        <f>_xlfn.IFERROR(IF(N53='Suppl'!$E$65,0,IF(N53='Suppl'!$E$66,1/2/(_xlfn.COUNTIFS($N1:$N100,"Exigences"&amp;"*")+_xlfn.COUNTIFS($N1:$N100,"Non"&amp;"*")),IF(N53='Suppl'!$E$67,1/(_xlfn.COUNTIFS($N1:$N100,"Exigences"&amp;"*")+_xlfn.COUNTIFS($N1:$N100,"Non"&amp;"*")),0))),0)</f>
        <v>0</v>
      </c>
      <c r="X53" s="586"/>
      <c r="Y53" s="586"/>
      <c r="Z53" s="586"/>
      <c r="AA53" s="586"/>
      <c r="AB53" s="586"/>
      <c r="AC53" s="586"/>
      <c r="AD53" s="586"/>
      <c r="AE53" s="586"/>
      <c r="AF53" s="586"/>
      <c r="AG53" s="586"/>
      <c r="AH53" s="1040"/>
      <c r="AI53" s="585"/>
    </row>
    <row r="54" ht="30" customHeight="1">
      <c r="A54" s="1039"/>
      <c r="B54" s="753"/>
      <c r="C54" t="s" s="754">
        <f>IF(LEFT(RIGHT($B$1,2),1)=" ",RIGHT($B$1,1),RIGHT($B$1,2))</f>
        <v>2355</v>
      </c>
      <c r="D54" s="755">
        <f>IF(LEFT(F54,5)="Bonne",D52+1,D53)</f>
        <v>5</v>
      </c>
      <c r="E54" t="s" s="778">
        <f>C54&amp;D54&amp;RIGHT(F54,1)</f>
        <v>2411</v>
      </c>
      <c r="F54" t="s" s="790">
        <v>1837</v>
      </c>
      <c r="G54" t="s" s="791">
        <f>VLOOKUP(E54,'BDD'!$A$2:$N$567,MATCH(G$24,'BDD'!$A$1:$P$1,0),FALSE)</f>
        <v>1289</v>
      </c>
      <c r="H54" s="781"/>
      <c r="I54" t="s" s="792">
        <v>263</v>
      </c>
      <c r="J54" s="782"/>
      <c r="K54" s="782"/>
      <c r="L54" s="793"/>
      <c r="M54" s="794">
        <f>IF(N54="Exigences partiellement respectées",1,IF(N54="Exigences respectées",2,0))</f>
        <v>0</v>
      </c>
      <c r="N54" t="s" s="791">
        <f>VLOOKUP(VLOOKUP(E54,'BDD'!$A$2:$P$428,15,FALSE),'Suppl'!$D$64:$E$68,2,FALSE)</f>
        <v>1751</v>
      </c>
      <c r="O54" s="789"/>
      <c r="P54" s="797"/>
      <c r="Q54" s="797"/>
      <c r="R54" s="797"/>
      <c r="S54" s="797">
        <f>IF(N54='Suppl'!$E$65,0,IF(N54='Suppl'!$E$66,1/2/(_xlfn.COUNTIFS($D1:$D100,D54,$N1:$N100,"Exigences"&amp;"*",G1:G100,"&lt;&gt;0")+_xlfn.COUNTIFS($D1:$D100,D54,$N1:$N100,"Non"&amp;"*",G1:G100,"&lt;&gt;0")),IF(N54='Suppl'!$E$67,1/(_xlfn.COUNTIFS($D1:$D100,D54,$N1:$N100,"Exigences"&amp;"*",G1:G100,"&lt;&gt;0")+_xlfn.COUNTIFS($D1:$D100,D54,$N1:$N100,"Non"&amp;"*",G1:G100,"&lt;&gt;0")),0)))</f>
      </c>
      <c r="T54" s="797"/>
      <c r="U54" s="797"/>
      <c r="V54" s="798"/>
      <c r="W54" s="789">
        <f>_xlfn.IFERROR(IF(N54='Suppl'!$E$65,0,IF(N54='Suppl'!$E$66,1/2/(_xlfn.COUNTIFS($N1:$N100,"Exigences"&amp;"*")+_xlfn.COUNTIFS($N1:$N100,"Non"&amp;"*")),IF(N54='Suppl'!$E$67,1/(_xlfn.COUNTIFS($N1:$N100,"Exigences"&amp;"*")+_xlfn.COUNTIFS($N1:$N100,"Non"&amp;"*")),0))),0)</f>
        <v>0</v>
      </c>
      <c r="X54" s="586"/>
      <c r="Y54" s="586"/>
      <c r="Z54" s="586"/>
      <c r="AA54" s="586"/>
      <c r="AB54" s="586"/>
      <c r="AC54" s="586"/>
      <c r="AD54" s="586"/>
      <c r="AE54" s="586"/>
      <c r="AF54" s="586"/>
      <c r="AG54" s="586"/>
      <c r="AH54" s="1040"/>
      <c r="AI54" s="585"/>
    </row>
    <row r="55" ht="30" customHeight="1">
      <c r="A55" s="1039"/>
      <c r="B55" s="753"/>
      <c r="C55" t="s" s="754">
        <f>IF(LEFT(RIGHT($B$1,2),1)=" ",RIGHT($B$1,1),RIGHT($B$1,2))</f>
        <v>2355</v>
      </c>
      <c r="D55" s="755">
        <f>IF(LEFT(F55,5)="Bonne",D53+1,D54)</f>
        <v>5</v>
      </c>
      <c r="E55" t="s" s="778">
        <f>C55&amp;D55&amp;RIGHT(F55,1)</f>
        <v>2412</v>
      </c>
      <c r="F55" t="s" s="779">
        <v>1774</v>
      </c>
      <c r="G55" t="s" s="780">
        <f>VLOOKUP(E55,'BDD'!$A$2:$N$567,MATCH(G$24,'BDD'!$A$1:$P$1,0),FALSE)</f>
        <v>1292</v>
      </c>
      <c r="H55" s="781"/>
      <c r="I55" t="s" s="792">
        <v>263</v>
      </c>
      <c r="J55" s="782"/>
      <c r="K55" s="782"/>
      <c r="L55" s="793"/>
      <c r="M55" s="800">
        <f>IF(N55="Exigences partiellement respectées",1,IF(N55="Exigences respectées",2,0))</f>
        <v>0</v>
      </c>
      <c r="N55" t="s" s="780">
        <f>VLOOKUP(VLOOKUP(E55,'BDD'!$A$2:$P$428,15,FALSE),'Suppl'!$D$64:$E$68,2,FALSE)</f>
        <v>1751</v>
      </c>
      <c r="O55" s="1131"/>
      <c r="P55" s="803"/>
      <c r="Q55" s="803"/>
      <c r="R55" s="803"/>
      <c r="S55" s="803">
        <f>IF(N55='Suppl'!$E$65,0,IF(N55='Suppl'!$E$66,1/2/(_xlfn.COUNTIFS($D1:$D100,D55,$N1:$N100,"Exigences"&amp;"*",G1:G100,"&lt;&gt;0")+_xlfn.COUNTIFS($D1:$D100,D55,$N1:$N100,"Non"&amp;"*",G1:G100,"&lt;&gt;0")),IF(N55='Suppl'!$E$67,1/(_xlfn.COUNTIFS($D1:$D100,D55,$N1:$N100,"Exigences"&amp;"*",G1:G100,"&lt;&gt;0")+_xlfn.COUNTIFS($D1:$D100,D55,$N1:$N100,"Non"&amp;"*",G1:G100,"&lt;&gt;0")),0)))</f>
      </c>
      <c r="T55" s="803"/>
      <c r="U55" s="803"/>
      <c r="V55" s="804"/>
      <c r="W55" s="789">
        <f>_xlfn.IFERROR(IF(N55='Suppl'!$E$65,0,IF(N55='Suppl'!$E$66,1/2/(_xlfn.COUNTIFS($N1:$N100,"Exigences"&amp;"*")+_xlfn.COUNTIFS($N1:$N100,"Non"&amp;"*")),IF(N55='Suppl'!$E$67,1/(_xlfn.COUNTIFS($N1:$N100,"Exigences"&amp;"*")+_xlfn.COUNTIFS($N1:$N100,"Non"&amp;"*")),0))),0)</f>
        <v>0</v>
      </c>
      <c r="X55" s="586"/>
      <c r="Y55" s="586"/>
      <c r="Z55" s="586"/>
      <c r="AA55" s="586"/>
      <c r="AB55" s="586"/>
      <c r="AC55" s="586"/>
      <c r="AD55" s="586"/>
      <c r="AE55" s="586"/>
      <c r="AF55" s="586"/>
      <c r="AG55" s="586"/>
      <c r="AH55" s="1040"/>
      <c r="AI55" s="585"/>
    </row>
    <row r="56" ht="30" customHeight="1">
      <c r="A56" s="1039"/>
      <c r="B56" s="753"/>
      <c r="C56" t="s" s="754">
        <f>IF(LEFT(RIGHT($B$1,2),1)=" ",RIGHT($B$1,1),RIGHT($B$1,2))</f>
        <v>2355</v>
      </c>
      <c r="D56" s="755">
        <f>IF(LEFT(F56,5)="Bonne",D54+1,D55)</f>
        <v>6</v>
      </c>
      <c r="E56" t="s" s="778">
        <f>C56&amp;D56&amp;RIGHT(F56,1)</f>
        <v>2413</v>
      </c>
      <c r="F56" t="s" s="757">
        <v>1887</v>
      </c>
      <c r="G56" t="s" s="758">
        <f>VLOOKUP(E58,'BDD'!$A$2:$N$567,6,FALSE)</f>
        <v>1298</v>
      </c>
      <c r="H56" s="759"/>
      <c r="I56" s="760"/>
      <c r="J56" s="760"/>
      <c r="K56" s="760"/>
      <c r="L56" s="761"/>
      <c r="M56" s="762"/>
      <c r="N56" s="763"/>
      <c r="O56" s="764">
        <v>0</v>
      </c>
      <c r="P56" s="764"/>
      <c r="Q56" s="764"/>
      <c r="R56" s="764"/>
      <c r="S56" s="765">
        <f>_xlfn.SUMIFS(S1:S100,$D1:$D100,D56,$N1:$N100,"Exigences"&amp;"*")</f>
      </c>
      <c r="T56" s="765"/>
      <c r="U56" s="765"/>
      <c r="V56" s="766"/>
      <c r="W56" s="789">
        <f>_xlfn.IFERROR(IF(N56='Suppl'!$E$65,0,IF(N56='Suppl'!$E$66,1/2/(_xlfn.COUNTIFS($N1:$N100,"Exigences"&amp;"*")+_xlfn.COUNTIFS($N1:$N100,"Non"&amp;"*")),IF(N56='Suppl'!$E$67,1/(_xlfn.COUNTIFS($N1:$N100,"Exigences"&amp;"*")+_xlfn.COUNTIFS($N1:$N100,"Non"&amp;"*")),0))),0)</f>
        <v>0</v>
      </c>
      <c r="X56" s="586"/>
      <c r="Y56" s="586"/>
      <c r="Z56" s="586"/>
      <c r="AA56" s="586"/>
      <c r="AB56" s="586"/>
      <c r="AC56" s="586"/>
      <c r="AD56" s="586"/>
      <c r="AE56" s="586"/>
      <c r="AF56" s="586"/>
      <c r="AG56" s="586"/>
      <c r="AH56" s="1040"/>
      <c r="AI56" s="585"/>
    </row>
    <row r="57" ht="30" customHeight="1">
      <c r="A57" s="1039"/>
      <c r="B57" s="753"/>
      <c r="C57" t="s" s="754">
        <f>IF(LEFT(RIGHT($B$1,2),1)=" ",RIGHT($B$1,1),RIGHT($B$1,2))</f>
        <v>2355</v>
      </c>
      <c r="D57" s="755">
        <f>IF(LEFT(F57,5)="Bonne",D55+1,D56)</f>
        <v>6</v>
      </c>
      <c r="E57" t="s" s="778">
        <f>C57&amp;D57&amp;RIGHT(F57,1)</f>
        <v>2414</v>
      </c>
      <c r="F57" t="s" s="769">
        <v>1835</v>
      </c>
      <c r="G57" t="s" s="770">
        <f>VLOOKUP(E59,'BDD'!$A$2:$N$567,7,FALSE)</f>
        <v>2415</v>
      </c>
      <c r="H57" s="771"/>
      <c r="I57" s="771"/>
      <c r="J57" s="771"/>
      <c r="K57" s="771"/>
      <c r="L57" s="772"/>
      <c r="M57" s="773"/>
      <c r="N57" s="774"/>
      <c r="O57" s="775"/>
      <c r="P57" s="775"/>
      <c r="Q57" s="775"/>
      <c r="R57" s="775"/>
      <c r="S57" s="776"/>
      <c r="T57" s="776"/>
      <c r="U57" s="776"/>
      <c r="V57" s="777"/>
      <c r="W57" s="789">
        <f>_xlfn.IFERROR(IF(N57='Suppl'!$E$65,0,IF(N57='Suppl'!$E$66,1/2/(_xlfn.COUNTIFS($N1:$N100,"Exigences"&amp;"*")+_xlfn.COUNTIFS($N1:$N100,"Non"&amp;"*")),IF(N57='Suppl'!$E$67,1/(_xlfn.COUNTIFS($N1:$N100,"Exigences"&amp;"*")+_xlfn.COUNTIFS($N1:$N100,"Non"&amp;"*")),0))),0)</f>
      </c>
      <c r="X57" s="586"/>
      <c r="Y57" s="586"/>
      <c r="Z57" s="586"/>
      <c r="AA57" s="586"/>
      <c r="AB57" s="586"/>
      <c r="AC57" s="586"/>
      <c r="AD57" s="586"/>
      <c r="AE57" s="586"/>
      <c r="AF57" s="586"/>
      <c r="AG57" s="586"/>
      <c r="AH57" s="1040"/>
      <c r="AI57" s="585"/>
    </row>
    <row r="58" ht="30" customHeight="1">
      <c r="A58" s="1039"/>
      <c r="B58" s="753"/>
      <c r="C58" t="s" s="754">
        <f>IF(LEFT(RIGHT($B$1,2),1)=" ",RIGHT($B$1,1),RIGHT($B$1,2))</f>
        <v>2355</v>
      </c>
      <c r="D58" s="755">
        <f>IF(LEFT(F58,5)="Bonne",D56+1,D57)</f>
        <v>6</v>
      </c>
      <c r="E58" t="s" s="778">
        <f>C58&amp;D58&amp;RIGHT(F58,1)</f>
        <v>2414</v>
      </c>
      <c r="F58" t="s" s="779">
        <v>1769</v>
      </c>
      <c r="G58" t="s" s="780">
        <f>VLOOKUP(E58,'BDD'!$A$2:$N$567,MATCH(G$24,'BDD'!$A$1:$P$1,0),FALSE)</f>
        <v>1300</v>
      </c>
      <c r="H58" s="781"/>
      <c r="I58" t="s" s="792">
        <v>263</v>
      </c>
      <c r="J58" s="782"/>
      <c r="K58" s="782"/>
      <c r="L58" s="793"/>
      <c r="M58" s="784">
        <f>IF(N58="Exigences partiellement respectées",1,IF(N58="Exigences respectées",2,0))</f>
        <v>0</v>
      </c>
      <c r="N58" t="s" s="780">
        <f>VLOOKUP(VLOOKUP(E58,'BDD'!$A$2:$P$428,15,FALSE),'Suppl'!$D$64:$E$68,2,FALSE)</f>
        <v>1751</v>
      </c>
      <c r="O58" s="1130"/>
      <c r="P58" s="787"/>
      <c r="Q58" s="787"/>
      <c r="R58" s="787"/>
      <c r="S58" s="787">
        <f>IF(N58='Suppl'!$E$65,0,IF(N58='Suppl'!$E$66,1/2/(_xlfn.COUNTIFS($D1:$D100,D58,$N1:$N100,"Exigences"&amp;"*",G1:G100,"&lt;&gt;0")+_xlfn.COUNTIFS($D1:$D100,D58,$N1:$N100,"Non"&amp;"*",G1:G100,"&lt;&gt;0")),IF(N58='Suppl'!$E$67,1/(_xlfn.COUNTIFS($D1:$D100,D58,$N1:$N100,"Exigences"&amp;"*",G1:G100,"&lt;&gt;0")+_xlfn.COUNTIFS($D1:$D100,D58,$N1:$N100,"Non"&amp;"*",G1:G100,"&lt;&gt;0")),0)))</f>
      </c>
      <c r="T58" s="787"/>
      <c r="U58" s="787"/>
      <c r="V58" s="788"/>
      <c r="W58" s="789">
        <f>_xlfn.IFERROR(IF(N58='Suppl'!$E$65,0,IF(N58='Suppl'!$E$66,1/2/(_xlfn.COUNTIFS($N1:$N100,"Exigences"&amp;"*")+_xlfn.COUNTIFS($N1:$N100,"Non"&amp;"*")),IF(N58='Suppl'!$E$67,1/(_xlfn.COUNTIFS($N1:$N100,"Exigences"&amp;"*")+_xlfn.COUNTIFS($N1:$N100,"Non"&amp;"*")),0))),0)</f>
      </c>
      <c r="X58" s="586"/>
      <c r="Y58" s="586"/>
      <c r="Z58" s="586"/>
      <c r="AA58" s="586"/>
      <c r="AB58" s="586"/>
      <c r="AC58" s="586"/>
      <c r="AD58" s="586"/>
      <c r="AE58" s="586"/>
      <c r="AF58" s="586"/>
      <c r="AG58" s="586"/>
      <c r="AH58" s="1040"/>
      <c r="AI58" s="585"/>
    </row>
    <row r="59" ht="41.4" customHeight="1">
      <c r="A59" s="1039"/>
      <c r="B59" s="753"/>
      <c r="C59" t="s" s="754">
        <f>IF(LEFT(RIGHT($B$1,2),1)=" ",RIGHT($B$1,1),RIGHT($B$1,2))</f>
        <v>2355</v>
      </c>
      <c r="D59" s="755">
        <f>IF(LEFT(F59,5)="Bonne",D57+1,D58)</f>
        <v>6</v>
      </c>
      <c r="E59" t="s" s="778">
        <f>C59&amp;D59&amp;RIGHT(F59,1)</f>
        <v>2416</v>
      </c>
      <c r="F59" t="s" s="790">
        <v>1837</v>
      </c>
      <c r="G59" t="s" s="791">
        <f>VLOOKUP(E59,'BDD'!$A$2:$N$567,MATCH(G$24,'BDD'!$A$1:$P$1,0),FALSE)</f>
        <v>1303</v>
      </c>
      <c r="H59" s="781"/>
      <c r="I59" t="s" s="792">
        <v>263</v>
      </c>
      <c r="J59" s="782"/>
      <c r="K59" s="782"/>
      <c r="L59" s="793"/>
      <c r="M59" s="794">
        <f>IF(N59="Exigences partiellement respectées",1,IF(N59="Exigences respectées",2,0))</f>
        <v>0</v>
      </c>
      <c r="N59" t="s" s="791">
        <f>VLOOKUP(VLOOKUP(E59,'BDD'!$A$2:$P$428,15,FALSE),'Suppl'!$D$64:$E$68,2,FALSE)</f>
        <v>1751</v>
      </c>
      <c r="O59" s="789"/>
      <c r="P59" s="797"/>
      <c r="Q59" s="797"/>
      <c r="R59" s="797"/>
      <c r="S59" s="797">
        <f>IF(N59='Suppl'!$E$65,0,IF(N59='Suppl'!$E$66,1/2/(_xlfn.COUNTIFS($D1:$D100,D59,$N1:$N100,"Exigences"&amp;"*",G1:G100,"&lt;&gt;0")+_xlfn.COUNTIFS($D1:$D100,D59,$N1:$N100,"Non"&amp;"*",G1:G100,"&lt;&gt;0")),IF(N59='Suppl'!$E$67,1/(_xlfn.COUNTIFS($D1:$D100,D59,$N1:$N100,"Exigences"&amp;"*",G1:G100,"&lt;&gt;0")+_xlfn.COUNTIFS($D1:$D100,D59,$N1:$N100,"Non"&amp;"*",G1:G100,"&lt;&gt;0")),0)))</f>
      </c>
      <c r="T59" s="797"/>
      <c r="U59" s="797"/>
      <c r="V59" s="798"/>
      <c r="W59" s="789">
        <f>_xlfn.IFERROR(IF(N59='Suppl'!$E$65,0,IF(N59='Suppl'!$E$66,1/2/(_xlfn.COUNTIFS($N1:$N100,"Exigences"&amp;"*")+_xlfn.COUNTIFS($N1:$N100,"Non"&amp;"*")),IF(N59='Suppl'!$E$67,1/(_xlfn.COUNTIFS($N1:$N100,"Exigences"&amp;"*")+_xlfn.COUNTIFS($N1:$N100,"Non"&amp;"*")),0))),0)</f>
      </c>
      <c r="X59" s="586"/>
      <c r="Y59" s="586"/>
      <c r="Z59" s="586"/>
      <c r="AA59" s="586"/>
      <c r="AB59" s="586"/>
      <c r="AC59" s="586"/>
      <c r="AD59" s="586"/>
      <c r="AE59" s="586"/>
      <c r="AF59" s="586"/>
      <c r="AG59" s="586"/>
      <c r="AH59" s="1040"/>
      <c r="AI59" s="585"/>
    </row>
    <row r="60" ht="30" customHeight="1">
      <c r="A60" s="1039"/>
      <c r="B60" s="753"/>
      <c r="C60" t="s" s="754">
        <f>IF(LEFT(RIGHT($B$1,2),1)=" ",RIGHT($B$1,1),RIGHT($B$1,2))</f>
        <v>2355</v>
      </c>
      <c r="D60" s="755">
        <f>IF(LEFT(F60,5)="Bonne",D58+1,D59)</f>
        <v>6</v>
      </c>
      <c r="E60" t="s" s="778">
        <f>C60&amp;D60&amp;RIGHT(F60,1)</f>
        <v>2417</v>
      </c>
      <c r="F60" t="s" s="779">
        <v>1774</v>
      </c>
      <c r="G60" t="s" s="780">
        <f>VLOOKUP(E60,'BDD'!$A$2:$N$567,MATCH(G$24,'BDD'!$A$1:$P$1,0),FALSE)</f>
        <v>1306</v>
      </c>
      <c r="H60" s="781"/>
      <c r="I60" t="s" s="792">
        <v>263</v>
      </c>
      <c r="J60" s="782"/>
      <c r="K60" s="782"/>
      <c r="L60" s="793"/>
      <c r="M60" s="794">
        <f>IF(N60="Exigences partiellement respectées",1,IF(N60="Exigences respectées",2,0))</f>
        <v>0</v>
      </c>
      <c r="N60" t="s" s="780">
        <f>VLOOKUP(VLOOKUP(E60,'BDD'!$A$2:$P$428,15,FALSE),'Suppl'!$D$64:$E$68,2,FALSE)</f>
        <v>1751</v>
      </c>
      <c r="O60" s="789"/>
      <c r="P60" s="797"/>
      <c r="Q60" s="797"/>
      <c r="R60" s="797"/>
      <c r="S60" s="797">
        <f>IF(N60='Suppl'!$E$65,0,IF(N60='Suppl'!$E$66,1/2/(_xlfn.COUNTIFS($D1:$D100,D60,$N1:$N100,"Exigences"&amp;"*",G1:G100,"&lt;&gt;0")+_xlfn.COUNTIFS($D1:$D100,D60,$N1:$N100,"Non"&amp;"*",G1:G100,"&lt;&gt;0")),IF(N60='Suppl'!$E$67,1/(_xlfn.COUNTIFS($D1:$D100,D60,$N1:$N100,"Exigences"&amp;"*",G1:G100,"&lt;&gt;0")+_xlfn.COUNTIFS($D1:$D100,D60,$N1:$N100,"Non"&amp;"*",G1:G100,"&lt;&gt;0")),0)))</f>
      </c>
      <c r="T60" s="797"/>
      <c r="U60" s="797"/>
      <c r="V60" s="798"/>
      <c r="W60" s="789">
        <f>_xlfn.IFERROR(IF(N60='Suppl'!$E$65,0,IF(N60='Suppl'!$E$66,1/2/(_xlfn.COUNTIFS($N1:$N100,"Exigences"&amp;"*")+_xlfn.COUNTIFS($N1:$N100,"Non"&amp;"*")),IF(N60='Suppl'!$E$67,1/(_xlfn.COUNTIFS($N1:$N100,"Exigences"&amp;"*")+_xlfn.COUNTIFS($N1:$N100,"Non"&amp;"*")),0))),0)</f>
      </c>
      <c r="X60" s="586"/>
      <c r="Y60" s="586"/>
      <c r="Z60" s="586"/>
      <c r="AA60" s="586"/>
      <c r="AB60" s="586"/>
      <c r="AC60" s="586"/>
      <c r="AD60" s="586"/>
      <c r="AE60" s="586"/>
      <c r="AF60" s="586"/>
      <c r="AG60" s="586"/>
      <c r="AH60" s="1040"/>
      <c r="AI60" s="585"/>
    </row>
    <row r="61" ht="30" customHeight="1">
      <c r="A61" s="1039"/>
      <c r="B61" s="753"/>
      <c r="C61" t="s" s="754">
        <f>IF(LEFT(RIGHT($B$1,2),1)=" ",RIGHT($B$1,1),RIGHT($B$1,2))</f>
        <v>2355</v>
      </c>
      <c r="D61" s="755">
        <f>IF(LEFT(F61,5)="Bonne",D59+1,D60)</f>
        <v>6</v>
      </c>
      <c r="E61" t="s" s="778">
        <f>C61&amp;D61&amp;RIGHT(F61,1)</f>
        <v>2418</v>
      </c>
      <c r="F61" t="s" s="790">
        <v>1776</v>
      </c>
      <c r="G61" t="s" s="791">
        <f>VLOOKUP(E61,'BDD'!$A$2:$N$567,MATCH(G$24,'BDD'!$A$1:$P$1,0),FALSE)</f>
        <v>1309</v>
      </c>
      <c r="H61" s="781"/>
      <c r="I61" s="782"/>
      <c r="J61" t="s" s="792">
        <v>271</v>
      </c>
      <c r="K61" s="782"/>
      <c r="L61" s="793"/>
      <c r="M61" s="794">
        <f>IF(N61="Exigences partiellement respectées",1,IF(N61="Exigences respectées",2,0))</f>
        <v>0</v>
      </c>
      <c r="N61" t="s" s="791">
        <f>VLOOKUP(VLOOKUP(E61,'BDD'!$A$2:$P$428,15,FALSE),'Suppl'!$D$64:$E$68,2,FALSE)</f>
        <v>1751</v>
      </c>
      <c r="O61" s="789"/>
      <c r="P61" s="797"/>
      <c r="Q61" s="797"/>
      <c r="R61" s="797"/>
      <c r="S61" s="797">
        <f>IF(N61='Suppl'!$E$65,0,IF(N61='Suppl'!$E$66,1/2/(_xlfn.COUNTIFS($D1:$D100,D61,$N1:$N100,"Exigences"&amp;"*",G1:G100,"&lt;&gt;0")+_xlfn.COUNTIFS($D1:$D100,D61,$N1:$N100,"Non"&amp;"*",G1:G100,"&lt;&gt;0")),IF(N61='Suppl'!$E$67,1/(_xlfn.COUNTIFS($D1:$D100,D61,$N1:$N100,"Exigences"&amp;"*",G1:G100,"&lt;&gt;0")+_xlfn.COUNTIFS($D1:$D100,D61,$N1:$N100,"Non"&amp;"*",G1:G100,"&lt;&gt;0")),0)))</f>
      </c>
      <c r="T61" s="797"/>
      <c r="U61" s="797"/>
      <c r="V61" s="798"/>
      <c r="W61" s="789">
        <f>_xlfn.IFERROR(IF(N61='Suppl'!$E$65,0,IF(N61='Suppl'!$E$66,1/2/(_xlfn.COUNTIFS($N1:$N100,"Exigences"&amp;"*")+_xlfn.COUNTIFS($N1:$N100,"Non"&amp;"*")),IF(N61='Suppl'!$E$67,1/(_xlfn.COUNTIFS($N1:$N100,"Exigences"&amp;"*")+_xlfn.COUNTIFS($N1:$N100,"Non"&amp;"*")),0))),0)</f>
      </c>
      <c r="X61" s="586"/>
      <c r="Y61" s="586"/>
      <c r="Z61" s="586"/>
      <c r="AA61" s="586"/>
      <c r="AB61" s="586"/>
      <c r="AC61" s="586"/>
      <c r="AD61" s="586"/>
      <c r="AE61" s="586"/>
      <c r="AF61" s="586"/>
      <c r="AG61" s="586"/>
      <c r="AH61" s="1040"/>
      <c r="AI61" s="585"/>
    </row>
    <row r="62" ht="30" customHeight="1">
      <c r="A62" s="1039"/>
      <c r="B62" s="753"/>
      <c r="C62" t="s" s="754">
        <f>IF(LEFT(RIGHT($B$1,2),1)=" ",RIGHT($B$1,1),RIGHT($B$1,2))</f>
        <v>2355</v>
      </c>
      <c r="D62" s="755">
        <f>IF(LEFT(F62,5)="Bonne",D60+1,D61)</f>
        <v>6</v>
      </c>
      <c r="E62" t="s" s="778">
        <f>C62&amp;D62&amp;RIGHT(F62,1)</f>
        <v>2419</v>
      </c>
      <c r="F62" t="s" s="779">
        <v>1778</v>
      </c>
      <c r="G62" t="s" s="780">
        <f>VLOOKUP(E62,'BDD'!$A$2:$N$567,MATCH(G$24,'BDD'!$A$1:$P$1,0),FALSE)</f>
        <v>1312</v>
      </c>
      <c r="H62" t="s" s="799">
        <v>283</v>
      </c>
      <c r="I62" s="782"/>
      <c r="J62" s="782"/>
      <c r="K62" s="782"/>
      <c r="L62" s="793"/>
      <c r="M62" s="794">
        <f>IF(N62="Exigences partiellement respectées",1,IF(N62="Exigences respectées",2,0))</f>
        <v>0</v>
      </c>
      <c r="N62" t="s" s="780">
        <f>VLOOKUP(VLOOKUP(E62,'BDD'!$A$2:$P$428,15,FALSE),'Suppl'!$D$64:$E$68,2,FALSE)</f>
        <v>1751</v>
      </c>
      <c r="O62" s="789"/>
      <c r="P62" s="797"/>
      <c r="Q62" s="797"/>
      <c r="R62" s="797"/>
      <c r="S62" s="797">
        <f>IF(N62='Suppl'!$E$65,0,IF(N62='Suppl'!$E$66,1/2/(_xlfn.COUNTIFS($D1:$D100,D62,$N1:$N100,"Exigences"&amp;"*",G1:G100,"&lt;&gt;0")+_xlfn.COUNTIFS($D1:$D100,D62,$N1:$N100,"Non"&amp;"*",G1:G100,"&lt;&gt;0")),IF(N62='Suppl'!$E$67,1/(_xlfn.COUNTIFS($D1:$D100,D62,$N1:$N100,"Exigences"&amp;"*",G1:G100,"&lt;&gt;0")+_xlfn.COUNTIFS($D1:$D100,D62,$N1:$N100,"Non"&amp;"*",G1:G100,"&lt;&gt;0")),0)))</f>
      </c>
      <c r="T62" s="797"/>
      <c r="U62" s="797"/>
      <c r="V62" s="798"/>
      <c r="W62" s="789">
        <f>_xlfn.IFERROR(IF(N62='Suppl'!$E$65,0,IF(N62='Suppl'!$E$66,1/2/(_xlfn.COUNTIFS($N1:$N100,"Exigences"&amp;"*")+_xlfn.COUNTIFS($N1:$N100,"Non"&amp;"*")),IF(N62='Suppl'!$E$67,1/(_xlfn.COUNTIFS($N1:$N100,"Exigences"&amp;"*")+_xlfn.COUNTIFS($N1:$N100,"Non"&amp;"*")),0))),0)</f>
      </c>
      <c r="X62" s="586"/>
      <c r="Y62" s="586"/>
      <c r="Z62" s="586"/>
      <c r="AA62" s="586"/>
      <c r="AB62" s="586"/>
      <c r="AC62" s="586"/>
      <c r="AD62" s="586"/>
      <c r="AE62" s="586"/>
      <c r="AF62" s="586"/>
      <c r="AG62" s="586"/>
      <c r="AH62" s="1040"/>
      <c r="AI62" s="585"/>
    </row>
    <row r="63" ht="30" customHeight="1">
      <c r="A63" s="1039"/>
      <c r="B63" s="753"/>
      <c r="C63" t="s" s="754">
        <f>IF(LEFT(RIGHT($B$1,2),1)=" ",RIGHT($B$1,1),RIGHT($B$1,2))</f>
        <v>2355</v>
      </c>
      <c r="D63" s="755">
        <f>IF(LEFT(F63,5)="Bonne",D61+1,D62)</f>
        <v>6</v>
      </c>
      <c r="E63" t="s" s="778">
        <f>C63&amp;D63&amp;RIGHT(F63,1)</f>
        <v>2413</v>
      </c>
      <c r="F63" t="s" s="790">
        <v>1780</v>
      </c>
      <c r="G63" t="s" s="791">
        <f>VLOOKUP(E63,'BDD'!$A$2:$N$567,MATCH(G$24,'BDD'!$A$1:$P$1,0),FALSE)</f>
        <v>1315</v>
      </c>
      <c r="H63" s="781"/>
      <c r="I63" s="782"/>
      <c r="J63" t="s" s="792">
        <v>271</v>
      </c>
      <c r="K63" s="782"/>
      <c r="L63" s="793"/>
      <c r="M63" s="794">
        <f>IF(N63="Exigences partiellement respectées",1,IF(N63="Exigences respectées",2,0))</f>
        <v>0</v>
      </c>
      <c r="N63" t="s" s="1132">
        <f>VLOOKUP(VLOOKUP(E63,'BDD'!$A$2:$P$428,15,FALSE),'Suppl'!$D$64:$E$68,2,FALSE)</f>
        <v>1751</v>
      </c>
      <c r="O63" s="1133"/>
      <c r="P63" s="815"/>
      <c r="Q63" s="815"/>
      <c r="R63" s="815"/>
      <c r="S63" s="815">
        <f>IF(N63='Suppl'!$E$65,0,IF(N63='Suppl'!$E$66,1/2/(_xlfn.COUNTIFS($D1:$D100,D63,$N1:$N100,"Exigences"&amp;"*",G1:G100,"&lt;&gt;0")+_xlfn.COUNTIFS($D1:$D100,D63,$N1:$N100,"Non"&amp;"*",G1:G100,"&lt;&gt;0")),IF(N63='Suppl'!$E$67,1/(_xlfn.COUNTIFS($D1:$D100,D63,$N1:$N100,"Exigences"&amp;"*",G1:G100,"&lt;&gt;0")+_xlfn.COUNTIFS($D1:$D100,D63,$N1:$N100,"Non"&amp;"*",G1:G100,"&lt;&gt;0")),0)))</f>
      </c>
      <c r="T63" s="815"/>
      <c r="U63" s="815"/>
      <c r="V63" s="816"/>
      <c r="W63" s="789">
        <f>_xlfn.IFERROR(IF(N63='Suppl'!$E$65,0,IF(N63='Suppl'!$E$66,1/2/(_xlfn.COUNTIFS($N1:$N100,"Exigences"&amp;"*")+_xlfn.COUNTIFS($N1:$N100,"Non"&amp;"*")),IF(N63='Suppl'!$E$67,1/(_xlfn.COUNTIFS($N1:$N100,"Exigences"&amp;"*")+_xlfn.COUNTIFS($N1:$N100,"Non"&amp;"*")),0))),0)</f>
      </c>
      <c r="X63" s="586"/>
      <c r="Y63" s="586"/>
      <c r="Z63" s="586"/>
      <c r="AA63" s="586"/>
      <c r="AB63" s="586"/>
      <c r="AC63" s="586"/>
      <c r="AD63" s="586"/>
      <c r="AE63" s="586"/>
      <c r="AF63" s="586"/>
      <c r="AG63" s="586"/>
      <c r="AH63" s="1040"/>
      <c r="AI63" s="585"/>
    </row>
    <row r="64" ht="30" customHeight="1">
      <c r="A64" s="1039"/>
      <c r="B64" s="586"/>
      <c r="C64" s="586"/>
      <c r="D64" s="587"/>
      <c r="E64" s="587"/>
      <c r="F64" s="1012"/>
      <c r="G64" s="1134"/>
      <c r="H64" s="818"/>
      <c r="I64" s="818"/>
      <c r="J64" s="818"/>
      <c r="K64" s="818"/>
      <c r="L64" s="818"/>
      <c r="M64" s="1135"/>
      <c r="N64" s="1136"/>
      <c r="O64" s="786"/>
      <c r="P64" s="786"/>
      <c r="Q64" s="786"/>
      <c r="R64" s="786"/>
      <c r="S64" s="1014"/>
      <c r="T64" s="1014"/>
      <c r="U64" s="1014"/>
      <c r="V64" s="1014"/>
      <c r="W64" s="586"/>
      <c r="X64" s="586"/>
      <c r="Y64" s="586"/>
      <c r="Z64" s="586"/>
      <c r="AA64" s="586"/>
      <c r="AB64" s="586"/>
      <c r="AC64" s="586"/>
      <c r="AD64" s="586"/>
      <c r="AE64" s="586"/>
      <c r="AF64" s="586"/>
      <c r="AG64" s="586"/>
      <c r="AH64" s="1040"/>
      <c r="AI64" s="585"/>
    </row>
    <row r="65" ht="30" customHeight="1">
      <c r="A65" t="s" s="1137">
        <v>171</v>
      </c>
      <c r="B65" s="1040"/>
      <c r="C65" s="1040"/>
      <c r="D65" s="1040"/>
      <c r="E65" s="1040"/>
      <c r="F65" s="1040"/>
      <c r="G65" s="1076"/>
      <c r="H65" s="1076"/>
      <c r="I65" s="1076"/>
      <c r="J65" s="1076"/>
      <c r="K65" s="1076"/>
      <c r="L65" s="1076"/>
      <c r="M65" s="1076"/>
      <c r="N65" s="1040"/>
      <c r="O65" s="1040"/>
      <c r="P65" s="1040"/>
      <c r="Q65" s="1040"/>
      <c r="R65" s="1040"/>
      <c r="S65" s="1040"/>
      <c r="T65" s="1040"/>
      <c r="U65" s="1040"/>
      <c r="V65" s="1040"/>
      <c r="W65" s="1138"/>
      <c r="X65" s="1040"/>
      <c r="Y65" s="1040"/>
      <c r="Z65" s="1040"/>
      <c r="AA65" s="1040"/>
      <c r="AB65" s="1040"/>
      <c r="AC65" s="1040"/>
      <c r="AD65" s="1040"/>
      <c r="AE65" s="1040"/>
      <c r="AF65" s="1040"/>
      <c r="AG65" s="1040"/>
      <c r="AH65" t="s" s="1139">
        <v>171</v>
      </c>
      <c r="AI65" s="585"/>
    </row>
    <row r="66" ht="14.4" customHeight="1">
      <c r="A66" s="822"/>
      <c r="B66" s="25"/>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823"/>
    </row>
    <row r="67" ht="14.4" customHeight="1">
      <c r="A67" s="822"/>
      <c r="B67" s="25"/>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823"/>
    </row>
    <row r="68" ht="14.4" customHeight="1">
      <c r="A68" s="822"/>
      <c r="B68" s="25"/>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823"/>
    </row>
    <row r="69" ht="14.4" customHeight="1">
      <c r="A69" s="822"/>
      <c r="B69" s="25"/>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823"/>
    </row>
    <row r="70" ht="14.4" customHeight="1">
      <c r="A70" s="822"/>
      <c r="B70" s="25"/>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823"/>
    </row>
    <row r="71" ht="14.4" customHeight="1">
      <c r="A71" s="822"/>
      <c r="B71" s="25"/>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823"/>
    </row>
    <row r="72" ht="14.4" customHeight="1">
      <c r="A72" s="822"/>
      <c r="B72" s="25"/>
      <c r="C72" s="25"/>
      <c r="D72" s="25"/>
      <c r="E72" s="25"/>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823"/>
    </row>
    <row r="73" ht="14.4" customHeight="1">
      <c r="A73" s="822"/>
      <c r="B73" s="25"/>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823"/>
    </row>
    <row r="74" ht="14.4" customHeight="1">
      <c r="A74" s="822"/>
      <c r="B74" s="25"/>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823"/>
    </row>
    <row r="75" ht="14.4" customHeight="1">
      <c r="A75" s="822"/>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823"/>
    </row>
    <row r="76" ht="14.4" customHeight="1">
      <c r="A76" s="822"/>
      <c r="B76" s="25"/>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823"/>
    </row>
    <row r="77" ht="14.4" customHeight="1">
      <c r="A77" s="822"/>
      <c r="B77" s="25"/>
      <c r="C77" s="25"/>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823"/>
    </row>
    <row r="78" ht="14.4" customHeight="1">
      <c r="A78" s="822"/>
      <c r="B78" s="25"/>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823"/>
    </row>
    <row r="79" ht="14.4" customHeight="1">
      <c r="A79" s="822"/>
      <c r="B79" s="25"/>
      <c r="C79" s="25"/>
      <c r="D79" s="25"/>
      <c r="E79" s="25"/>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823"/>
    </row>
    <row r="80" ht="14.4" customHeight="1">
      <c r="A80" s="822"/>
      <c r="B80" s="25"/>
      <c r="C80" s="25"/>
      <c r="D80" s="25"/>
      <c r="E80" s="25"/>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823"/>
    </row>
    <row r="81" ht="14.4" customHeight="1">
      <c r="A81" s="822"/>
      <c r="B81" s="25"/>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823"/>
    </row>
    <row r="82" ht="14.4" customHeight="1">
      <c r="A82" s="822"/>
      <c r="B82" s="25"/>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823"/>
    </row>
    <row r="83" ht="14.4" customHeight="1">
      <c r="A83" s="822"/>
      <c r="B83" s="25"/>
      <c r="C83" s="25"/>
      <c r="D83" s="25"/>
      <c r="E83" s="25"/>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c r="AH83" s="25"/>
      <c r="AI83" s="823"/>
    </row>
    <row r="84" ht="14.4" customHeight="1">
      <c r="A84" s="822"/>
      <c r="B84" s="25"/>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823"/>
    </row>
    <row r="85" ht="14.4" customHeight="1">
      <c r="A85" s="822"/>
      <c r="B85" s="25"/>
      <c r="C85" s="25"/>
      <c r="D85" s="25"/>
      <c r="E85" s="25"/>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823"/>
    </row>
    <row r="86" ht="14.4" customHeight="1">
      <c r="A86" s="822"/>
      <c r="B86" s="25"/>
      <c r="C86" s="25"/>
      <c r="D86" s="25"/>
      <c r="E86" s="25"/>
      <c r="F86" s="2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823"/>
    </row>
    <row r="87" ht="14.4" customHeight="1">
      <c r="A87" s="822"/>
      <c r="B87" s="25"/>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823"/>
    </row>
    <row r="88" ht="14.4" customHeight="1">
      <c r="A88" s="822"/>
      <c r="B88" s="25"/>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823"/>
    </row>
    <row r="89" ht="14.4" customHeight="1">
      <c r="A89" s="822"/>
      <c r="B89" s="25"/>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823"/>
    </row>
    <row r="90" ht="14.4" customHeight="1">
      <c r="A90" s="822"/>
      <c r="B90" s="25"/>
      <c r="C90" s="25"/>
      <c r="D90" s="25"/>
      <c r="E90" s="25"/>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823"/>
    </row>
    <row r="91" ht="14.4" customHeight="1">
      <c r="A91" s="822"/>
      <c r="B91" s="25"/>
      <c r="C91" s="25"/>
      <c r="D91" s="25"/>
      <c r="E91" s="25"/>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823"/>
    </row>
    <row r="92" ht="14.4" customHeight="1">
      <c r="A92" s="822"/>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823"/>
    </row>
    <row r="93" ht="14.4" customHeight="1">
      <c r="A93" s="822"/>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823"/>
    </row>
    <row r="94" ht="14.4" customHeight="1">
      <c r="A94" s="822"/>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823"/>
    </row>
    <row r="95" ht="14.4" customHeight="1">
      <c r="A95" s="822"/>
      <c r="B95" s="25"/>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823"/>
    </row>
    <row r="96" ht="14.4" customHeight="1">
      <c r="A96" s="822"/>
      <c r="B96" s="25"/>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823"/>
    </row>
    <row r="97" ht="14.4" customHeight="1">
      <c r="A97" s="822"/>
      <c r="B97" s="25"/>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823"/>
    </row>
    <row r="98" ht="14.4" customHeight="1">
      <c r="A98" s="822"/>
      <c r="B98" s="25"/>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823"/>
    </row>
    <row r="99" ht="14.4" customHeight="1">
      <c r="A99" s="822"/>
      <c r="B99" s="25"/>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823"/>
    </row>
    <row r="100" ht="14.4" customHeight="1">
      <c r="A100" s="824"/>
      <c r="B100" s="825"/>
      <c r="C100" s="825"/>
      <c r="D100" s="825"/>
      <c r="E100" s="825"/>
      <c r="F100" s="825"/>
      <c r="G100" s="825"/>
      <c r="H100" s="825"/>
      <c r="I100" s="825"/>
      <c r="J100" s="825"/>
      <c r="K100" s="825"/>
      <c r="L100" s="825"/>
      <c r="M100" s="825"/>
      <c r="N100" s="825"/>
      <c r="O100" s="825"/>
      <c r="P100" s="825"/>
      <c r="Q100" s="825"/>
      <c r="R100" s="825"/>
      <c r="S100" s="825"/>
      <c r="T100" s="825"/>
      <c r="U100" s="825"/>
      <c r="V100" s="825"/>
      <c r="W100" s="825"/>
      <c r="X100" s="825"/>
      <c r="Y100" s="825"/>
      <c r="Z100" s="825"/>
      <c r="AA100" s="825"/>
      <c r="AB100" s="825"/>
      <c r="AC100" s="825"/>
      <c r="AD100" s="825"/>
      <c r="AE100" s="825"/>
      <c r="AF100" s="825"/>
      <c r="AG100" s="825"/>
      <c r="AH100" s="825"/>
      <c r="AI100" s="826"/>
    </row>
  </sheetData>
  <mergeCells count="73">
    <mergeCell ref="G39:N39"/>
    <mergeCell ref="O59:R59"/>
    <mergeCell ref="S59:V59"/>
    <mergeCell ref="O54:R54"/>
    <mergeCell ref="S54:V54"/>
    <mergeCell ref="O55:R55"/>
    <mergeCell ref="S55:V55"/>
    <mergeCell ref="O56:R57"/>
    <mergeCell ref="S56:V57"/>
    <mergeCell ref="O51:R52"/>
    <mergeCell ref="S51:V52"/>
    <mergeCell ref="O53:R53"/>
    <mergeCell ref="S53:V53"/>
    <mergeCell ref="O58:R58"/>
    <mergeCell ref="S58:V58"/>
    <mergeCell ref="O48:R48"/>
    <mergeCell ref="S48:V48"/>
    <mergeCell ref="O49:R49"/>
    <mergeCell ref="S49:V49"/>
    <mergeCell ref="O50:R50"/>
    <mergeCell ref="S50:V50"/>
    <mergeCell ref="O45:R45"/>
    <mergeCell ref="S45:V45"/>
    <mergeCell ref="O46:R46"/>
    <mergeCell ref="S46:V46"/>
    <mergeCell ref="O47:R47"/>
    <mergeCell ref="S47:V47"/>
    <mergeCell ref="O41:R41"/>
    <mergeCell ref="S41:V41"/>
    <mergeCell ref="O42:R42"/>
    <mergeCell ref="S42:V42"/>
    <mergeCell ref="O43:R44"/>
    <mergeCell ref="S43:V44"/>
    <mergeCell ref="O37:R37"/>
    <mergeCell ref="S37:V37"/>
    <mergeCell ref="O38:R39"/>
    <mergeCell ref="S38:V39"/>
    <mergeCell ref="O40:R40"/>
    <mergeCell ref="S40:V40"/>
    <mergeCell ref="O33:R34"/>
    <mergeCell ref="S33:V34"/>
    <mergeCell ref="O35:R35"/>
    <mergeCell ref="S35:V35"/>
    <mergeCell ref="O36:R36"/>
    <mergeCell ref="S36:V36"/>
    <mergeCell ref="O30:R30"/>
    <mergeCell ref="S30:V30"/>
    <mergeCell ref="O31:R31"/>
    <mergeCell ref="S31:V31"/>
    <mergeCell ref="O32:R32"/>
    <mergeCell ref="S32:V32"/>
    <mergeCell ref="O27:R27"/>
    <mergeCell ref="S27:V27"/>
    <mergeCell ref="O28:R28"/>
    <mergeCell ref="S28:V28"/>
    <mergeCell ref="O29:R29"/>
    <mergeCell ref="S29:V29"/>
    <mergeCell ref="O25:R26"/>
    <mergeCell ref="S25:V26"/>
    <mergeCell ref="AD7:AD10"/>
    <mergeCell ref="O21:R21"/>
    <mergeCell ref="O22:R22"/>
    <mergeCell ref="O24:R24"/>
    <mergeCell ref="S24:V24"/>
    <mergeCell ref="O20:R20"/>
    <mergeCell ref="O63:R63"/>
    <mergeCell ref="S63:V63"/>
    <mergeCell ref="O60:R60"/>
    <mergeCell ref="S60:V60"/>
    <mergeCell ref="O61:R61"/>
    <mergeCell ref="S61:V61"/>
    <mergeCell ref="O62:R62"/>
    <mergeCell ref="S62:V62"/>
  </mergeCells>
  <conditionalFormatting sqref="O8:U16">
    <cfRule type="cellIs" dxfId="30" priority="1" operator="equal" stopIfTrue="1">
      <formula>3</formula>
    </cfRule>
    <cfRule type="cellIs" dxfId="31" priority="2" operator="equal" stopIfTrue="1">
      <formula>2</formula>
    </cfRule>
    <cfRule type="cellIs" dxfId="32" priority="3" operator="equal" stopIfTrue="1">
      <formula>1</formula>
    </cfRule>
  </conditionalFormatting>
  <dataValidations count="1">
    <dataValidation type="list" allowBlank="1" showInputMessage="1" showErrorMessage="1" sqref="W8:W13 W16">
      <formula1>"Exigences non respectées,Exigences partiellement respectées,Exigences respectées,Non évalué,N/A"</formula1>
    </dataValidation>
  </dataValidations>
  <pageMargins left="0.7" right="0.7" top="0.75" bottom="0.75" header="0.3" footer="0.3"/>
  <pageSetup firstPageNumber="1" fitToHeight="1" fitToWidth="1" scale="100" useFirstPageNumber="0" orientation="portrait" pageOrder="downThenOver"/>
  <headerFooter>
    <oddFooter>&amp;C&amp;"Helvetica Neue,Regular"&amp;12&amp;K000000&amp;P</oddFooter>
  </headerFooter>
  <drawing r:id="rId1"/>
</worksheet>
</file>

<file path=xl/worksheets/sheet28.xml><?xml version="1.0" encoding="utf-8"?>
<worksheet xmlns:r="http://schemas.openxmlformats.org/officeDocument/2006/relationships" xmlns="http://schemas.openxmlformats.org/spreadsheetml/2006/main">
  <dimension ref="A1:P118"/>
  <sheetViews>
    <sheetView workbookViewId="0" showGridLines="0" defaultGridColor="1"/>
  </sheetViews>
  <sheetFormatPr defaultColWidth="10.8333" defaultRowHeight="14.4" customHeight="1" outlineLevelRow="0" outlineLevelCol="0"/>
  <cols>
    <col min="1" max="1" width="2.85156" style="1140" customWidth="1"/>
    <col min="2" max="2" width="4" style="1140" customWidth="1"/>
    <col min="3" max="5" hidden="1" width="10.8333" style="1140" customWidth="1"/>
    <col min="6" max="6" width="10.8516" style="1140" customWidth="1"/>
    <col min="7" max="7" width="36.1719" style="1140" customWidth="1"/>
    <col min="8" max="8" width="28.5" style="1140" customWidth="1"/>
    <col min="9" max="9" width="17.6719" style="1140" customWidth="1"/>
    <col min="10" max="10" width="66.8516" style="1140" customWidth="1"/>
    <col min="11" max="11" width="80.8516" style="1140" customWidth="1"/>
    <col min="12" max="12" width="10.8516" style="1140" customWidth="1"/>
    <col min="13" max="13" width="28" style="1140" customWidth="1"/>
    <col min="14" max="14" width="16.5" style="1140" customWidth="1"/>
    <col min="15" max="16" width="4" style="1140" customWidth="1"/>
    <col min="17" max="16384" width="10.8516" style="1140" customWidth="1"/>
  </cols>
  <sheetData>
    <row r="1" ht="45" customHeight="1">
      <c r="A1" s="1032"/>
      <c r="B1" t="s" s="1033">
        <v>2420</v>
      </c>
      <c r="C1" s="1034"/>
      <c r="D1" s="1034"/>
      <c r="E1" s="1034"/>
      <c r="F1" s="1034"/>
      <c r="G1" s="1035"/>
      <c r="H1" s="1036"/>
      <c r="I1" s="1036"/>
      <c r="J1" t="s" s="1037">
        <f>VLOOKUP($E$12,'BDD'!$A$2:$N$567,3,FALSE)</f>
        <v>234</v>
      </c>
      <c r="K1" s="1036"/>
      <c r="L1" s="1035"/>
      <c r="M1" s="1035"/>
      <c r="N1" s="1035"/>
      <c r="O1" s="1035"/>
      <c r="P1" s="1038"/>
    </row>
    <row r="2" ht="45" customHeight="1">
      <c r="A2" s="1039"/>
      <c r="B2" s="1040"/>
      <c r="C2" s="1040"/>
      <c r="D2" s="1040"/>
      <c r="E2" s="1040"/>
      <c r="F2" s="1040"/>
      <c r="G2" s="1040"/>
      <c r="H2" s="1040"/>
      <c r="I2" s="1040"/>
      <c r="J2" t="s" s="1041">
        <f>VLOOKUP($E$12,'BDD'!$A$2:$N$567,4,FALSE)</f>
        <v>1318</v>
      </c>
      <c r="K2" s="1040"/>
      <c r="L2" s="1040"/>
      <c r="M2" s="1040"/>
      <c r="N2" s="1040"/>
      <c r="O2" s="1040"/>
      <c r="P2" s="1042"/>
    </row>
    <row r="3" ht="18" customHeight="1">
      <c r="A3" s="1039"/>
      <c r="B3" s="61"/>
      <c r="C3" s="61"/>
      <c r="D3" s="61"/>
      <c r="E3" s="61"/>
      <c r="F3" s="61"/>
      <c r="G3" t="s" s="508">
        <f>IF('Suppl'!B64=2,"Le vecteur n'est pas utilisé","")</f>
      </c>
      <c r="H3" s="509"/>
      <c r="I3" s="509"/>
      <c r="J3" s="509"/>
      <c r="K3" s="509"/>
      <c r="L3" s="510"/>
      <c r="M3" s="61"/>
      <c r="N3" s="61"/>
      <c r="O3" s="61"/>
      <c r="P3" s="1042"/>
    </row>
    <row r="4" ht="14.4" customHeight="1">
      <c r="A4" s="1039"/>
      <c r="B4" s="61"/>
      <c r="C4" s="61"/>
      <c r="D4" s="61"/>
      <c r="E4" s="61"/>
      <c r="F4" s="61"/>
      <c r="G4" s="61"/>
      <c r="H4" s="61"/>
      <c r="I4" s="61"/>
      <c r="J4" s="61"/>
      <c r="K4" s="61"/>
      <c r="L4" s="61"/>
      <c r="M4" s="61"/>
      <c r="N4" s="61"/>
      <c r="O4" s="61"/>
      <c r="P4" s="1042"/>
    </row>
    <row r="5" ht="25.8" customHeight="1">
      <c r="A5" s="1043"/>
      <c r="B5" s="512"/>
      <c r="C5" t="s" s="513">
        <f>IF(LEFT(RIGHT($B$1,2),1)=" ",RIGHT($B$1,1),RIGHT($B$1,2))</f>
        <v>260</v>
      </c>
      <c r="D5" s="514">
        <f>IF(LEFT(F5,14)="Bonne pratique",D4+1,D4)</f>
        <v>1</v>
      </c>
      <c r="E5" s="515"/>
      <c r="F5" t="s" s="516">
        <v>1762</v>
      </c>
      <c r="G5" s="517"/>
      <c r="H5" s="518"/>
      <c r="I5" s="519"/>
      <c r="J5" t="s" s="520">
        <f>VLOOKUP(E12,'BDD'!$A$2:$N$567,6,FALSE)</f>
        <v>755</v>
      </c>
      <c r="K5" s="521"/>
      <c r="L5" s="517"/>
      <c r="M5" s="517"/>
      <c r="N5" s="517"/>
      <c r="O5" s="512"/>
      <c r="P5" s="1044"/>
    </row>
    <row r="6" ht="14.4" customHeight="1">
      <c r="A6" s="1039"/>
      <c r="B6" s="61"/>
      <c r="C6" t="s" s="513">
        <f>IF(LEFT(RIGHT($B$1,2),1)=" ",RIGHT($B$1,1),RIGHT($B$1,2))</f>
        <v>260</v>
      </c>
      <c r="D6" s="514">
        <f>IF(LEFT(F6,14)="Bonne pratique",D5+1,D5)</f>
        <v>1</v>
      </c>
      <c r="E6" s="61"/>
      <c r="F6" s="61"/>
      <c r="G6" s="61"/>
      <c r="H6" s="61"/>
      <c r="I6" s="61"/>
      <c r="J6" s="61"/>
      <c r="K6" s="61"/>
      <c r="L6" s="61"/>
      <c r="M6" s="61"/>
      <c r="N6" s="61"/>
      <c r="O6" s="61"/>
      <c r="P6" s="1042"/>
    </row>
    <row r="7" ht="23.4" customHeight="1">
      <c r="A7" s="1045"/>
      <c r="B7" s="524"/>
      <c r="C7" t="s" s="513">
        <f>IF(LEFT(RIGHT($B$1,2),1)=" ",RIGHT($B$1,1),RIGHT($B$1,2))</f>
        <v>260</v>
      </c>
      <c r="D7" s="514">
        <f>IF(LEFT(F7,14)="Bonne pratique",D6+1,D6)</f>
        <v>1</v>
      </c>
      <c r="E7" s="524"/>
      <c r="F7" s="524"/>
      <c r="G7" s="524"/>
      <c r="H7" s="524"/>
      <c r="I7" s="525"/>
      <c r="J7" t="s" s="526">
        <v>1319</v>
      </c>
      <c r="K7" s="525"/>
      <c r="L7" s="524"/>
      <c r="M7" s="524"/>
      <c r="N7" s="524"/>
      <c r="O7" s="524"/>
      <c r="P7" s="1046"/>
    </row>
    <row r="8" ht="18" customHeight="1">
      <c r="A8" s="1039"/>
      <c r="B8" s="61"/>
      <c r="C8" t="s" s="513">
        <f>IF(LEFT(RIGHT($B$1,2),1)=" ",RIGHT($B$1,1),RIGHT($B$1,2))</f>
        <v>260</v>
      </c>
      <c r="D8" s="514">
        <f>IF(LEFT(F8,14)="Bonne pratique",D7+1,D7)</f>
        <v>1</v>
      </c>
      <c r="E8" s="61"/>
      <c r="F8" s="61"/>
      <c r="G8" s="61"/>
      <c r="H8" s="61"/>
      <c r="I8" s="61"/>
      <c r="J8" s="528"/>
      <c r="K8" s="61"/>
      <c r="L8" s="61"/>
      <c r="M8" s="529"/>
      <c r="N8" s="529"/>
      <c r="O8" s="61"/>
      <c r="P8" s="1042"/>
    </row>
    <row r="9" ht="14.4" customHeight="1">
      <c r="A9" s="1039"/>
      <c r="B9" s="61"/>
      <c r="C9" t="s" s="513">
        <f>IF(LEFT(RIGHT($B$1,2),1)=" ",RIGHT($B$1,1),RIGHT($B$1,2))</f>
        <v>260</v>
      </c>
      <c r="D9" s="514">
        <f>IF(LEFT(F9,14)="Bonne pratique",D8+1,D8)</f>
        <v>1</v>
      </c>
      <c r="E9" s="61"/>
      <c r="F9" s="61"/>
      <c r="G9" s="530"/>
      <c r="H9" s="530"/>
      <c r="I9" s="530"/>
      <c r="J9" s="530"/>
      <c r="K9" s="530"/>
      <c r="L9" s="531"/>
      <c r="M9" t="s" s="532">
        <v>1763</v>
      </c>
      <c r="N9" s="533"/>
      <c r="O9" s="534"/>
      <c r="P9" s="1042"/>
    </row>
    <row r="10" ht="33" customHeight="1">
      <c r="A10" s="1039"/>
      <c r="B10" s="61"/>
      <c r="C10" t="s" s="513">
        <f>IF(LEFT(RIGHT($B$1,2),1)=" ",RIGHT($B$1,1),RIGHT($B$1,2))</f>
        <v>260</v>
      </c>
      <c r="D10" s="514">
        <f>IF(LEFT(F10,14)="Bonne pratique",D9+1,D9)</f>
        <v>1</v>
      </c>
      <c r="E10" s="61"/>
      <c r="F10" s="535"/>
      <c r="G10" t="s" s="536">
        <v>244</v>
      </c>
      <c r="H10" t="s" s="536">
        <v>1764</v>
      </c>
      <c r="I10" t="s" s="537">
        <v>245</v>
      </c>
      <c r="J10" t="s" s="536">
        <v>1765</v>
      </c>
      <c r="K10" t="s" s="536">
        <v>246</v>
      </c>
      <c r="L10" s="538"/>
      <c r="M10" t="s" s="539">
        <v>1766</v>
      </c>
      <c r="N10" t="s" s="540">
        <v>1767</v>
      </c>
      <c r="O10" s="534"/>
      <c r="P10" s="1042"/>
    </row>
    <row r="11" ht="14.4" customHeight="1">
      <c r="A11" s="1039"/>
      <c r="B11" s="61"/>
      <c r="C11" t="s" s="513">
        <f>IF(LEFT(RIGHT($B$1,2),1)=" ",RIGHT($B$1,1),RIGHT($B$1,2))</f>
        <v>260</v>
      </c>
      <c r="D11" s="514">
        <f>IF(LEFT(F11,14)="Bonne pratique",D10+1,D10)</f>
        <v>1</v>
      </c>
      <c r="E11" s="61"/>
      <c r="F11" s="529"/>
      <c r="G11" s="541"/>
      <c r="H11" s="541"/>
      <c r="I11" s="541"/>
      <c r="J11" s="541"/>
      <c r="K11" s="541"/>
      <c r="L11" s="61"/>
      <c r="M11" s="541"/>
      <c r="N11" s="541"/>
      <c r="O11" s="61"/>
      <c r="P11" s="1042"/>
    </row>
    <row r="12" ht="130.05" customHeight="1">
      <c r="A12" s="1039"/>
      <c r="B12" s="542"/>
      <c r="C12" t="s" s="543">
        <f>IF(LEFT(RIGHT($B$1,2),1)=" ",RIGHT($B$1,1),RIGHT($B$1,2))</f>
        <v>260</v>
      </c>
      <c r="D12" s="544">
        <f>IF(LEFT(F12,14)="Bonne pratique",D11+1,D11)</f>
        <v>1</v>
      </c>
      <c r="E12" t="s" s="545">
        <f>C12&amp;D12&amp;RIGHT(F12,1)</f>
        <v>2421</v>
      </c>
      <c r="F12" t="s" s="546">
        <v>1769</v>
      </c>
      <c r="G12" t="s" s="547">
        <f>_xlfn.IFERROR(IF(VLOOKUP($E12,'BDD'!$A$1:$S$567,MATCH(G$10,'BDD'!$A$1:$P$1,0),FALSE)=0,"",VLOOKUP($E12,'BDD'!$A$1:$S$567,MATCH(G$10,'BDD'!$A$1:$P$1,0),FALSE)),"")</f>
        <v>1321</v>
      </c>
      <c r="H12" t="s" s="548">
        <f>IF(VLOOKUP(E12,'BDD'!$A$1:$S$567,15,FALSE)=0,"Critère non évalué","")</f>
        <v>1770</v>
      </c>
      <c r="I12" t="s" s="546">
        <f>_xlfn.IFERROR(IF(VLOOKUP($E12,'BDD'!$A$1:$S$567,MATCH(I$10,'BDD'!$A$1:$P$1,0),FALSE)=0,"",VLOOKUP($E12,'BDD'!$A$1:$S$567,MATCH(I$10,'BDD'!$A$1:$P$1,0),FALSE)),"")</f>
        <v>283</v>
      </c>
      <c r="J12" s="549"/>
      <c r="K12" t="s" s="547">
        <f>_xlfn.IFERROR(IF(VLOOKUP($E12,'BDD'!$A$1:$S$567,MATCH(K$10,'BDD'!$A$1:$P$1,0),FALSE)=0,"",VLOOKUP($E12,'BDD'!$A$1:$S$567,MATCH(K$10,'BDD'!$A$1:$P$1,0),FALSE)),"")</f>
        <v>1322</v>
      </c>
      <c r="L12" s="550"/>
      <c r="M12" s="551"/>
      <c r="N12" s="551"/>
      <c r="O12" s="534"/>
      <c r="P12" s="1042"/>
    </row>
    <row r="13" ht="130.05" customHeight="1">
      <c r="A13" s="1039"/>
      <c r="B13" s="542"/>
      <c r="C13" t="s" s="543">
        <f>IF(LEFT(RIGHT($B$1,2),1)=" ",RIGHT($B$1,1),RIGHT($B$1,2))</f>
        <v>260</v>
      </c>
      <c r="D13" s="544">
        <f>IF(LEFT(F13,14)="Bonne pratique",D12+1,D12)</f>
        <v>1</v>
      </c>
      <c r="E13" t="s" s="545">
        <f>C13&amp;D13&amp;RIGHT(F13,1)</f>
        <v>2422</v>
      </c>
      <c r="F13" t="s" s="552">
        <v>1772</v>
      </c>
      <c r="G13" t="s" s="540">
        <f>_xlfn.IFERROR(IF(VLOOKUP($E13,'BDD'!$A$1:$S$567,MATCH(G$10,'BDD'!$A$1:$P$1,0),FALSE)=0,"",VLOOKUP($E13,'BDD'!$A$1:$S$567,MATCH(G$10,'BDD'!$A$1:$P$1,0),FALSE)),"")</f>
        <v>1326</v>
      </c>
      <c r="H13" t="s" s="553">
        <f>IF(VLOOKUP(E13,'BDD'!$A$1:$S$567,15,FALSE)=0,"Critère non évalué","")</f>
        <v>1770</v>
      </c>
      <c r="I13" t="s" s="552">
        <f>_xlfn.IFERROR(IF(VLOOKUP($E13,'BDD'!$A$1:$S$567,MATCH(I$10,'BDD'!$A$1:$P$1,0),FALSE)=0,"",VLOOKUP($E13,'BDD'!$A$1:$S$567,MATCH(I$10,'BDD'!$A$1:$P$1,0),FALSE)),"")</f>
        <v>271</v>
      </c>
      <c r="J13" s="554"/>
      <c r="K13" t="s" s="540">
        <f>_xlfn.IFERROR(IF(VLOOKUP($E13,'BDD'!$A$1:$S$567,MATCH(K$10,'BDD'!$A$1:$P$1,0),FALSE)=0,"",VLOOKUP($E13,'BDD'!$A$1:$S$567,MATCH(K$10,'BDD'!$A$1:$P$1,0),FALSE)),"")</f>
        <v>1327</v>
      </c>
      <c r="L13" s="550"/>
      <c r="M13" s="555"/>
      <c r="N13" s="555"/>
      <c r="O13" s="534"/>
      <c r="P13" s="1042"/>
    </row>
    <row r="14" ht="130.05" customHeight="1" hidden="1">
      <c r="A14" s="1039"/>
      <c r="B14" s="542"/>
      <c r="C14" t="s" s="543">
        <f>IF(LEFT(RIGHT($B$1,2),1)=" ",RIGHT($B$1,1),RIGHT($B$1,2))</f>
        <v>260</v>
      </c>
      <c r="D14" s="544">
        <f>IF(LEFT(F14,14)="Bonne pratique",D13+1,D13)</f>
        <v>1</v>
      </c>
      <c r="E14" t="s" s="545">
        <f>C14&amp;D14&amp;RIGHT(F14,1)</f>
        <v>2423</v>
      </c>
      <c r="F14" t="s" s="546">
        <v>1774</v>
      </c>
      <c r="G14" t="s" s="547">
        <f>_xlfn.IFERROR(IF(VLOOKUP($E14,'BDD'!$A$1:$S$567,MATCH(G$10,'BDD'!$A$1:$P$1,0),FALSE)=0,"",VLOOKUP($E14,'BDD'!$A$1:$S$567,MATCH(G$10,'BDD'!$A$1:$P$1,0),FALSE)),"")</f>
      </c>
      <c r="H14" t="s" s="548">
        <f>IF(VLOOKUP(E14,'BDD'!$A$1:$S$567,15,FALSE)=0,"Critère non évalué","")</f>
        <v>1770</v>
      </c>
      <c r="I14" t="s" s="546">
        <f>_xlfn.IFERROR(IF(VLOOKUP($E14,'BDD'!$A$1:$S$567,MATCH(I$10,'BDD'!$A$1:$P$1,0),FALSE)=0,"",VLOOKUP($E14,'BDD'!$A$1:$S$567,MATCH(I$10,'BDD'!$A$1:$P$1,0),FALSE)),"")</f>
        <v>171</v>
      </c>
      <c r="J14" s="549"/>
      <c r="K14" t="s" s="547">
        <f>_xlfn.IFERROR(IF(VLOOKUP($E14,'BDD'!$A$1:$S$567,MATCH(K$10,'BDD'!$A$1:$P$1,0),FALSE)=0,"",VLOOKUP($E14,'BDD'!$A$1:$S$567,MATCH(K$10,'BDD'!$A$1:$P$1,0),FALSE)),"")</f>
      </c>
      <c r="L14" s="550"/>
      <c r="M14" s="551"/>
      <c r="N14" s="551"/>
      <c r="O14" s="534"/>
      <c r="P14" s="1042"/>
    </row>
    <row r="15" ht="130.05" customHeight="1" hidden="1">
      <c r="A15" s="1039"/>
      <c r="B15" s="542"/>
      <c r="C15" t="s" s="543">
        <f>IF(LEFT(RIGHT($B$1,2),1)=" ",RIGHT($B$1,1),RIGHT($B$1,2))</f>
        <v>260</v>
      </c>
      <c r="D15" s="544">
        <f>IF(LEFT(F15,14)="Bonne pratique",D14+1,D14)</f>
        <v>1</v>
      </c>
      <c r="E15" t="s" s="545">
        <f>C15&amp;D15&amp;RIGHT(F15,1)</f>
        <v>2424</v>
      </c>
      <c r="F15" t="s" s="552">
        <v>1776</v>
      </c>
      <c r="G15" t="s" s="540">
        <f>_xlfn.IFERROR(IF(VLOOKUP($E15,'BDD'!$A$1:$S$567,MATCH(G$10,'BDD'!$A$1:$P$1,0),FALSE)=0,"",VLOOKUP($E15,'BDD'!$A$1:$S$567,MATCH(G$10,'BDD'!$A$1:$P$1,0),FALSE)),"")</f>
      </c>
      <c r="H15" t="s" s="553">
        <f>IF(VLOOKUP(E15,'BDD'!$A$1:$S$567,15,FALSE)=0,"Critère non évalué","")</f>
        <v>1770</v>
      </c>
      <c r="I15" t="s" s="552">
        <f>_xlfn.IFERROR(IF(VLOOKUP($E15,'BDD'!$A$1:$S$567,MATCH(I$10,'BDD'!$A$1:$P$1,0),FALSE)=0,"",VLOOKUP($E15,'BDD'!$A$1:$S$567,MATCH(I$10,'BDD'!$A$1:$P$1,0),FALSE)),"")</f>
        <v>171</v>
      </c>
      <c r="J15" s="556"/>
      <c r="K15" t="s" s="540">
        <f>_xlfn.IFERROR(IF(VLOOKUP($E15,'BDD'!$A$1:$S$567,MATCH(K$10,'BDD'!$A$1:$P$1,0),FALSE)=0,"",VLOOKUP($E15,'BDD'!$A$1:$S$567,MATCH(K$10,'BDD'!$A$1:$P$1,0),FALSE)),"")</f>
      </c>
      <c r="L15" s="550"/>
      <c r="M15" s="555"/>
      <c r="N15" s="555"/>
      <c r="O15" s="534"/>
      <c r="P15" s="1042"/>
    </row>
    <row r="16" ht="130.05" customHeight="1" hidden="1">
      <c r="A16" s="1039"/>
      <c r="B16" s="542"/>
      <c r="C16" t="s" s="543">
        <f>IF(LEFT(RIGHT($B$1,2),1)=" ",RIGHT($B$1,1),RIGHT($B$1,2))</f>
        <v>260</v>
      </c>
      <c r="D16" s="544">
        <f>IF(LEFT(F16,14)="Bonne pratique",D15+1,D15)</f>
        <v>1</v>
      </c>
      <c r="E16" t="s" s="545">
        <f>C16&amp;D16&amp;RIGHT(F16,1)</f>
        <v>2425</v>
      </c>
      <c r="F16" t="s" s="546">
        <v>1778</v>
      </c>
      <c r="G16" t="s" s="547">
        <f>_xlfn.IFERROR(IF(VLOOKUP($E16,'BDD'!$A$1:$S$567,MATCH(G$10,'BDD'!$A$1:$P$1,0),FALSE)=0,"",VLOOKUP($E16,'BDD'!$A$1:$S$567,MATCH(G$10,'BDD'!$A$1:$P$1,0),FALSE)),"")</f>
      </c>
      <c r="H16" t="s" s="548">
        <f>IF(VLOOKUP(E16,'BDD'!$A$1:$S$567,15,FALSE)=0,"Critère non évalué","")</f>
        <v>1770</v>
      </c>
      <c r="I16" t="s" s="546">
        <f>_xlfn.IFERROR(IF(VLOOKUP($E16,'BDD'!$A$1:$S$567,MATCH(I$10,'BDD'!$A$1:$P$1,0),FALSE)=0,"",VLOOKUP($E16,'BDD'!$A$1:$S$567,MATCH(I$10,'BDD'!$A$1:$P$1,0),FALSE)),"")</f>
        <v>171</v>
      </c>
      <c r="J16" s="549"/>
      <c r="K16" t="s" s="547">
        <f>_xlfn.IFERROR(IF(VLOOKUP($E16,'BDD'!$A$1:$S$567,MATCH(K$10,'BDD'!$A$1:$P$1,0),FALSE)=0,"",VLOOKUP($E16,'BDD'!$A$1:$S$567,MATCH(K$10,'BDD'!$A$1:$P$1,0),FALSE)),"")</f>
      </c>
      <c r="L16" s="550"/>
      <c r="M16" s="557"/>
      <c r="N16" s="557"/>
      <c r="O16" s="534"/>
      <c r="P16" s="1042"/>
    </row>
    <row r="17" ht="130.05" customHeight="1" hidden="1">
      <c r="A17" s="1039"/>
      <c r="B17" s="542"/>
      <c r="C17" t="s" s="543">
        <f>IF(LEFT(RIGHT($B$1,2),1)=" ",RIGHT($B$1,1),RIGHT($B$1,2))</f>
        <v>260</v>
      </c>
      <c r="D17" s="544">
        <f>IF(LEFT(F17,14)="Bonne pratique",D16+1,D16)</f>
        <v>1</v>
      </c>
      <c r="E17" t="s" s="545">
        <f>C17&amp;D17&amp;RIGHT(F17,1)</f>
        <v>2426</v>
      </c>
      <c r="F17" t="s" s="552">
        <v>1780</v>
      </c>
      <c r="G17" t="s" s="540">
        <f>_xlfn.IFERROR(IF(VLOOKUP($E17,'BDD'!$A$1:$S$567,MATCH(G$10,'BDD'!$A$1:$P$1,0),FALSE)=0,"",VLOOKUP($E17,'BDD'!$A$1:$S$567,MATCH(G$10,'BDD'!$A$1:$P$1,0),FALSE)),"")</f>
      </c>
      <c r="H17" t="s" s="553">
        <f>IF(VLOOKUP(E17,'BDD'!$A$1:$S$567,15,FALSE)=0,"Critère non évalué","")</f>
        <v>1770</v>
      </c>
      <c r="I17" t="s" s="552">
        <f>_xlfn.IFERROR(IF(VLOOKUP($E17,'BDD'!$A$1:$S$567,MATCH(I$10,'BDD'!$A$1:$P$1,0),FALSE)=0,"",VLOOKUP($E17,'BDD'!$A$1:$S$567,MATCH(I$10,'BDD'!$A$1:$P$1,0),FALSE)),"")</f>
        <v>171</v>
      </c>
      <c r="J17" s="554"/>
      <c r="K17" t="s" s="540">
        <f>_xlfn.IFERROR(IF(VLOOKUP($E17,'BDD'!$A$1:$S$567,MATCH(K$10,'BDD'!$A$1:$P$1,0),FALSE)=0,"",VLOOKUP($E17,'BDD'!$A$1:$S$567,MATCH(K$10,'BDD'!$A$1:$P$1,0),FALSE)),"")</f>
      </c>
      <c r="L17" s="550"/>
      <c r="M17" s="555"/>
      <c r="N17" s="555"/>
      <c r="O17" s="534"/>
      <c r="P17" s="1042"/>
    </row>
    <row r="18" ht="130.05" customHeight="1" hidden="1">
      <c r="A18" s="1039"/>
      <c r="B18" s="542"/>
      <c r="C18" t="s" s="543">
        <f>IF(LEFT(RIGHT($B$1,2),1)=" ",RIGHT($B$1,1),RIGHT($B$1,2))</f>
        <v>260</v>
      </c>
      <c r="D18" s="544">
        <f>IF(LEFT(F18,14)="Bonne pratique",D17+1,D17)</f>
        <v>1</v>
      </c>
      <c r="E18" t="s" s="545">
        <f>C18&amp;D18&amp;RIGHT(F18,1)</f>
        <v>2427</v>
      </c>
      <c r="F18" t="s" s="546">
        <v>1782</v>
      </c>
      <c r="G18" t="s" s="547">
        <f>_xlfn.IFERROR(IF(VLOOKUP($E18,'BDD'!$A$1:$S$567,MATCH(G$10,'BDD'!$A$1:$P$1,0),FALSE)=0,"",VLOOKUP($E18,'BDD'!$A$1:$S$567,MATCH(G$10,'BDD'!$A$1:$P$1,0),FALSE)),"")</f>
      </c>
      <c r="H18" t="s" s="548">
        <f>IF(VLOOKUP(E18,'BDD'!$A$1:$S$567,15,FALSE)=0,"Critère non évalué","")</f>
        <v>1770</v>
      </c>
      <c r="I18" t="s" s="546">
        <f>_xlfn.IFERROR(IF(VLOOKUP($E18,'BDD'!$A$1:$S$567,MATCH(I$10,'BDD'!$A$1:$P$1,0),FALSE)=0,"",VLOOKUP($E18,'BDD'!$A$1:$S$567,MATCH(I$10,'BDD'!$A$1:$P$1,0),FALSE)),"")</f>
        <v>171</v>
      </c>
      <c r="J18" s="549"/>
      <c r="K18" t="s" s="547">
        <f>_xlfn.IFERROR(IF(VLOOKUP($E18,'BDD'!$A$1:$S$567,MATCH(K$10,'BDD'!$A$1:$P$1,0),FALSE)=0,"",VLOOKUP($E18,'BDD'!$A$1:$S$567,MATCH(K$10,'BDD'!$A$1:$P$1,0),FALSE)),"")</f>
      </c>
      <c r="L18" s="550"/>
      <c r="M18" s="557"/>
      <c r="N18" s="557"/>
      <c r="O18" s="534"/>
      <c r="P18" s="1042"/>
    </row>
    <row r="19" ht="18" customHeight="1">
      <c r="A19" s="1039"/>
      <c r="B19" s="61"/>
      <c r="C19" t="s" s="513">
        <f>IF(LEFT(RIGHT($B$1,2),1)=" ",RIGHT($B$1,1),RIGHT($B$1,2))</f>
        <v>260</v>
      </c>
      <c r="D19" s="514">
        <f>IF(LEFT(F19,14)="Bonne pratique",D18+1,D18)</f>
        <v>1</v>
      </c>
      <c r="E19" t="s" s="558">
        <f>C19&amp;D19&amp;RIGHT(F19,1)</f>
        <v>1768</v>
      </c>
      <c r="F19" s="559"/>
      <c r="G19" t="s" s="560">
        <f>IF('Suppl'!B80=2,"Le vecteur n'est pas utilisé","")</f>
      </c>
      <c r="H19" s="561"/>
      <c r="I19" s="561"/>
      <c r="J19" s="561"/>
      <c r="K19" s="561"/>
      <c r="L19" s="510"/>
      <c r="M19" s="559"/>
      <c r="N19" s="559"/>
      <c r="O19" s="61"/>
      <c r="P19" s="1042"/>
    </row>
    <row r="20" ht="15" customHeight="1">
      <c r="A20" s="1039"/>
      <c r="B20" s="61"/>
      <c r="C20" t="s" s="513">
        <f>IF(LEFT(RIGHT($B$1,2),1)=" ",RIGHT($B$1,1),RIGHT($B$1,2))</f>
        <v>260</v>
      </c>
      <c r="D20" s="514">
        <f>IF(LEFT(F20,14)="Bonne pratique",D19+1,D19)</f>
        <v>1</v>
      </c>
      <c r="E20" t="s" s="558">
        <f>C20&amp;D20&amp;RIGHT(F20,1)</f>
        <v>1768</v>
      </c>
      <c r="F20" s="61"/>
      <c r="G20" s="61"/>
      <c r="H20" s="61"/>
      <c r="I20" s="61"/>
      <c r="J20" s="61"/>
      <c r="K20" s="61"/>
      <c r="L20" s="61"/>
      <c r="M20" s="61"/>
      <c r="N20" s="61"/>
      <c r="O20" s="61"/>
      <c r="P20" s="1042"/>
    </row>
    <row r="21" ht="30" customHeight="1">
      <c r="A21" s="1043"/>
      <c r="B21" s="512"/>
      <c r="C21" t="s" s="513">
        <f>IF(LEFT(RIGHT($B$1,2),1)=" ",RIGHT($B$1,1),RIGHT($B$1,2))</f>
        <v>260</v>
      </c>
      <c r="D21" s="514">
        <f>IF(LEFT(F21,14)="Bonne pratique",D20+1,D20)</f>
        <v>2</v>
      </c>
      <c r="E21" t="s" s="558">
        <f>C21&amp;D21&amp;RIGHT(F21,1)</f>
        <v>2428</v>
      </c>
      <c r="F21" t="s" s="516">
        <v>1785</v>
      </c>
      <c r="G21" s="517"/>
      <c r="H21" s="518"/>
      <c r="I21" s="519"/>
      <c r="J21" t="s" s="520">
        <f>VLOOKUP(E28,'BDD'!$A$2:$N$567,6,FALSE)</f>
        <v>1341</v>
      </c>
      <c r="K21" s="521"/>
      <c r="L21" s="517"/>
      <c r="M21" s="517"/>
      <c r="N21" s="517"/>
      <c r="O21" s="512"/>
      <c r="P21" s="1044"/>
    </row>
    <row r="22" ht="15" customHeight="1">
      <c r="A22" s="1039"/>
      <c r="B22" s="61"/>
      <c r="C22" t="s" s="513">
        <f>IF(LEFT(RIGHT($B$1,2),1)=" ",RIGHT($B$1,1),RIGHT($B$1,2))</f>
        <v>260</v>
      </c>
      <c r="D22" s="514">
        <f>IF(LEFT(F22,14)="Bonne pratique",D21+1,D21)</f>
        <v>2</v>
      </c>
      <c r="E22" t="s" s="558">
        <f>C22&amp;D22&amp;RIGHT(F22,1)</f>
        <v>1771</v>
      </c>
      <c r="F22" s="61"/>
      <c r="G22" s="61"/>
      <c r="H22" s="61"/>
      <c r="I22" s="61"/>
      <c r="J22" s="61"/>
      <c r="K22" s="61"/>
      <c r="L22" s="61"/>
      <c r="M22" s="61"/>
      <c r="N22" s="61"/>
      <c r="O22" s="61"/>
      <c r="P22" s="1042"/>
    </row>
    <row r="23" ht="18" customHeight="1">
      <c r="A23" s="1045"/>
      <c r="B23" s="524"/>
      <c r="C23" t="s" s="513">
        <f>IF(LEFT(RIGHT($B$1,2),1)=" ",RIGHT($B$1,1),RIGHT($B$1,2))</f>
        <v>260</v>
      </c>
      <c r="D23" s="514">
        <f>IF(LEFT(F23,14)="Bonne pratique",D22+1,D22)</f>
        <v>2</v>
      </c>
      <c r="E23" t="s" s="558">
        <f>C23&amp;D23&amp;RIGHT(F23,1)</f>
        <v>1771</v>
      </c>
      <c r="F23" s="524"/>
      <c r="G23" s="524"/>
      <c r="H23" s="524"/>
      <c r="I23" s="525"/>
      <c r="J23" t="s" s="526">
        <v>1342</v>
      </c>
      <c r="K23" s="525"/>
      <c r="L23" s="524"/>
      <c r="M23" s="524"/>
      <c r="N23" s="524"/>
      <c r="O23" s="524"/>
      <c r="P23" s="1046"/>
    </row>
    <row r="24" ht="18" customHeight="1">
      <c r="A24" s="1039"/>
      <c r="B24" s="61"/>
      <c r="C24" t="s" s="513">
        <f>IF(LEFT(RIGHT($B$1,2),1)=" ",RIGHT($B$1,1),RIGHT($B$1,2))</f>
        <v>260</v>
      </c>
      <c r="D24" s="514">
        <f>IF(LEFT(F24,14)="Bonne pratique",D23+1,D23)</f>
        <v>2</v>
      </c>
      <c r="E24" t="s" s="558">
        <f>C24&amp;D24&amp;RIGHT(F24,1)</f>
        <v>1771</v>
      </c>
      <c r="F24" s="61"/>
      <c r="G24" s="61"/>
      <c r="H24" s="61"/>
      <c r="I24" s="61"/>
      <c r="J24" s="528"/>
      <c r="K24" s="61"/>
      <c r="L24" s="61"/>
      <c r="M24" s="529"/>
      <c r="N24" s="529"/>
      <c r="O24" s="61"/>
      <c r="P24" s="1042"/>
    </row>
    <row r="25" ht="15" customHeight="1">
      <c r="A25" s="1039"/>
      <c r="B25" s="61"/>
      <c r="C25" t="s" s="513">
        <f>IF(LEFT(RIGHT($B$1,2),1)=" ",RIGHT($B$1,1),RIGHT($B$1,2))</f>
        <v>260</v>
      </c>
      <c r="D25" s="514">
        <f>IF(LEFT(F25,14)="Bonne pratique",D24+1,D24)</f>
        <v>2</v>
      </c>
      <c r="E25" t="s" s="558">
        <f>C25&amp;D25&amp;RIGHT(F25,1)</f>
        <v>1771</v>
      </c>
      <c r="F25" s="61"/>
      <c r="G25" s="529"/>
      <c r="H25" s="529"/>
      <c r="I25" s="529"/>
      <c r="J25" s="530"/>
      <c r="K25" s="529"/>
      <c r="L25" s="542"/>
      <c r="M25" t="s" s="562">
        <v>1763</v>
      </c>
      <c r="N25" s="563"/>
      <c r="O25" s="534"/>
      <c r="P25" s="1042"/>
    </row>
    <row r="26" ht="33" customHeight="1">
      <c r="A26" s="1039"/>
      <c r="B26" s="61"/>
      <c r="C26" t="s" s="513">
        <f>IF(LEFT(RIGHT($B$1,2),1)=" ",RIGHT($B$1,1),RIGHT($B$1,2))</f>
        <v>260</v>
      </c>
      <c r="D26" s="514">
        <f>IF(LEFT(F26,14)="Bonne pratique",D25+1,D25)</f>
        <v>2</v>
      </c>
      <c r="E26" t="s" s="558">
        <f>C26&amp;D26&amp;RIGHT(F26,1)</f>
        <v>1771</v>
      </c>
      <c r="F26" s="564"/>
      <c r="G26" t="s" s="536">
        <v>244</v>
      </c>
      <c r="H26" t="s" s="536">
        <v>1764</v>
      </c>
      <c r="I26" t="s" s="536">
        <v>1787</v>
      </c>
      <c r="J26" t="s" s="536">
        <v>1765</v>
      </c>
      <c r="K26" t="s" s="536">
        <v>1788</v>
      </c>
      <c r="L26" s="538"/>
      <c r="M26" t="s" s="539">
        <v>1766</v>
      </c>
      <c r="N26" t="s" s="540">
        <v>1767</v>
      </c>
      <c r="O26" s="534"/>
      <c r="P26" s="1042"/>
    </row>
    <row r="27" ht="15" customHeight="1">
      <c r="A27" s="1039"/>
      <c r="B27" s="61"/>
      <c r="C27" t="s" s="513">
        <f>IF(LEFT(RIGHT($B$1,2),1)=" ",RIGHT($B$1,1),RIGHT($B$1,2))</f>
        <v>260</v>
      </c>
      <c r="D27" s="514">
        <f>IF(LEFT(F27,14)="Bonne pratique",D26+1,D26)</f>
        <v>2</v>
      </c>
      <c r="E27" t="s" s="558">
        <f>C27&amp;D27&amp;RIGHT(F27,1)</f>
        <v>1771</v>
      </c>
      <c r="F27" s="529"/>
      <c r="G27" s="541"/>
      <c r="H27" s="541"/>
      <c r="I27" s="541"/>
      <c r="J27" s="541"/>
      <c r="K27" s="541"/>
      <c r="L27" s="61"/>
      <c r="M27" s="541"/>
      <c r="N27" s="541"/>
      <c r="O27" s="61"/>
      <c r="P27" s="1042"/>
    </row>
    <row r="28" ht="130.05" customHeight="1">
      <c r="A28" s="1039"/>
      <c r="B28" s="542"/>
      <c r="C28" t="s" s="543">
        <f>IF(LEFT(RIGHT($B$1,2),1)=" ",RIGHT($B$1,1),RIGHT($B$1,2))</f>
        <v>260</v>
      </c>
      <c r="D28" s="544">
        <f>IF(LEFT(F28,14)="Bonne pratique",D27+1,D27)</f>
        <v>2</v>
      </c>
      <c r="E28" t="s" s="545">
        <f>C28&amp;D28&amp;RIGHT(F28,1)</f>
        <v>2429</v>
      </c>
      <c r="F28" t="s" s="546">
        <v>1769</v>
      </c>
      <c r="G28" t="s" s="547">
        <f>_xlfn.IFERROR(IF(VLOOKUP($E28,'BDD'!$A$1:$S$567,MATCH(G$10,'BDD'!$A$1:$P$1,0),FALSE)=0,"",VLOOKUP($E28,'BDD'!$A$1:$S$567,MATCH(G$10,'BDD'!$A$1:$P$1,0),FALSE)),"")</f>
        <v>1343</v>
      </c>
      <c r="H28" t="s" s="548">
        <f>IF(VLOOKUP(E28,'BDD'!$A$1:$S$567,15,FALSE)=0,"Critère non évalué","")</f>
        <v>1770</v>
      </c>
      <c r="I28" t="s" s="546">
        <f>_xlfn.IFERROR(IF(VLOOKUP($E28,'BDD'!$A$1:$S$567,MATCH(I$10,'BDD'!$A$1:$P$1,0),FALSE)=0,"",VLOOKUP($E28,'BDD'!$A$1:$S$567,MATCH(I$10,'BDD'!$A$1:$P$1,0),FALSE)),"")</f>
        <v>263</v>
      </c>
      <c r="J28" s="549"/>
      <c r="K28" t="s" s="547">
        <f>_xlfn.IFERROR(IF(VLOOKUP($E28,'BDD'!$A$1:$S$567,MATCH(K$10,'BDD'!$A$1:$P$1,0),FALSE)=0,"",VLOOKUP($E28,'BDD'!$A$1:$S$567,MATCH(K$10,'BDD'!$A$1:$P$1,0),FALSE)),"")</f>
        <v>1344</v>
      </c>
      <c r="L28" s="550"/>
      <c r="M28" s="551"/>
      <c r="N28" s="551"/>
      <c r="O28" s="534"/>
      <c r="P28" s="1042"/>
    </row>
    <row r="29" ht="130.05" customHeight="1">
      <c r="A29" s="1039"/>
      <c r="B29" s="542"/>
      <c r="C29" t="s" s="543">
        <f>IF(LEFT(RIGHT($B$1,2),1)=" ",RIGHT($B$1,1),RIGHT($B$1,2))</f>
        <v>260</v>
      </c>
      <c r="D29" s="544">
        <f>IF(LEFT(F29,14)="Bonne pratique",D28+1,D28)</f>
        <v>2</v>
      </c>
      <c r="E29" t="s" s="545">
        <f>C29&amp;D29&amp;RIGHT(F29,1)</f>
        <v>2428</v>
      </c>
      <c r="F29" t="s" s="552">
        <v>1772</v>
      </c>
      <c r="G29" t="s" s="540">
        <f>_xlfn.IFERROR(IF(VLOOKUP($E29,'BDD'!$A$1:$S$567,MATCH(G$10,'BDD'!$A$1:$P$1,0),FALSE)=0,"",VLOOKUP($E29,'BDD'!$A$1:$S$567,MATCH(G$10,'BDD'!$A$1:$P$1,0),FALSE)),"")</f>
        <v>1346</v>
      </c>
      <c r="H29" t="s" s="553">
        <f>IF(VLOOKUP(E29,'BDD'!$A$1:$S$567,15,FALSE)=0,"Critère non évalué","")</f>
        <v>1770</v>
      </c>
      <c r="I29" t="s" s="552">
        <f>_xlfn.IFERROR(IF(VLOOKUP($E29,'BDD'!$A$1:$S$567,MATCH(I$10,'BDD'!$A$1:$P$1,0),FALSE)=0,"",VLOOKUP($E29,'BDD'!$A$1:$S$567,MATCH(I$10,'BDD'!$A$1:$P$1,0),FALSE)),"")</f>
        <v>283</v>
      </c>
      <c r="J29" s="554"/>
      <c r="K29" t="s" s="540">
        <f>_xlfn.IFERROR(IF(VLOOKUP($E29,'BDD'!$A$1:$S$567,MATCH(K$10,'BDD'!$A$1:$P$1,0),FALSE)=0,"",VLOOKUP($E29,'BDD'!$A$1:$S$567,MATCH(K$10,'BDD'!$A$1:$P$1,0),FALSE)),"")</f>
        <v>1347</v>
      </c>
      <c r="L29" s="550"/>
      <c r="M29" s="555"/>
      <c r="N29" s="555"/>
      <c r="O29" s="534"/>
      <c r="P29" s="1042"/>
    </row>
    <row r="30" ht="130.05" customHeight="1">
      <c r="A30" s="1039"/>
      <c r="B30" s="542"/>
      <c r="C30" t="s" s="543">
        <f>IF(LEFT(RIGHT($B$1,2),1)=" ",RIGHT($B$1,1),RIGHT($B$1,2))</f>
        <v>260</v>
      </c>
      <c r="D30" s="544">
        <f>IF(LEFT(F30,14)="Bonne pratique",D29+1,D29)</f>
        <v>2</v>
      </c>
      <c r="E30" t="s" s="545">
        <f>C30&amp;D30&amp;RIGHT(F30,1)</f>
        <v>2430</v>
      </c>
      <c r="F30" t="s" s="546">
        <v>1774</v>
      </c>
      <c r="G30" t="s" s="547">
        <f>_xlfn.IFERROR(IF(VLOOKUP($E30,'BDD'!$A$1:$S$567,MATCH(G$10,'BDD'!$A$1:$P$1,0),FALSE)=0,"",VLOOKUP($E30,'BDD'!$A$1:$S$567,MATCH(G$10,'BDD'!$A$1:$P$1,0),FALSE)),"")</f>
        <v>1349</v>
      </c>
      <c r="H30" t="s" s="548">
        <f>IF(VLOOKUP(E30,'BDD'!$A$1:$S$567,15,FALSE)=0,"Critère non évalué","")</f>
        <v>1770</v>
      </c>
      <c r="I30" t="s" s="546">
        <f>_xlfn.IFERROR(IF(VLOOKUP($E30,'BDD'!$A$1:$S$567,MATCH(I$10,'BDD'!$A$1:$P$1,0),FALSE)=0,"",VLOOKUP($E30,'BDD'!$A$1:$S$567,MATCH(I$10,'BDD'!$A$1:$P$1,0),FALSE)),"")</f>
        <v>283</v>
      </c>
      <c r="J30" s="549"/>
      <c r="K30" t="s" s="547">
        <f>_xlfn.IFERROR(IF(VLOOKUP($E30,'BDD'!$A$1:$S$567,MATCH(K$10,'BDD'!$A$1:$P$1,0),FALSE)=0,"",VLOOKUP($E30,'BDD'!$A$1:$S$567,MATCH(K$10,'BDD'!$A$1:$P$1,0),FALSE)),"")</f>
        <v>1350</v>
      </c>
      <c r="L30" s="550"/>
      <c r="M30" s="551"/>
      <c r="N30" s="551"/>
      <c r="O30" s="534"/>
      <c r="P30" s="1042"/>
    </row>
    <row r="31" ht="130.05" customHeight="1">
      <c r="A31" s="1039"/>
      <c r="B31" s="542"/>
      <c r="C31" t="s" s="543">
        <f>IF(LEFT(RIGHT($B$1,2),1)=" ",RIGHT($B$1,1),RIGHT($B$1,2))</f>
        <v>260</v>
      </c>
      <c r="D31" s="544">
        <f>IF(LEFT(F31,14)="Bonne pratique",D30+1,D30)</f>
        <v>2</v>
      </c>
      <c r="E31" t="s" s="545">
        <f>C31&amp;D31&amp;RIGHT(F31,1)</f>
        <v>2431</v>
      </c>
      <c r="F31" t="s" s="552">
        <v>1776</v>
      </c>
      <c r="G31" t="s" s="540">
        <f>_xlfn.IFERROR(IF(VLOOKUP($E31,'BDD'!$A$1:$S$567,MATCH(G$10,'BDD'!$A$1:$P$1,0),FALSE)=0,"",VLOOKUP($E31,'BDD'!$A$1:$S$567,MATCH(G$10,'BDD'!$A$1:$P$1,0),FALSE)),"")</f>
        <v>1352</v>
      </c>
      <c r="H31" t="s" s="553">
        <f>IF(VLOOKUP(E31,'BDD'!$A$1:$S$567,15,FALSE)=0,"Critère non évalué","")</f>
        <v>1770</v>
      </c>
      <c r="I31" t="s" s="552">
        <f>_xlfn.IFERROR(IF(VLOOKUP($E31,'BDD'!$A$1:$S$567,MATCH(I$10,'BDD'!$A$1:$P$1,0),FALSE)=0,"",VLOOKUP($E31,'BDD'!$A$1:$S$567,MATCH(I$10,'BDD'!$A$1:$P$1,0),FALSE)),"")</f>
        <v>271</v>
      </c>
      <c r="J31" s="556"/>
      <c r="K31" t="s" s="540">
        <f>_xlfn.IFERROR(IF(VLOOKUP($E31,'BDD'!$A$1:$S$567,MATCH(K$10,'BDD'!$A$1:$P$1,0),FALSE)=0,"",VLOOKUP($E31,'BDD'!$A$1:$S$567,MATCH(K$10,'BDD'!$A$1:$P$1,0),FALSE)),"")</f>
        <v>1353</v>
      </c>
      <c r="L31" s="550"/>
      <c r="M31" s="555"/>
      <c r="N31" s="555"/>
      <c r="O31" s="534"/>
      <c r="P31" s="1042"/>
    </row>
    <row r="32" ht="130.05" customHeight="1">
      <c r="A32" s="1039"/>
      <c r="B32" s="542"/>
      <c r="C32" t="s" s="543">
        <f>IF(LEFT(RIGHT($B$1,2),1)=" ",RIGHT($B$1,1),RIGHT($B$1,2))</f>
        <v>260</v>
      </c>
      <c r="D32" s="544">
        <f>IF(LEFT(F32,14)="Bonne pratique",D31+1,D31)</f>
        <v>2</v>
      </c>
      <c r="E32" t="s" s="545">
        <f>C32&amp;D32&amp;RIGHT(F32,1)</f>
        <v>2432</v>
      </c>
      <c r="F32" t="s" s="546">
        <v>1778</v>
      </c>
      <c r="G32" t="s" s="547">
        <f>_xlfn.IFERROR(IF(VLOOKUP($E32,'BDD'!$A$1:$S$567,MATCH(G$10,'BDD'!$A$1:$P$1,0),FALSE)=0,"",VLOOKUP($E32,'BDD'!$A$1:$S$567,MATCH(G$10,'BDD'!$A$1:$P$1,0),FALSE)),"")</f>
        <v>1355</v>
      </c>
      <c r="H32" t="s" s="548">
        <f>IF(VLOOKUP(E32,'BDD'!$A$1:$S$567,15,FALSE)=0,"Critère non évalué","")</f>
        <v>1770</v>
      </c>
      <c r="I32" t="s" s="546">
        <f>_xlfn.IFERROR(IF(VLOOKUP($E32,'BDD'!$A$1:$S$567,MATCH(I$10,'BDD'!$A$1:$P$1,0),FALSE)=0,"",VLOOKUP($E32,'BDD'!$A$1:$S$567,MATCH(I$10,'BDD'!$A$1:$P$1,0),FALSE)),"")</f>
        <v>271</v>
      </c>
      <c r="J32" s="549"/>
      <c r="K32" t="s" s="547">
        <f>_xlfn.IFERROR(IF(VLOOKUP($E32,'BDD'!$A$1:$S$567,MATCH(K$10,'BDD'!$A$1:$P$1,0),FALSE)=0,"",VLOOKUP($E32,'BDD'!$A$1:$S$567,MATCH(K$10,'BDD'!$A$1:$P$1,0),FALSE)),"")</f>
        <v>1356</v>
      </c>
      <c r="L32" s="550"/>
      <c r="M32" s="557"/>
      <c r="N32" s="557"/>
      <c r="O32" s="534"/>
      <c r="P32" s="1042"/>
    </row>
    <row r="33" ht="130.05" customHeight="1">
      <c r="A33" s="1039"/>
      <c r="B33" s="542"/>
      <c r="C33" t="s" s="543">
        <f>IF(LEFT(RIGHT($B$1,2),1)=" ",RIGHT($B$1,1),RIGHT($B$1,2))</f>
        <v>260</v>
      </c>
      <c r="D33" s="544">
        <f>IF(LEFT(F33,14)="Bonne pratique",D32+1,D32)</f>
        <v>2</v>
      </c>
      <c r="E33" t="s" s="545">
        <f>C33&amp;D33&amp;RIGHT(F33,1)</f>
        <v>2433</v>
      </c>
      <c r="F33" t="s" s="552">
        <v>1780</v>
      </c>
      <c r="G33" t="s" s="540">
        <f>_xlfn.IFERROR(IF(VLOOKUP($E33,'BDD'!$A$1:$S$567,MATCH(G$10,'BDD'!$A$1:$P$1,0),FALSE)=0,"",VLOOKUP($E33,'BDD'!$A$1:$S$567,MATCH(G$10,'BDD'!$A$1:$P$1,0),FALSE)),"")</f>
        <v>1358</v>
      </c>
      <c r="H33" t="s" s="553">
        <f>IF(VLOOKUP(E33,'BDD'!$A$1:$S$567,15,FALSE)=0,"Critère non évalué","")</f>
        <v>1770</v>
      </c>
      <c r="I33" t="s" s="552">
        <f>_xlfn.IFERROR(IF(VLOOKUP($E33,'BDD'!$A$1:$S$567,MATCH(I$10,'BDD'!$A$1:$P$1,0),FALSE)=0,"",VLOOKUP($E33,'BDD'!$A$1:$S$567,MATCH(I$10,'BDD'!$A$1:$P$1,0),FALSE)),"")</f>
        <v>283</v>
      </c>
      <c r="J33" s="554"/>
      <c r="K33" t="s" s="540">
        <f>_xlfn.IFERROR(IF(VLOOKUP($E33,'BDD'!$A$1:$S$567,MATCH(K$10,'BDD'!$A$1:$P$1,0),FALSE)=0,"",VLOOKUP($E33,'BDD'!$A$1:$S$567,MATCH(K$10,'BDD'!$A$1:$P$1,0),FALSE)),"")</f>
      </c>
      <c r="L33" s="550"/>
      <c r="M33" s="555"/>
      <c r="N33" s="555"/>
      <c r="O33" s="534"/>
      <c r="P33" s="1042"/>
    </row>
    <row r="34" ht="130.05" customHeight="1" hidden="1">
      <c r="A34" s="1039"/>
      <c r="B34" s="542"/>
      <c r="C34" t="s" s="543">
        <f>IF(LEFT(RIGHT($B$1,2),1)=" ",RIGHT($B$1,1),RIGHT($B$1,2))</f>
        <v>260</v>
      </c>
      <c r="D34" s="544">
        <f>IF(LEFT(F34,14)="Bonne pratique",D33+1,D33)</f>
        <v>2</v>
      </c>
      <c r="E34" t="s" s="545">
        <f>C34&amp;D34&amp;RIGHT(F34,1)</f>
        <v>2434</v>
      </c>
      <c r="F34" t="s" s="546">
        <v>1782</v>
      </c>
      <c r="G34" t="s" s="547">
        <f>_xlfn.IFERROR(IF(VLOOKUP($E34,'BDD'!$A$1:$S$567,MATCH(G$10,'BDD'!$A$1:$P$1,0),FALSE)=0,"",VLOOKUP($E34,'BDD'!$A$1:$S$567,MATCH(G$10,'BDD'!$A$1:$P$1,0),FALSE)),"")</f>
      </c>
      <c r="H34" t="s" s="548">
        <f>IF(VLOOKUP(E34,'BDD'!$A$1:$S$567,15,FALSE)=0,"Critère non évalué","")</f>
        <v>1770</v>
      </c>
      <c r="I34" t="s" s="546">
        <f>_xlfn.IFERROR(IF(VLOOKUP($E34,'BDD'!$A$1:$S$567,MATCH(I$10,'BDD'!$A$1:$P$1,0),FALSE)=0,"",VLOOKUP($E34,'BDD'!$A$1:$S$567,MATCH(I$10,'BDD'!$A$1:$P$1,0),FALSE)),"")</f>
      </c>
      <c r="J34" s="549"/>
      <c r="K34" t="s" s="547">
        <f>_xlfn.IFERROR(IF(VLOOKUP($E34,'BDD'!$A$1:$S$567,MATCH(K$10,'BDD'!$A$1:$P$1,0),FALSE)=0,"",VLOOKUP($E34,'BDD'!$A$1:$S$567,MATCH(K$10,'BDD'!$A$1:$P$1,0),FALSE)),"")</f>
      </c>
      <c r="L34" s="550"/>
      <c r="M34" s="557"/>
      <c r="N34" s="557"/>
      <c r="O34" s="534"/>
      <c r="P34" s="1042"/>
    </row>
    <row r="35" ht="18" customHeight="1">
      <c r="A35" s="1039"/>
      <c r="B35" s="61"/>
      <c r="C35" t="s" s="513">
        <f>IF(LEFT(RIGHT($B$1,2),1)=" ",RIGHT($B$1,1),RIGHT($B$1,2))</f>
        <v>260</v>
      </c>
      <c r="D35" s="514">
        <f>IF(LEFT(F35,14)="Bonne pratique",D34+1,D34)</f>
        <v>2</v>
      </c>
      <c r="E35" t="s" s="558">
        <f>C35&amp;D35&amp;RIGHT(F35,1)</f>
        <v>1771</v>
      </c>
      <c r="F35" s="559"/>
      <c r="G35" t="s" s="560">
        <f>IF('Suppl'!B96=2,"Le vecteur n'est pas utilisé","")</f>
      </c>
      <c r="H35" s="561"/>
      <c r="I35" s="559"/>
      <c r="J35" s="561"/>
      <c r="K35" s="561"/>
      <c r="L35" s="510"/>
      <c r="M35" s="559"/>
      <c r="N35" s="559"/>
      <c r="O35" s="61"/>
      <c r="P35" s="1042"/>
    </row>
    <row r="36" ht="15" customHeight="1">
      <c r="A36" s="1039"/>
      <c r="B36" s="61"/>
      <c r="C36" t="s" s="513">
        <f>IF(LEFT(RIGHT($B$1,2),1)=" ",RIGHT($B$1,1),RIGHT($B$1,2))</f>
        <v>260</v>
      </c>
      <c r="D36" s="514">
        <f>IF(LEFT(F36,14)="Bonne pratique",D35+1,D35)</f>
        <v>2</v>
      </c>
      <c r="E36" t="s" s="558">
        <f>C36&amp;D36&amp;RIGHT(F36,1)</f>
        <v>1771</v>
      </c>
      <c r="F36" s="61"/>
      <c r="G36" s="61"/>
      <c r="H36" s="61"/>
      <c r="I36" s="61"/>
      <c r="J36" s="61"/>
      <c r="K36" s="61"/>
      <c r="L36" s="61"/>
      <c r="M36" s="61"/>
      <c r="N36" s="61"/>
      <c r="O36" s="61"/>
      <c r="P36" s="1042"/>
    </row>
    <row r="37" ht="30" customHeight="1">
      <c r="A37" s="1043"/>
      <c r="B37" s="512"/>
      <c r="C37" t="s" s="513">
        <f>IF(LEFT(RIGHT($B$1,2),1)=" ",RIGHT($B$1,1),RIGHT($B$1,2))</f>
        <v>260</v>
      </c>
      <c r="D37" s="514">
        <f>IF(LEFT(F37,14)="Bonne pratique",D36+1,D36)</f>
        <v>3</v>
      </c>
      <c r="E37" t="s" s="558">
        <f>C37&amp;D37&amp;RIGHT(F37,1)</f>
        <v>2435</v>
      </c>
      <c r="F37" t="s" s="516">
        <v>1797</v>
      </c>
      <c r="G37" s="517"/>
      <c r="H37" s="518"/>
      <c r="I37" s="519"/>
      <c r="J37" t="s" s="520">
        <f>VLOOKUP(E44,'BDD'!$A$2:$N$567,6,FALSE)</f>
        <v>1360</v>
      </c>
      <c r="K37" s="521"/>
      <c r="L37" s="517"/>
      <c r="M37" s="517"/>
      <c r="N37" s="517"/>
      <c r="O37" s="512"/>
      <c r="P37" s="1044"/>
    </row>
    <row r="38" ht="15" customHeight="1">
      <c r="A38" s="1039"/>
      <c r="B38" s="61"/>
      <c r="C38" t="s" s="513">
        <f>IF(LEFT(RIGHT($B$1,2),1)=" ",RIGHT($B$1,1),RIGHT($B$1,2))</f>
        <v>260</v>
      </c>
      <c r="D38" s="514">
        <f>IF(LEFT(F38,14)="Bonne pratique",D37+1,D37)</f>
        <v>3</v>
      </c>
      <c r="E38" t="s" s="558">
        <f>C38&amp;D38&amp;RIGHT(F38,1)</f>
        <v>1773</v>
      </c>
      <c r="F38" s="61"/>
      <c r="G38" s="61"/>
      <c r="H38" s="61"/>
      <c r="I38" s="61"/>
      <c r="J38" s="61"/>
      <c r="K38" s="61"/>
      <c r="L38" s="61"/>
      <c r="M38" s="61"/>
      <c r="N38" s="61"/>
      <c r="O38" s="61"/>
      <c r="P38" s="1042"/>
    </row>
    <row r="39" ht="18" customHeight="1">
      <c r="A39" s="1045"/>
      <c r="B39" s="524"/>
      <c r="C39" t="s" s="513">
        <f>IF(LEFT(RIGHT($B$1,2),1)=" ",RIGHT($B$1,1),RIGHT($B$1,2))</f>
        <v>260</v>
      </c>
      <c r="D39" s="514">
        <f>IF(LEFT(F39,14)="Bonne pratique",D38+1,D38)</f>
        <v>3</v>
      </c>
      <c r="E39" t="s" s="558">
        <f>C39&amp;D39&amp;RIGHT(F39,1)</f>
        <v>1773</v>
      </c>
      <c r="F39" s="524"/>
      <c r="G39" s="524"/>
      <c r="H39" s="524"/>
      <c r="I39" s="525"/>
      <c r="J39" t="s" s="526">
        <v>1361</v>
      </c>
      <c r="K39" s="525"/>
      <c r="L39" s="524"/>
      <c r="M39" s="524"/>
      <c r="N39" s="524"/>
      <c r="O39" s="524"/>
      <c r="P39" s="1046"/>
    </row>
    <row r="40" ht="18" customHeight="1">
      <c r="A40" s="1039"/>
      <c r="B40" s="61"/>
      <c r="C40" t="s" s="513">
        <f>IF(LEFT(RIGHT($B$1,2),1)=" ",RIGHT($B$1,1),RIGHT($B$1,2))</f>
        <v>260</v>
      </c>
      <c r="D40" s="514">
        <f>IF(LEFT(F40,14)="Bonne pratique",D39+1,D39)</f>
        <v>3</v>
      </c>
      <c r="E40" t="s" s="558">
        <f>C40&amp;D40&amp;RIGHT(F40,1)</f>
        <v>1773</v>
      </c>
      <c r="F40" s="61"/>
      <c r="G40" s="61"/>
      <c r="H40" s="61"/>
      <c r="I40" s="61"/>
      <c r="J40" s="528"/>
      <c r="K40" s="61"/>
      <c r="L40" s="61"/>
      <c r="M40" s="529"/>
      <c r="N40" s="529"/>
      <c r="O40" s="61"/>
      <c r="P40" s="1042"/>
    </row>
    <row r="41" ht="15" customHeight="1">
      <c r="A41" s="1039"/>
      <c r="B41" s="61"/>
      <c r="C41" t="s" s="513">
        <f>IF(LEFT(RIGHT($B$1,2),1)=" ",RIGHT($B$1,1),RIGHT($B$1,2))</f>
        <v>260</v>
      </c>
      <c r="D41" s="514">
        <f>IF(LEFT(F41,14)="Bonne pratique",D40+1,D40)</f>
        <v>3</v>
      </c>
      <c r="E41" t="s" s="558">
        <f>C41&amp;D41&amp;RIGHT(F41,1)</f>
        <v>1773</v>
      </c>
      <c r="F41" s="61"/>
      <c r="G41" s="529"/>
      <c r="H41" s="529"/>
      <c r="I41" s="529"/>
      <c r="J41" s="530"/>
      <c r="K41" s="529"/>
      <c r="L41" s="542"/>
      <c r="M41" t="s" s="562">
        <v>1763</v>
      </c>
      <c r="N41" s="563"/>
      <c r="O41" s="534"/>
      <c r="P41" s="1042"/>
    </row>
    <row r="42" ht="33" customHeight="1">
      <c r="A42" s="1039"/>
      <c r="B42" s="61"/>
      <c r="C42" t="s" s="513">
        <f>IF(LEFT(RIGHT($B$1,2),1)=" ",RIGHT($B$1,1),RIGHT($B$1,2))</f>
        <v>260</v>
      </c>
      <c r="D42" s="514">
        <f>IF(LEFT(F42,14)="Bonne pratique",D41+1,D41)</f>
        <v>3</v>
      </c>
      <c r="E42" t="s" s="558">
        <f>C42&amp;D42&amp;RIGHT(F42,1)</f>
        <v>1773</v>
      </c>
      <c r="F42" s="535"/>
      <c r="G42" t="s" s="536">
        <v>244</v>
      </c>
      <c r="H42" t="s" s="536">
        <v>1764</v>
      </c>
      <c r="I42" t="s" s="536">
        <v>1787</v>
      </c>
      <c r="J42" t="s" s="536">
        <v>1765</v>
      </c>
      <c r="K42" t="s" s="536">
        <v>1788</v>
      </c>
      <c r="L42" s="538"/>
      <c r="M42" t="s" s="539">
        <v>1766</v>
      </c>
      <c r="N42" t="s" s="540">
        <v>1767</v>
      </c>
      <c r="O42" s="534"/>
      <c r="P42" s="1042"/>
    </row>
    <row r="43" ht="15" customHeight="1">
      <c r="A43" s="1039"/>
      <c r="B43" s="61"/>
      <c r="C43" t="s" s="513">
        <f>IF(LEFT(RIGHT($B$1,2),1)=" ",RIGHT($B$1,1),RIGHT($B$1,2))</f>
        <v>260</v>
      </c>
      <c r="D43" s="514">
        <f>IF(LEFT(F43,14)="Bonne pratique",D42+1,D42)</f>
        <v>3</v>
      </c>
      <c r="E43" t="s" s="558">
        <f>C43&amp;D43&amp;RIGHT(F43,1)</f>
        <v>1773</v>
      </c>
      <c r="F43" s="529"/>
      <c r="G43" s="541"/>
      <c r="H43" s="541"/>
      <c r="I43" s="541"/>
      <c r="J43" s="541"/>
      <c r="K43" s="541"/>
      <c r="L43" s="61"/>
      <c r="M43" s="541"/>
      <c r="N43" s="541"/>
      <c r="O43" s="61"/>
      <c r="P43" s="1042"/>
    </row>
    <row r="44" ht="130.05" customHeight="1">
      <c r="A44" s="1039"/>
      <c r="B44" s="542"/>
      <c r="C44" t="s" s="543">
        <f>IF(LEFT(RIGHT($B$1,2),1)=" ",RIGHT($B$1,1),RIGHT($B$1,2))</f>
        <v>260</v>
      </c>
      <c r="D44" s="544">
        <f>IF(LEFT(F44,14)="Bonne pratique",D43+1,D43)</f>
        <v>3</v>
      </c>
      <c r="E44" t="s" s="545">
        <f>C44&amp;D44&amp;RIGHT(F44,1)</f>
        <v>2436</v>
      </c>
      <c r="F44" t="s" s="546">
        <v>1769</v>
      </c>
      <c r="G44" t="s" s="547">
        <f>_xlfn.IFERROR(IF(VLOOKUP($E44,'BDD'!$A$1:$S$567,MATCH(G$10,'BDD'!$A$1:$P$1,0),FALSE)=0,"",VLOOKUP($E44,'BDD'!$A$1:$S$567,MATCH(G$10,'BDD'!$A$1:$P$1,0),FALSE)),"")</f>
        <v>1363</v>
      </c>
      <c r="H44" t="s" s="548">
        <f>IF(VLOOKUP(E44,'BDD'!$A$1:$S$567,15,FALSE)=0,"Critère non évalué","")</f>
        <v>1770</v>
      </c>
      <c r="I44" t="s" s="546">
        <f>_xlfn.IFERROR(IF(VLOOKUP($E44,'BDD'!$A$1:$S$567,MATCH(I$10,'BDD'!$A$1:$P$1,0),FALSE)=0,"",VLOOKUP($E44,'BDD'!$A$1:$S$567,MATCH(I$10,'BDD'!$A$1:$P$1,0),FALSE)),"")</f>
        <v>283</v>
      </c>
      <c r="J44" s="549"/>
      <c r="K44" t="s" s="547">
        <f>_xlfn.IFERROR(IF(VLOOKUP($E44,'BDD'!$A$1:$S$567,MATCH(K$10,'BDD'!$A$1:$P$1,0),FALSE)=0,"",VLOOKUP($E44,'BDD'!$A$1:$S$567,MATCH(K$10,'BDD'!$A$1:$P$1,0),FALSE)),"")</f>
        <v>1364</v>
      </c>
      <c r="L44" s="550"/>
      <c r="M44" s="551"/>
      <c r="N44" s="551"/>
      <c r="O44" s="534"/>
      <c r="P44" s="1042"/>
    </row>
    <row r="45" ht="130.05" customHeight="1">
      <c r="A45" s="1039"/>
      <c r="B45" s="542"/>
      <c r="C45" t="s" s="543">
        <f>IF(LEFT(RIGHT($B$1,2),1)=" ",RIGHT($B$1,1),RIGHT($B$1,2))</f>
        <v>260</v>
      </c>
      <c r="D45" s="544">
        <f>IF(LEFT(F45,14)="Bonne pratique",D44+1,D44)</f>
        <v>3</v>
      </c>
      <c r="E45" t="s" s="545">
        <f>C45&amp;D45&amp;RIGHT(F45,1)</f>
        <v>2437</v>
      </c>
      <c r="F45" t="s" s="552">
        <v>1772</v>
      </c>
      <c r="G45" t="s" s="540">
        <f>_xlfn.IFERROR(IF(VLOOKUP($E45,'BDD'!$A$1:$S$567,MATCH(G$10,'BDD'!$A$1:$P$1,0),FALSE)=0,"",VLOOKUP($E45,'BDD'!$A$1:$S$567,MATCH(G$10,'BDD'!$A$1:$P$1,0),FALSE)),"")</f>
        <v>1366</v>
      </c>
      <c r="H45" t="s" s="553">
        <f>IF(VLOOKUP(E45,'BDD'!$A$1:$S$567,15,FALSE)=0,"Critère non évalué","")</f>
        <v>1770</v>
      </c>
      <c r="I45" t="s" s="552">
        <f>_xlfn.IFERROR(IF(VLOOKUP($E45,'BDD'!$A$1:$S$567,MATCH(I$10,'BDD'!$A$1:$P$1,0),FALSE)=0,"",VLOOKUP($E45,'BDD'!$A$1:$S$567,MATCH(I$10,'BDD'!$A$1:$P$1,0),FALSE)),"")</f>
        <v>283</v>
      </c>
      <c r="J45" s="554"/>
      <c r="K45" t="s" s="540">
        <f>_xlfn.IFERROR(IF(VLOOKUP($E45,'BDD'!$A$1:$S$567,MATCH(K$10,'BDD'!$A$1:$P$1,0),FALSE)=0,"",VLOOKUP($E45,'BDD'!$A$1:$S$567,MATCH(K$10,'BDD'!$A$1:$P$1,0),FALSE)),"")</f>
        <v>1367</v>
      </c>
      <c r="L45" s="550"/>
      <c r="M45" s="555"/>
      <c r="N45" s="555"/>
      <c r="O45" s="534"/>
      <c r="P45" s="1042"/>
    </row>
    <row r="46" ht="130.05" customHeight="1">
      <c r="A46" s="1039"/>
      <c r="B46" s="542"/>
      <c r="C46" t="s" s="543">
        <f>IF(LEFT(RIGHT($B$1,2),1)=" ",RIGHT($B$1,1),RIGHT($B$1,2))</f>
        <v>260</v>
      </c>
      <c r="D46" s="544">
        <f>IF(LEFT(F46,14)="Bonne pratique",D45+1,D45)</f>
        <v>3</v>
      </c>
      <c r="E46" t="s" s="545">
        <f>C46&amp;D46&amp;RIGHT(F46,1)</f>
        <v>2435</v>
      </c>
      <c r="F46" t="s" s="546">
        <v>1774</v>
      </c>
      <c r="G46" t="s" s="547">
        <f>_xlfn.IFERROR(IF(VLOOKUP($E46,'BDD'!$A$1:$S$567,MATCH(G$10,'BDD'!$A$1:$P$1,0),FALSE)=0,"",VLOOKUP($E46,'BDD'!$A$1:$S$567,MATCH(G$10,'BDD'!$A$1:$P$1,0),FALSE)),"")</f>
        <v>1369</v>
      </c>
      <c r="H46" t="s" s="548">
        <f>IF(VLOOKUP(E46,'BDD'!$A$1:$S$567,15,FALSE)=0,"Critère non évalué","")</f>
        <v>1770</v>
      </c>
      <c r="I46" t="s" s="546">
        <f>_xlfn.IFERROR(IF(VLOOKUP($E46,'BDD'!$A$1:$S$567,MATCH(I$10,'BDD'!$A$1:$P$1,0),FALSE)=0,"",VLOOKUP($E46,'BDD'!$A$1:$S$567,MATCH(I$10,'BDD'!$A$1:$P$1,0),FALSE)),"")</f>
        <v>271</v>
      </c>
      <c r="J46" s="549"/>
      <c r="K46" t="s" s="547">
        <f>_xlfn.IFERROR(IF(VLOOKUP($E46,'BDD'!$A$1:$S$567,MATCH(K$10,'BDD'!$A$1:$P$1,0),FALSE)=0,"",VLOOKUP($E46,'BDD'!$A$1:$S$567,MATCH(K$10,'BDD'!$A$1:$P$1,0),FALSE)),"")</f>
        <v>1370</v>
      </c>
      <c r="L46" s="550"/>
      <c r="M46" s="551"/>
      <c r="N46" s="551"/>
      <c r="O46" s="534"/>
      <c r="P46" s="1042"/>
    </row>
    <row r="47" ht="150" customHeight="1">
      <c r="A47" s="1039"/>
      <c r="B47" s="542"/>
      <c r="C47" t="s" s="543">
        <f>IF(LEFT(RIGHT($B$1,2),1)=" ",RIGHT($B$1,1),RIGHT($B$1,2))</f>
        <v>260</v>
      </c>
      <c r="D47" s="544">
        <f>IF(LEFT(F47,14)="Bonne pratique",D46+1,D46)</f>
        <v>3</v>
      </c>
      <c r="E47" t="s" s="545">
        <f>C47&amp;D47&amp;RIGHT(F47,1)</f>
        <v>2438</v>
      </c>
      <c r="F47" t="s" s="552">
        <v>1776</v>
      </c>
      <c r="G47" t="s" s="540">
        <f>_xlfn.IFERROR(IF(VLOOKUP($E47,'BDD'!$A$1:$S$567,MATCH(G$10,'BDD'!$A$1:$P$1,0),FALSE)=0,"",VLOOKUP($E47,'BDD'!$A$1:$S$567,MATCH(G$10,'BDD'!$A$1:$P$1,0),FALSE)),"")</f>
        <v>1372</v>
      </c>
      <c r="H47" t="s" s="553">
        <f>IF(VLOOKUP(E47,'BDD'!$A$1:$S$567,15,FALSE)=0,"Critère non évalué","")</f>
        <v>1770</v>
      </c>
      <c r="I47" t="s" s="552">
        <f>_xlfn.IFERROR(IF(VLOOKUP($E47,'BDD'!$A$1:$S$567,MATCH(I$10,'BDD'!$A$1:$P$1,0),FALSE)=0,"",VLOOKUP($E47,'BDD'!$A$1:$S$567,MATCH(I$10,'BDD'!$A$1:$P$1,0),FALSE)),"")</f>
        <v>263</v>
      </c>
      <c r="J47" s="556"/>
      <c r="K47" t="s" s="540">
        <f>_xlfn.IFERROR(IF(VLOOKUP($E47,'BDD'!$A$1:$S$567,MATCH(K$10,'BDD'!$A$1:$P$1,0),FALSE)=0,"",VLOOKUP($E47,'BDD'!$A$1:$S$567,MATCH(K$10,'BDD'!$A$1:$P$1,0),FALSE)),"")</f>
        <v>1373</v>
      </c>
      <c r="L47" s="550"/>
      <c r="M47" s="555"/>
      <c r="N47" s="555"/>
      <c r="O47" s="534"/>
      <c r="P47" s="1042"/>
    </row>
    <row r="48" ht="130.05" customHeight="1">
      <c r="A48" s="1039"/>
      <c r="B48" s="542"/>
      <c r="C48" t="s" s="543">
        <f>IF(LEFT(RIGHT($B$1,2),1)=" ",RIGHT($B$1,1),RIGHT($B$1,2))</f>
        <v>260</v>
      </c>
      <c r="D48" s="544">
        <f>IF(LEFT(F48,14)="Bonne pratique",D47+1,D47)</f>
        <v>3</v>
      </c>
      <c r="E48" t="s" s="545">
        <f>C48&amp;D48&amp;RIGHT(F48,1)</f>
        <v>2439</v>
      </c>
      <c r="F48" t="s" s="546">
        <v>1778</v>
      </c>
      <c r="G48" t="s" s="547">
        <f>_xlfn.IFERROR(IF(VLOOKUP($E48,'BDD'!$A$1:$S$567,MATCH(G$10,'BDD'!$A$1:$P$1,0),FALSE)=0,"",VLOOKUP($E48,'BDD'!$A$1:$S$567,MATCH(G$10,'BDD'!$A$1:$P$1,0),FALSE)),"")</f>
        <v>1375</v>
      </c>
      <c r="H48" t="s" s="548">
        <f>IF(VLOOKUP(E48,'BDD'!$A$1:$S$567,15,FALSE)=0,"Critère non évalué","")</f>
        <v>1770</v>
      </c>
      <c r="I48" t="s" s="546">
        <f>_xlfn.IFERROR(IF(VLOOKUP($E48,'BDD'!$A$1:$S$567,MATCH(I$10,'BDD'!$A$1:$P$1,0),FALSE)=0,"",VLOOKUP($E48,'BDD'!$A$1:$S$567,MATCH(I$10,'BDD'!$A$1:$P$1,0),FALSE)),"")</f>
        <v>263</v>
      </c>
      <c r="J48" s="549"/>
      <c r="K48" t="s" s="547">
        <f>_xlfn.IFERROR(IF(VLOOKUP($E48,'BDD'!$A$1:$S$567,MATCH(K$10,'BDD'!$A$1:$P$1,0),FALSE)=0,"",VLOOKUP($E48,'BDD'!$A$1:$S$567,MATCH(K$10,'BDD'!$A$1:$P$1,0),FALSE)),"")</f>
        <v>1376</v>
      </c>
      <c r="L48" s="550"/>
      <c r="M48" s="551"/>
      <c r="N48" s="551"/>
      <c r="O48" s="534"/>
      <c r="P48" s="1042"/>
    </row>
    <row r="49" ht="120" customHeight="1" hidden="1">
      <c r="A49" s="1039"/>
      <c r="B49" s="542"/>
      <c r="C49" t="s" s="543">
        <f>IF(LEFT(RIGHT($B$1,2),1)=" ",RIGHT($B$1,1),RIGHT($B$1,2))</f>
        <v>260</v>
      </c>
      <c r="D49" s="544">
        <f>IF(LEFT(F49,14)="Bonne pratique",D48+1,D48)</f>
        <v>3</v>
      </c>
      <c r="E49" t="s" s="545">
        <f>C49&amp;D49&amp;RIGHT(F49,1)</f>
        <v>2440</v>
      </c>
      <c r="F49" t="s" s="552">
        <v>1780</v>
      </c>
      <c r="G49" t="s" s="540">
        <f>_xlfn.IFERROR(IF(VLOOKUP($E49,'BDD'!$A$1:$S$567,MATCH(G$10,'BDD'!$A$1:$P$1,0),FALSE)=0,"",VLOOKUP($E49,'BDD'!$A$1:$S$567,MATCH(G$10,'BDD'!$A$1:$P$1,0),FALSE)),"")</f>
      </c>
      <c r="H49" t="s" s="553">
        <f>IF(VLOOKUP(E49,'BDD'!$A$1:$S$567,15,FALSE)=0,"Critère non évalué","")</f>
        <v>1770</v>
      </c>
      <c r="I49" t="s" s="552">
        <f>_xlfn.IFERROR(IF(VLOOKUP($E49,'BDD'!$A$1:$S$567,MATCH(I$10,'BDD'!$A$1:$P$1,0),FALSE)=0,"",VLOOKUP($E49,'BDD'!$A$1:$S$567,MATCH(I$10,'BDD'!$A$1:$P$1,0),FALSE)),"")</f>
        <v>171</v>
      </c>
      <c r="J49" s="556"/>
      <c r="K49" t="s" s="540">
        <f>_xlfn.IFERROR(IF(VLOOKUP($E49,'BDD'!$A$1:$S$567,MATCH(K$10,'BDD'!$A$1:$P$1,0),FALSE)=0,"",VLOOKUP($E49,'BDD'!$A$1:$S$567,MATCH(K$10,'BDD'!$A$1:$P$1,0),FALSE)),"")</f>
      </c>
      <c r="L49" s="550"/>
      <c r="M49" s="555"/>
      <c r="N49" s="555"/>
      <c r="O49" s="534"/>
      <c r="P49" s="1042"/>
    </row>
    <row r="50" ht="130.05" customHeight="1" hidden="1">
      <c r="A50" s="1039"/>
      <c r="B50" s="542"/>
      <c r="C50" t="s" s="543">
        <f>IF(LEFT(RIGHT($B$1,2),1)=" ",RIGHT($B$1,1),RIGHT($B$1,2))</f>
        <v>260</v>
      </c>
      <c r="D50" s="544">
        <f>IF(LEFT(F50,14)="Bonne pratique",D49+1,D49)</f>
        <v>3</v>
      </c>
      <c r="E50" t="s" s="545">
        <f>C50&amp;D50&amp;RIGHT(F50,1)</f>
        <v>2441</v>
      </c>
      <c r="F50" t="s" s="546">
        <v>1782</v>
      </c>
      <c r="G50" t="s" s="547">
        <f>_xlfn.IFERROR(IF(VLOOKUP($E50,'BDD'!$A$1:$S$567,MATCH(G$10,'BDD'!$A$1:$P$1,0),FALSE)=0,"",VLOOKUP($E50,'BDD'!$A$1:$S$567,MATCH(G$10,'BDD'!$A$1:$P$1,0),FALSE)),"")</f>
      </c>
      <c r="H50" t="s" s="548">
        <f>IF(VLOOKUP(E50,'BDD'!$A$1:$S$567,15,FALSE)=0,"Critère non évalué","")</f>
        <v>1770</v>
      </c>
      <c r="I50" t="s" s="546">
        <f>_xlfn.IFERROR(IF(VLOOKUP($E50,'BDD'!$A$1:$S$567,MATCH(I$10,'BDD'!$A$1:$P$1,0),FALSE)=0,"",VLOOKUP($E50,'BDD'!$A$1:$S$567,MATCH(I$10,'BDD'!$A$1:$P$1,0),FALSE)),"")</f>
        <v>171</v>
      </c>
      <c r="J50" s="549"/>
      <c r="K50" t="s" s="547">
        <f>_xlfn.IFERROR(IF(VLOOKUP($E50,'BDD'!$A$1:$S$567,MATCH(K$10,'BDD'!$A$1:$P$1,0),FALSE)=0,"",VLOOKUP($E50,'BDD'!$A$1:$S$567,MATCH(K$10,'BDD'!$A$1:$P$1,0),FALSE)),"")</f>
      </c>
      <c r="L50" s="550"/>
      <c r="M50" s="551"/>
      <c r="N50" s="551"/>
      <c r="O50" s="534"/>
      <c r="P50" s="1042"/>
    </row>
    <row r="51" ht="18" customHeight="1">
      <c r="A51" s="1039"/>
      <c r="B51" s="61"/>
      <c r="C51" t="s" s="513">
        <f>IF(LEFT(RIGHT($B$1,2),1)=" ",RIGHT($B$1,1),RIGHT($B$1,2))</f>
        <v>260</v>
      </c>
      <c r="D51" s="61"/>
      <c r="E51" s="565"/>
      <c r="F51" s="559"/>
      <c r="G51" s="561"/>
      <c r="H51" s="561"/>
      <c r="I51" s="561"/>
      <c r="J51" s="561"/>
      <c r="K51" s="561"/>
      <c r="L51" s="510"/>
      <c r="M51" s="559"/>
      <c r="N51" s="559"/>
      <c r="O51" s="61"/>
      <c r="P51" s="1042"/>
    </row>
    <row r="52" ht="15" customHeight="1">
      <c r="A52" s="1039"/>
      <c r="B52" s="61"/>
      <c r="C52" t="s" s="513">
        <f>IF(LEFT(RIGHT($B$1,2),1)=" ",RIGHT($B$1,1),RIGHT($B$1,2))</f>
        <v>260</v>
      </c>
      <c r="D52" s="514">
        <f>IF(LEFT(F52,14)="Bonne pratique",D48+1,D48)</f>
        <v>3</v>
      </c>
      <c r="E52" t="s" s="558">
        <f>C52&amp;D52&amp;RIGHT(F52,1)</f>
        <v>1773</v>
      </c>
      <c r="F52" s="61"/>
      <c r="G52" s="61"/>
      <c r="H52" s="61"/>
      <c r="I52" s="61"/>
      <c r="J52" s="61"/>
      <c r="K52" s="61"/>
      <c r="L52" s="61"/>
      <c r="M52" s="61"/>
      <c r="N52" s="61"/>
      <c r="O52" s="61"/>
      <c r="P52" s="1042"/>
    </row>
    <row r="53" ht="30" customHeight="1">
      <c r="A53" s="1043"/>
      <c r="B53" s="512"/>
      <c r="C53" t="s" s="513">
        <f>IF(LEFT(RIGHT($B$1,2),1)=" ",RIGHT($B$1,1),RIGHT($B$1,2))</f>
        <v>260</v>
      </c>
      <c r="D53" s="514">
        <f>IF(LEFT(F53,14)="Bonne pratique",D52+1,D52)</f>
        <v>4</v>
      </c>
      <c r="E53" t="s" s="558">
        <f>C53&amp;D53&amp;RIGHT(F53,1)</f>
        <v>2442</v>
      </c>
      <c r="F53" t="s" s="516">
        <v>1806</v>
      </c>
      <c r="G53" s="517"/>
      <c r="H53" s="518"/>
      <c r="I53" s="519"/>
      <c r="J53" t="s" s="520">
        <f>VLOOKUP(E60,'BDD'!$A$2:$N$567,6,FALSE)</f>
        <v>1379</v>
      </c>
      <c r="K53" s="521"/>
      <c r="L53" s="517"/>
      <c r="M53" s="517"/>
      <c r="N53" s="517"/>
      <c r="O53" s="512"/>
      <c r="P53" s="1044"/>
    </row>
    <row r="54" ht="15" customHeight="1">
      <c r="A54" s="1039"/>
      <c r="B54" s="61"/>
      <c r="C54" t="s" s="513">
        <f>IF(LEFT(RIGHT($B$1,2),1)=" ",RIGHT($B$1,1),RIGHT($B$1,2))</f>
        <v>260</v>
      </c>
      <c r="D54" s="514">
        <f>IF(LEFT(F54,14)="Bonne pratique",D53+1,D53)</f>
        <v>4</v>
      </c>
      <c r="E54" t="s" s="558">
        <f>C54&amp;D54&amp;RIGHT(F54,1)</f>
        <v>1775</v>
      </c>
      <c r="F54" s="61"/>
      <c r="G54" s="61"/>
      <c r="H54" s="61"/>
      <c r="I54" s="61"/>
      <c r="J54" s="61"/>
      <c r="K54" s="61"/>
      <c r="L54" s="61"/>
      <c r="M54" s="61"/>
      <c r="N54" s="61"/>
      <c r="O54" s="61"/>
      <c r="P54" s="1042"/>
    </row>
    <row r="55" ht="18" customHeight="1">
      <c r="A55" s="1045"/>
      <c r="B55" s="524"/>
      <c r="C55" t="s" s="513">
        <f>IF(LEFT(RIGHT($B$1,2),1)=" ",RIGHT($B$1,1),RIGHT($B$1,2))</f>
        <v>260</v>
      </c>
      <c r="D55" s="514">
        <f>IF(LEFT(F55,14)="Bonne pratique",D54+1,D54)</f>
        <v>4</v>
      </c>
      <c r="E55" t="s" s="558">
        <f>C55&amp;D55&amp;RIGHT(F55,1)</f>
        <v>1775</v>
      </c>
      <c r="F55" s="524"/>
      <c r="G55" s="524"/>
      <c r="H55" s="524"/>
      <c r="I55" s="525"/>
      <c r="J55" t="s" s="526">
        <v>1380</v>
      </c>
      <c r="K55" s="525"/>
      <c r="L55" s="524"/>
      <c r="M55" s="524"/>
      <c r="N55" s="524"/>
      <c r="O55" s="524"/>
      <c r="P55" s="1046"/>
    </row>
    <row r="56" ht="18" customHeight="1">
      <c r="A56" s="1039"/>
      <c r="B56" s="61"/>
      <c r="C56" t="s" s="513">
        <f>IF(LEFT(RIGHT($B$1,2),1)=" ",RIGHT($B$1,1),RIGHT($B$1,2))</f>
        <v>260</v>
      </c>
      <c r="D56" s="514">
        <f>IF(LEFT(F56,14)="Bonne pratique",D55+1,D55)</f>
        <v>4</v>
      </c>
      <c r="E56" t="s" s="558">
        <f>C56&amp;D56&amp;RIGHT(F56,1)</f>
        <v>1775</v>
      </c>
      <c r="F56" s="61"/>
      <c r="G56" s="61"/>
      <c r="H56" s="61"/>
      <c r="I56" s="61"/>
      <c r="J56" s="528"/>
      <c r="K56" s="61"/>
      <c r="L56" s="61"/>
      <c r="M56" s="529"/>
      <c r="N56" s="529"/>
      <c r="O56" s="61"/>
      <c r="P56" s="1042"/>
    </row>
    <row r="57" ht="15" customHeight="1">
      <c r="A57" s="1039"/>
      <c r="B57" s="61"/>
      <c r="C57" t="s" s="513">
        <f>IF(LEFT(RIGHT($B$1,2),1)=" ",RIGHT($B$1,1),RIGHT($B$1,2))</f>
        <v>260</v>
      </c>
      <c r="D57" s="514">
        <f>IF(LEFT(F57,14)="Bonne pratique",D56+1,D56)</f>
        <v>4</v>
      </c>
      <c r="E57" t="s" s="558">
        <f>C57&amp;D57&amp;RIGHT(F57,1)</f>
        <v>1775</v>
      </c>
      <c r="F57" s="61"/>
      <c r="G57" s="529"/>
      <c r="H57" s="529"/>
      <c r="I57" s="529"/>
      <c r="J57" s="530"/>
      <c r="K57" s="529"/>
      <c r="L57" s="542"/>
      <c r="M57" t="s" s="562">
        <v>1763</v>
      </c>
      <c r="N57" s="563"/>
      <c r="O57" s="534"/>
      <c r="P57" s="1042"/>
    </row>
    <row r="58" ht="33" customHeight="1">
      <c r="A58" s="1039"/>
      <c r="B58" s="61"/>
      <c r="C58" t="s" s="513">
        <f>IF(LEFT(RIGHT($B$1,2),1)=" ",RIGHT($B$1,1),RIGHT($B$1,2))</f>
        <v>260</v>
      </c>
      <c r="D58" s="514">
        <f>IF(LEFT(F58,14)="Bonne pratique",D57+1,D57)</f>
        <v>4</v>
      </c>
      <c r="E58" t="s" s="558">
        <f>C58&amp;D58&amp;RIGHT(F58,1)</f>
        <v>1775</v>
      </c>
      <c r="F58" s="535"/>
      <c r="G58" t="s" s="536">
        <v>244</v>
      </c>
      <c r="H58" t="s" s="536">
        <v>1764</v>
      </c>
      <c r="I58" t="s" s="536">
        <v>1787</v>
      </c>
      <c r="J58" t="s" s="536">
        <v>1765</v>
      </c>
      <c r="K58" t="s" s="536">
        <v>1788</v>
      </c>
      <c r="L58" s="538"/>
      <c r="M58" t="s" s="539">
        <v>1766</v>
      </c>
      <c r="N58" t="s" s="540">
        <v>1767</v>
      </c>
      <c r="O58" s="534"/>
      <c r="P58" s="1042"/>
    </row>
    <row r="59" ht="15" customHeight="1">
      <c r="A59" s="1039"/>
      <c r="B59" s="61"/>
      <c r="C59" t="s" s="513">
        <f>IF(LEFT(RIGHT($B$1,2),1)=" ",RIGHT($B$1,1),RIGHT($B$1,2))</f>
        <v>260</v>
      </c>
      <c r="D59" s="514">
        <f>IF(LEFT(F59,14)="Bonne pratique",D58+1,D58)</f>
        <v>4</v>
      </c>
      <c r="E59" t="s" s="558">
        <f>C59&amp;D59&amp;RIGHT(F59,1)</f>
        <v>1775</v>
      </c>
      <c r="F59" s="529"/>
      <c r="G59" s="541"/>
      <c r="H59" s="541"/>
      <c r="I59" s="541"/>
      <c r="J59" s="541"/>
      <c r="K59" s="541"/>
      <c r="L59" s="61"/>
      <c r="M59" s="541"/>
      <c r="N59" s="541"/>
      <c r="O59" s="61"/>
      <c r="P59" s="1042"/>
    </row>
    <row r="60" ht="130.05" customHeight="1">
      <c r="A60" s="1039"/>
      <c r="B60" s="542"/>
      <c r="C60" t="s" s="543">
        <f>IF(LEFT(RIGHT($B$1,2),1)=" ",RIGHT($B$1,1),RIGHT($B$1,2))</f>
        <v>260</v>
      </c>
      <c r="D60" s="544">
        <f>IF(LEFT(F60,14)="Bonne pratique",D59+1,D59)</f>
        <v>4</v>
      </c>
      <c r="E60" t="s" s="545">
        <f>C60&amp;D60&amp;RIGHT(F60,1)</f>
        <v>2443</v>
      </c>
      <c r="F60" t="s" s="546">
        <v>1769</v>
      </c>
      <c r="G60" t="s" s="547">
        <f>_xlfn.IFERROR(IF(VLOOKUP($E60,'BDD'!$A$1:$S$567,MATCH(G$10,'BDD'!$A$1:$P$1,0),FALSE)=0,"",VLOOKUP($E60,'BDD'!$A$1:$S$567,MATCH(G$10,'BDD'!$A$1:$P$1,0),FALSE)),"")</f>
        <v>1381</v>
      </c>
      <c r="H60" t="s" s="548">
        <f>IF(VLOOKUP(E60,'BDD'!$A$1:$S$567,15,FALSE)=0,"Critère non évalué","")</f>
        <v>1770</v>
      </c>
      <c r="I60" t="s" s="546">
        <f>_xlfn.IFERROR(IF(VLOOKUP($E60,'BDD'!$A$1:$S$567,MATCH(I$10,'BDD'!$A$1:$P$1,0),FALSE)=0,"",VLOOKUP($E60,'BDD'!$A$1:$S$567,MATCH(I$10,'BDD'!$A$1:$P$1,0),FALSE)),"")</f>
        <v>283</v>
      </c>
      <c r="J60" s="549"/>
      <c r="K60" t="s" s="547">
        <f>_xlfn.IFERROR(IF(VLOOKUP($E60,'BDD'!$A$1:$S$567,MATCH(K$10,'BDD'!$A$1:$P$1,0),FALSE)=0,"",VLOOKUP($E60,'BDD'!$A$1:$S$567,MATCH(K$10,'BDD'!$A$1:$P$1,0),FALSE)),"")</f>
        <v>1382</v>
      </c>
      <c r="L60" s="550"/>
      <c r="M60" s="551"/>
      <c r="N60" s="551"/>
      <c r="O60" s="534"/>
      <c r="P60" s="1042"/>
    </row>
    <row r="61" ht="130.05" customHeight="1">
      <c r="A61" s="1039"/>
      <c r="B61" s="542"/>
      <c r="C61" t="s" s="543">
        <f>IF(LEFT(RIGHT($B$1,2),1)=" ",RIGHT($B$1,1),RIGHT($B$1,2))</f>
        <v>260</v>
      </c>
      <c r="D61" s="544">
        <f>IF(LEFT(F61,14)="Bonne pratique",D60+1,D60)</f>
        <v>4</v>
      </c>
      <c r="E61" t="s" s="545">
        <f>C61&amp;D61&amp;RIGHT(F61,1)</f>
        <v>2444</v>
      </c>
      <c r="F61" t="s" s="552">
        <v>1772</v>
      </c>
      <c r="G61" t="s" s="540">
        <f>_xlfn.IFERROR(IF(VLOOKUP($E61,'BDD'!$A$1:$S$567,MATCH(G$10,'BDD'!$A$1:$P$1,0),FALSE)=0,"",VLOOKUP($E61,'BDD'!$A$1:$S$567,MATCH(G$10,'BDD'!$A$1:$P$1,0),FALSE)),"")</f>
        <v>1384</v>
      </c>
      <c r="H61" t="s" s="553">
        <f>IF(VLOOKUP(E61,'BDD'!$A$1:$S$567,15,FALSE)=0,"Critère non évalué","")</f>
        <v>1770</v>
      </c>
      <c r="I61" t="s" s="552">
        <f>_xlfn.IFERROR(IF(VLOOKUP($E61,'BDD'!$A$1:$S$567,MATCH(I$10,'BDD'!$A$1:$P$1,0),FALSE)=0,"",VLOOKUP($E61,'BDD'!$A$1:$S$567,MATCH(I$10,'BDD'!$A$1:$P$1,0),FALSE)),"")</f>
        <v>263</v>
      </c>
      <c r="J61" s="554"/>
      <c r="K61" t="s" s="540">
        <f>_xlfn.IFERROR(IF(VLOOKUP($E61,'BDD'!$A$1:$S$567,MATCH(K$10,'BDD'!$A$1:$P$1,0),FALSE)=0,"",VLOOKUP($E61,'BDD'!$A$1:$S$567,MATCH(K$10,'BDD'!$A$1:$P$1,0),FALSE)),"")</f>
        <v>1385</v>
      </c>
      <c r="L61" s="550"/>
      <c r="M61" s="555"/>
      <c r="N61" s="555"/>
      <c r="O61" s="534"/>
      <c r="P61" s="1042"/>
    </row>
    <row r="62" ht="130.05" customHeight="1">
      <c r="A62" s="1039"/>
      <c r="B62" s="542"/>
      <c r="C62" t="s" s="543">
        <f>IF(LEFT(RIGHT($B$1,2),1)=" ",RIGHT($B$1,1),RIGHT($B$1,2))</f>
        <v>260</v>
      </c>
      <c r="D62" s="544">
        <f>IF(LEFT(F62,14)="Bonne pratique",D61+1,D61)</f>
        <v>4</v>
      </c>
      <c r="E62" t="s" s="545">
        <f>C62&amp;D62&amp;RIGHT(F62,1)</f>
        <v>2445</v>
      </c>
      <c r="F62" t="s" s="546">
        <v>1774</v>
      </c>
      <c r="G62" t="s" s="547">
        <f>_xlfn.IFERROR(IF(VLOOKUP($E62,'BDD'!$A$1:$S$567,MATCH(G$10,'BDD'!$A$1:$P$1,0),FALSE)=0,"",VLOOKUP($E62,'BDD'!$A$1:$S$567,MATCH(G$10,'BDD'!$A$1:$P$1,0),FALSE)),"")</f>
        <v>1387</v>
      </c>
      <c r="H62" t="s" s="548">
        <f>IF(VLOOKUP(E62,'BDD'!$A$1:$S$567,15,FALSE)=0,"Critère non évalué","")</f>
        <v>1770</v>
      </c>
      <c r="I62" t="s" s="546">
        <f>_xlfn.IFERROR(IF(VLOOKUP($E62,'BDD'!$A$1:$S$567,MATCH(I$10,'BDD'!$A$1:$P$1,0),FALSE)=0,"",VLOOKUP($E62,'BDD'!$A$1:$S$567,MATCH(I$10,'BDD'!$A$1:$P$1,0),FALSE)),"")</f>
        <v>263</v>
      </c>
      <c r="J62" s="549"/>
      <c r="K62" t="s" s="547">
        <f>_xlfn.IFERROR(IF(VLOOKUP($E62,'BDD'!$A$1:$S$567,MATCH(K$10,'BDD'!$A$1:$P$1,0),FALSE)=0,"",VLOOKUP($E62,'BDD'!$A$1:$S$567,MATCH(K$10,'BDD'!$A$1:$P$1,0),FALSE)),"")</f>
        <v>1388</v>
      </c>
      <c r="L62" s="550"/>
      <c r="M62" s="551"/>
      <c r="N62" s="551"/>
      <c r="O62" s="534"/>
      <c r="P62" s="1042"/>
    </row>
    <row r="63" ht="130.05" customHeight="1">
      <c r="A63" s="1039"/>
      <c r="B63" s="542"/>
      <c r="C63" t="s" s="543">
        <f>IF(LEFT(RIGHT($B$1,2),1)=" ",RIGHT($B$1,1),RIGHT($B$1,2))</f>
        <v>260</v>
      </c>
      <c r="D63" s="544">
        <f>IF(LEFT(F63,14)="Bonne pratique",D62+1,D62)</f>
        <v>4</v>
      </c>
      <c r="E63" t="s" s="545">
        <f>C63&amp;D63&amp;RIGHT(F63,1)</f>
        <v>2442</v>
      </c>
      <c r="F63" t="s" s="552">
        <v>1776</v>
      </c>
      <c r="G63" t="s" s="540">
        <f>_xlfn.IFERROR(IF(VLOOKUP($E63,'BDD'!$A$1:$S$567,MATCH(G$10,'BDD'!$A$1:$P$1,0),FALSE)=0,"",VLOOKUP($E63,'BDD'!$A$1:$S$567,MATCH(G$10,'BDD'!$A$1:$P$1,0),FALSE)),"")</f>
        <v>1390</v>
      </c>
      <c r="H63" t="s" s="553">
        <f>IF(VLOOKUP(E63,'BDD'!$A$1:$S$567,15,FALSE)=0,"Critère non évalué","")</f>
        <v>1770</v>
      </c>
      <c r="I63" t="s" s="552">
        <f>_xlfn.IFERROR(IF(VLOOKUP($E63,'BDD'!$A$1:$S$567,MATCH(I$10,'BDD'!$A$1:$P$1,0),FALSE)=0,"",VLOOKUP($E63,'BDD'!$A$1:$S$567,MATCH(I$10,'BDD'!$A$1:$P$1,0),FALSE)),"")</f>
        <v>263</v>
      </c>
      <c r="J63" s="556"/>
      <c r="K63" t="s" s="540">
        <f>_xlfn.IFERROR(IF(VLOOKUP($E63,'BDD'!$A$1:$S$567,MATCH(K$10,'BDD'!$A$1:$P$1,0),FALSE)=0,"",VLOOKUP($E63,'BDD'!$A$1:$S$567,MATCH(K$10,'BDD'!$A$1:$P$1,0),FALSE)),"")</f>
        <v>1391</v>
      </c>
      <c r="L63" s="550"/>
      <c r="M63" s="555"/>
      <c r="N63" s="555"/>
      <c r="O63" s="534"/>
      <c r="P63" s="1042"/>
    </row>
    <row r="64" ht="139.8" customHeight="1">
      <c r="A64" s="1039"/>
      <c r="B64" s="542"/>
      <c r="C64" t="s" s="543">
        <f>IF(LEFT(RIGHT($B$1,2),1)=" ",RIGHT($B$1,1),RIGHT($B$1,2))</f>
        <v>260</v>
      </c>
      <c r="D64" s="544">
        <f>IF(LEFT(F64,14)="Bonne pratique",D63+1,D63)</f>
        <v>4</v>
      </c>
      <c r="E64" t="s" s="545">
        <f>C64&amp;D64&amp;RIGHT(F64,1)</f>
        <v>2446</v>
      </c>
      <c r="F64" t="s" s="546">
        <v>1778</v>
      </c>
      <c r="G64" t="s" s="547">
        <f>_xlfn.IFERROR(IF(VLOOKUP($E64,'BDD'!$A$1:$S$567,MATCH(G$10,'BDD'!$A$1:$P$1,0),FALSE)=0,"",VLOOKUP($E64,'BDD'!$A$1:$S$567,MATCH(G$10,'BDD'!$A$1:$P$1,0),FALSE)),"")</f>
        <v>1393</v>
      </c>
      <c r="H64" t="s" s="548">
        <f>IF(VLOOKUP(E64,'BDD'!$A$1:$S$567,15,FALSE)=0,"Critère non évalué","")</f>
        <v>1770</v>
      </c>
      <c r="I64" t="s" s="546">
        <f>_xlfn.IFERROR(IF(VLOOKUP($E64,'BDD'!$A$1:$S$567,MATCH(I$10,'BDD'!$A$1:$P$1,0),FALSE)=0,"",VLOOKUP($E64,'BDD'!$A$1:$S$567,MATCH(I$10,'BDD'!$A$1:$P$1,0),FALSE)),"")</f>
        <v>263</v>
      </c>
      <c r="J64" s="549"/>
      <c r="K64" t="s" s="547">
        <f>_xlfn.IFERROR(IF(VLOOKUP($E64,'BDD'!$A$1:$S$567,MATCH(K$10,'BDD'!$A$1:$P$1,0),FALSE)=0,"",VLOOKUP($E64,'BDD'!$A$1:$S$567,MATCH(K$10,'BDD'!$A$1:$P$1,0),FALSE)),"")</f>
        <v>1394</v>
      </c>
      <c r="L64" s="550"/>
      <c r="M64" s="557"/>
      <c r="N64" s="557"/>
      <c r="O64" s="534"/>
      <c r="P64" s="1042"/>
    </row>
    <row r="65" ht="130.05" customHeight="1" hidden="1">
      <c r="A65" s="1039"/>
      <c r="B65" s="542"/>
      <c r="C65" t="s" s="543">
        <f>IF(LEFT(RIGHT($B$1,2),1)=" ",RIGHT($B$1,1),RIGHT($B$1,2))</f>
        <v>260</v>
      </c>
      <c r="D65" s="544">
        <f>IF(LEFT(F65,14)="Bonne pratique",D64+1,D64)</f>
        <v>4</v>
      </c>
      <c r="E65" t="s" s="545">
        <f>C65&amp;D65&amp;RIGHT(F65,1)</f>
        <v>2447</v>
      </c>
      <c r="F65" t="s" s="552">
        <v>1780</v>
      </c>
      <c r="G65" s="557">
        <f>_xlfn.IFERROR(IF(VLOOKUP($E65,'BDD'!$A$1:$S$567,MATCH(G$10,'BDD'!$A$1:$P$1,0),FALSE)=0,"",VLOOKUP($E65,'BDD'!$A$1:$S$567,MATCH(G$10,'BDD'!$A$1:$P$1,0),FALSE)),"")</f>
      </c>
      <c r="H65" s="570">
        <f>IF(VLOOKUP(E65,'BDD'!$A$1:$S$567,15,FALSE)=0,"Critère non évalué","")</f>
      </c>
      <c r="I65" s="571">
        <f>_xlfn.IFERROR(IF(VLOOKUP($E65,'BDD'!$A$1:$S$567,MATCH(I$10,'BDD'!$A$1:$P$1,0),FALSE)=0,"",VLOOKUP($E65,'BDD'!$A$1:$S$567,MATCH(I$10,'BDD'!$A$1:$P$1,0),FALSE)),"")</f>
      </c>
      <c r="J65" s="554"/>
      <c r="K65" s="557">
        <f>_xlfn.IFERROR(IF(VLOOKUP($E65,'BDD'!$A$1:$S$567,MATCH(K$10,'BDD'!$A$1:$P$1,0),FALSE)=0,"",VLOOKUP($E65,'BDD'!$A$1:$S$567,MATCH(K$10,'BDD'!$A$1:$P$1,0),FALSE)),"")</f>
      </c>
      <c r="L65" s="550"/>
      <c r="M65" s="555"/>
      <c r="N65" s="555"/>
      <c r="O65" s="534"/>
      <c r="P65" s="1042"/>
    </row>
    <row r="66" ht="130.05" customHeight="1" hidden="1">
      <c r="A66" s="1039"/>
      <c r="B66" s="542"/>
      <c r="C66" t="s" s="543">
        <f>IF(LEFT(RIGHT($B$1,2),1)=" ",RIGHT($B$1,1),RIGHT($B$1,2))</f>
        <v>260</v>
      </c>
      <c r="D66" s="544">
        <f>IF(LEFT(F66,14)="Bonne pratique",D65+1,D65)</f>
        <v>4</v>
      </c>
      <c r="E66" s="566">
        <f>C66&amp;D66&amp;RIGHT(F66,1)</f>
      </c>
      <c r="F66" t="s" s="546">
        <v>1782</v>
      </c>
      <c r="G66" s="567">
        <f>_xlfn.IFERROR(IF(VLOOKUP($E66,'BDD'!$A$1:$S$567,MATCH(G$10,'BDD'!$A$1:$P$1,0),FALSE)=0,"",VLOOKUP($E66,'BDD'!$A$1:$S$567,MATCH(G$10,'BDD'!$A$1:$P$1,0),FALSE)),"")</f>
      </c>
      <c r="H66" s="568">
        <f>IF(VLOOKUP(E66,'BDD'!$A$1:$S$567,15,FALSE)=0,"Critère non évalué","")</f>
      </c>
      <c r="I66" s="569">
        <f>_xlfn.IFERROR(IF(VLOOKUP($E66,'BDD'!$A$1:$S$567,MATCH(I$10,'BDD'!$A$1:$P$1,0),FALSE)=0,"",VLOOKUP($E66,'BDD'!$A$1:$S$567,MATCH(I$10,'BDD'!$A$1:$P$1,0),FALSE)),"")</f>
      </c>
      <c r="J66" s="549"/>
      <c r="K66" s="567">
        <f>_xlfn.IFERROR(IF(VLOOKUP($E66,'BDD'!$A$1:$S$567,MATCH(K$10,'BDD'!$A$1:$P$1,0),FALSE)=0,"",VLOOKUP($E66,'BDD'!$A$1:$S$567,MATCH(K$10,'BDD'!$A$1:$P$1,0),FALSE)),"")</f>
      </c>
      <c r="L66" s="550"/>
      <c r="M66" s="557"/>
      <c r="N66" s="557"/>
      <c r="O66" s="534"/>
      <c r="P66" s="1042"/>
    </row>
    <row r="67" ht="15" customHeight="1">
      <c r="A67" s="1039"/>
      <c r="B67" s="61"/>
      <c r="C67" t="s" s="513">
        <f>IF(LEFT(RIGHT($B$1,2),1)=" ",RIGHT($B$1,1),RIGHT($B$1,2))</f>
        <v>260</v>
      </c>
      <c r="D67" s="61">
        <f>IF(LEFT(F67,14)="Bonne pratique",D66+1,D66)</f>
      </c>
      <c r="E67" s="565">
        <f>C67&amp;D67&amp;RIGHT(F67,1)</f>
      </c>
      <c r="F67" s="559"/>
      <c r="G67" s="559"/>
      <c r="H67" s="559"/>
      <c r="I67" s="559"/>
      <c r="J67" s="559"/>
      <c r="K67" s="559"/>
      <c r="L67" s="61"/>
      <c r="M67" s="559"/>
      <c r="N67" s="559"/>
      <c r="O67" s="61"/>
      <c r="P67" s="1042"/>
    </row>
    <row r="68" ht="14.4" customHeight="1">
      <c r="A68" s="1039"/>
      <c r="B68" s="61"/>
      <c r="C68" t="s" s="513">
        <f>IF(LEFT(RIGHT($B$1,2),1)=" ",RIGHT($B$1,1),RIGHT($B$1,2))</f>
        <v>260</v>
      </c>
      <c r="D68" s="61"/>
      <c r="E68" s="565"/>
      <c r="F68" s="61"/>
      <c r="G68" s="61"/>
      <c r="H68" s="61"/>
      <c r="I68" s="61"/>
      <c r="J68" s="61"/>
      <c r="K68" s="61"/>
      <c r="L68" s="61"/>
      <c r="M68" s="61"/>
      <c r="N68" s="61"/>
      <c r="O68" s="61"/>
      <c r="P68" s="1042"/>
    </row>
    <row r="69" ht="14.4" customHeight="1">
      <c r="A69" s="1039"/>
      <c r="B69" s="61"/>
      <c r="C69" t="s" s="513">
        <f>IF(LEFT(RIGHT($B$1,2),1)=" ",RIGHT($B$1,1),RIGHT($B$1,2))</f>
        <v>260</v>
      </c>
      <c r="D69" s="61"/>
      <c r="E69" s="565"/>
      <c r="F69" s="61"/>
      <c r="G69" s="61"/>
      <c r="H69" s="61"/>
      <c r="I69" s="61"/>
      <c r="J69" s="61"/>
      <c r="K69" s="61"/>
      <c r="L69" s="61"/>
      <c r="M69" s="61"/>
      <c r="N69" s="61"/>
      <c r="O69" s="61"/>
      <c r="P69" s="1042"/>
    </row>
    <row r="70" ht="14.4" customHeight="1">
      <c r="A70" s="1039"/>
      <c r="B70" s="61"/>
      <c r="C70" t="s" s="513">
        <f>IF(LEFT(RIGHT($B$1,2),1)=" ",RIGHT($B$1,1),RIGHT($B$1,2))</f>
        <v>260</v>
      </c>
      <c r="D70" s="61"/>
      <c r="E70" s="565"/>
      <c r="F70" s="61"/>
      <c r="G70" s="61"/>
      <c r="H70" s="61"/>
      <c r="I70" s="61"/>
      <c r="J70" s="61"/>
      <c r="K70" s="61"/>
      <c r="L70" s="61"/>
      <c r="M70" s="61"/>
      <c r="N70" s="61"/>
      <c r="O70" s="61"/>
      <c r="P70" s="1042"/>
    </row>
    <row r="71" ht="30" customHeight="1">
      <c r="A71" s="1043"/>
      <c r="B71" s="512"/>
      <c r="C71" t="s" s="513">
        <f>IF(LEFT(RIGHT($B$1,2),1)=" ",RIGHT($B$1,1),RIGHT($B$1,2))</f>
        <v>260</v>
      </c>
      <c r="D71" s="61">
        <f>IF(LEFT(F71,14)="Bonne pratique",D67+1,D67)</f>
      </c>
      <c r="E71" s="565">
        <f>C71&amp;D71&amp;RIGHT(F71,1)</f>
      </c>
      <c r="F71" t="s" s="516">
        <v>1814</v>
      </c>
      <c r="G71" s="517"/>
      <c r="H71" s="518"/>
      <c r="I71" s="519"/>
      <c r="J71" s="519">
        <f>VLOOKUP(E78,'BDD'!$A$2:$N$567,6,FALSE)</f>
      </c>
      <c r="K71" s="521"/>
      <c r="L71" s="517"/>
      <c r="M71" s="517"/>
      <c r="N71" s="517"/>
      <c r="O71" s="512"/>
      <c r="P71" s="1044"/>
    </row>
    <row r="72" ht="15" customHeight="1">
      <c r="A72" s="1039"/>
      <c r="B72" s="61"/>
      <c r="C72" t="s" s="513">
        <f>IF(LEFT(RIGHT($B$1,2),1)=" ",RIGHT($B$1,1),RIGHT($B$1,2))</f>
        <v>260</v>
      </c>
      <c r="D72" s="61">
        <f>IF(LEFT(F72,14)="Bonne pratique",D71+1,D71)</f>
      </c>
      <c r="E72" s="565">
        <f>C72&amp;D72&amp;RIGHT(F72,1)</f>
      </c>
      <c r="F72" s="61"/>
      <c r="G72" s="61"/>
      <c r="H72" s="61"/>
      <c r="I72" s="61"/>
      <c r="J72" s="61"/>
      <c r="K72" s="61"/>
      <c r="L72" s="61"/>
      <c r="M72" s="61"/>
      <c r="N72" s="61"/>
      <c r="O72" s="61"/>
      <c r="P72" s="1042"/>
    </row>
    <row r="73" ht="18" customHeight="1">
      <c r="A73" s="1045"/>
      <c r="B73" s="524"/>
      <c r="C73" t="s" s="513">
        <f>IF(LEFT(RIGHT($B$1,2),1)=" ",RIGHT($B$1,1),RIGHT($B$1,2))</f>
        <v>260</v>
      </c>
      <c r="D73" s="61">
        <f>IF(LEFT(F73,14)="Bonne pratique",D72+1,D72)</f>
      </c>
      <c r="E73" s="565">
        <f>C73&amp;D73&amp;RIGHT(F73,1)</f>
      </c>
      <c r="F73" s="524"/>
      <c r="G73" s="524"/>
      <c r="H73" s="524"/>
      <c r="I73" s="525"/>
      <c r="J73" t="s" s="526">
        <v>1398</v>
      </c>
      <c r="K73" s="525"/>
      <c r="L73" s="524"/>
      <c r="M73" s="524"/>
      <c r="N73" s="524"/>
      <c r="O73" s="524"/>
      <c r="P73" s="1046"/>
    </row>
    <row r="74" ht="18" customHeight="1">
      <c r="A74" s="1039"/>
      <c r="B74" s="61"/>
      <c r="C74" t="s" s="513">
        <f>IF(LEFT(RIGHT($B$1,2),1)=" ",RIGHT($B$1,1),RIGHT($B$1,2))</f>
        <v>260</v>
      </c>
      <c r="D74" s="61">
        <f>IF(LEFT(F74,14)="Bonne pratique",D73+1,D73)</f>
      </c>
      <c r="E74" s="565">
        <f>C74&amp;D74&amp;RIGHT(F74,1)</f>
      </c>
      <c r="F74" s="61"/>
      <c r="G74" s="61"/>
      <c r="H74" s="61"/>
      <c r="I74" s="61"/>
      <c r="J74" s="528"/>
      <c r="K74" s="61"/>
      <c r="L74" s="61"/>
      <c r="M74" s="529"/>
      <c r="N74" s="529"/>
      <c r="O74" s="61"/>
      <c r="P74" s="1042"/>
    </row>
    <row r="75" ht="15" customHeight="1">
      <c r="A75" s="1039"/>
      <c r="B75" s="61"/>
      <c r="C75" t="s" s="513">
        <f>IF(LEFT(RIGHT($B$1,2),1)=" ",RIGHT($B$1,1),RIGHT($B$1,2))</f>
        <v>260</v>
      </c>
      <c r="D75" s="61">
        <f>IF(LEFT(F75,14)="Bonne pratique",D74+1,D74)</f>
      </c>
      <c r="E75" s="565">
        <f>C75&amp;D75&amp;RIGHT(F75,1)</f>
      </c>
      <c r="F75" s="61"/>
      <c r="G75" s="529"/>
      <c r="H75" s="529"/>
      <c r="I75" s="529"/>
      <c r="J75" s="530"/>
      <c r="K75" s="529"/>
      <c r="L75" s="542"/>
      <c r="M75" t="s" s="562">
        <v>1763</v>
      </c>
      <c r="N75" s="563"/>
      <c r="O75" s="534"/>
      <c r="P75" s="1042"/>
    </row>
    <row r="76" ht="33" customHeight="1">
      <c r="A76" s="1039"/>
      <c r="B76" s="61"/>
      <c r="C76" t="s" s="513">
        <f>IF(LEFT(RIGHT($B$1,2),1)=" ",RIGHT($B$1,1),RIGHT($B$1,2))</f>
        <v>260</v>
      </c>
      <c r="D76" s="61">
        <f>IF(LEFT(F76,14)="Bonne pratique",D75+1,D75)</f>
      </c>
      <c r="E76" s="565">
        <f>C76&amp;D76&amp;RIGHT(F76,1)</f>
      </c>
      <c r="F76" s="564"/>
      <c r="G76" t="s" s="536">
        <v>244</v>
      </c>
      <c r="H76" t="s" s="536">
        <v>1764</v>
      </c>
      <c r="I76" t="s" s="536">
        <v>1787</v>
      </c>
      <c r="J76" t="s" s="536">
        <v>1765</v>
      </c>
      <c r="K76" t="s" s="536">
        <v>1788</v>
      </c>
      <c r="L76" s="538"/>
      <c r="M76" t="s" s="539">
        <v>1766</v>
      </c>
      <c r="N76" t="s" s="540">
        <v>1767</v>
      </c>
      <c r="O76" s="534"/>
      <c r="P76" s="1042"/>
    </row>
    <row r="77" ht="15" customHeight="1">
      <c r="A77" s="1039"/>
      <c r="B77" s="61"/>
      <c r="C77" t="s" s="513">
        <f>IF(LEFT(RIGHT($B$1,2),1)=" ",RIGHT($B$1,1),RIGHT($B$1,2))</f>
        <v>260</v>
      </c>
      <c r="D77" s="61">
        <f>IF(LEFT(F77,14)="Bonne pratique",D76+1,D76)</f>
      </c>
      <c r="E77" s="565">
        <f>C77&amp;D77&amp;RIGHT(F77,1)</f>
      </c>
      <c r="F77" s="529"/>
      <c r="G77" s="541"/>
      <c r="H77" s="541"/>
      <c r="I77" s="541"/>
      <c r="J77" s="541"/>
      <c r="K77" s="541"/>
      <c r="L77" s="61"/>
      <c r="M77" s="541"/>
      <c r="N77" s="541"/>
      <c r="O77" s="61"/>
      <c r="P77" s="1042"/>
    </row>
    <row r="78" ht="130.05" customHeight="1">
      <c r="A78" s="1039"/>
      <c r="B78" s="542"/>
      <c r="C78" t="s" s="543">
        <f>IF(LEFT(RIGHT($B$1,2),1)=" ",RIGHT($B$1,1),RIGHT($B$1,2))</f>
        <v>260</v>
      </c>
      <c r="D78" s="550">
        <f>IF(LEFT(F78,14)="Bonne pratique",D77+1,D77)</f>
      </c>
      <c r="E78" s="566">
        <f>C78&amp;D78&amp;RIGHT(F78,1)</f>
      </c>
      <c r="F78" t="s" s="546">
        <v>1769</v>
      </c>
      <c r="G78" s="567">
        <f>_xlfn.IFERROR(IF(VLOOKUP($E78,'BDD'!$A$1:$S$567,MATCH(G$10,'BDD'!$A$1:$P$1,0),FALSE)=0,"",VLOOKUP($E78,'BDD'!$A$1:$S$567,MATCH(G$10,'BDD'!$A$1:$P$1,0),FALSE)),"")</f>
      </c>
      <c r="H78" s="568">
        <f>IF(VLOOKUP(E78,'BDD'!$A$1:$S$567,15,FALSE)=0,"Critère non évalué","")</f>
      </c>
      <c r="I78" s="569">
        <f>_xlfn.IFERROR(IF(VLOOKUP($E78,'BDD'!$A$1:$S$567,MATCH(I$10,'BDD'!$A$1:$P$1,0),FALSE)=0,"",VLOOKUP($E78,'BDD'!$A$1:$S$567,MATCH(I$10,'BDD'!$A$1:$P$1,0),FALSE)),"")</f>
      </c>
      <c r="J78" s="549"/>
      <c r="K78" s="567">
        <f>_xlfn.IFERROR(IF(VLOOKUP($E78,'BDD'!$A$1:$S$567,MATCH(K$10,'BDD'!$A$1:$P$1,0),FALSE)=0,"",VLOOKUP($E78,'BDD'!$A$1:$S$567,MATCH(K$10,'BDD'!$A$1:$P$1,0),FALSE)),"")</f>
      </c>
      <c r="L78" s="550"/>
      <c r="M78" s="551"/>
      <c r="N78" s="551"/>
      <c r="O78" s="534"/>
      <c r="P78" s="1042"/>
    </row>
    <row r="79" ht="202.2" customHeight="1">
      <c r="A79" s="1039"/>
      <c r="B79" s="542"/>
      <c r="C79" t="s" s="543">
        <f>IF(LEFT(RIGHT($B$1,2),1)=" ",RIGHT($B$1,1),RIGHT($B$1,2))</f>
        <v>260</v>
      </c>
      <c r="D79" s="550">
        <f>IF(LEFT(F79,14)="Bonne pratique",D78+1,D78)</f>
      </c>
      <c r="E79" s="566">
        <f>C79&amp;D79&amp;RIGHT(F79,1)</f>
      </c>
      <c r="F79" t="s" s="552">
        <v>1772</v>
      </c>
      <c r="G79" s="557">
        <f>_xlfn.IFERROR(IF(VLOOKUP($E79,'BDD'!$A$1:$S$567,MATCH(G$10,'BDD'!$A$1:$P$1,0),FALSE)=0,"",VLOOKUP($E79,'BDD'!$A$1:$S$567,MATCH(G$10,'BDD'!$A$1:$P$1,0),FALSE)),"")</f>
      </c>
      <c r="H79" s="570">
        <f>IF(VLOOKUP(E79,'BDD'!$A$1:$S$567,15,FALSE)=0,"Critère non évalué","")</f>
      </c>
      <c r="I79" s="571">
        <f>_xlfn.IFERROR(IF(VLOOKUP($E79,'BDD'!$A$1:$S$567,MATCH(I$10,'BDD'!$A$1:$P$1,0),FALSE)=0,"",VLOOKUP($E79,'BDD'!$A$1:$S$567,MATCH(I$10,'BDD'!$A$1:$P$1,0),FALSE)),"")</f>
      </c>
      <c r="J79" s="554"/>
      <c r="K79" s="557">
        <f>_xlfn.IFERROR(IF(VLOOKUP($E79,'BDD'!$A$1:$S$567,MATCH(K$10,'BDD'!$A$1:$P$1,0),FALSE)=0,"",VLOOKUP($E79,'BDD'!$A$1:$S$567,MATCH(K$10,'BDD'!$A$1:$P$1,0),FALSE)),"")</f>
      </c>
      <c r="L79" s="550"/>
      <c r="M79" s="555"/>
      <c r="N79" s="555"/>
      <c r="O79" s="534"/>
      <c r="P79" s="1042"/>
    </row>
    <row r="80" ht="196.2" customHeight="1">
      <c r="A80" s="1039"/>
      <c r="B80" s="542"/>
      <c r="C80" t="s" s="543">
        <f>IF(LEFT(RIGHT($B$1,2),1)=" ",RIGHT($B$1,1),RIGHT($B$1,2))</f>
        <v>260</v>
      </c>
      <c r="D80" s="550">
        <f>IF(LEFT(F80,14)="Bonne pratique",D79+1,D79)</f>
      </c>
      <c r="E80" s="566">
        <f>C80&amp;D80&amp;RIGHT(F80,1)</f>
      </c>
      <c r="F80" t="s" s="546">
        <v>1774</v>
      </c>
      <c r="G80" s="567">
        <f>_xlfn.IFERROR(IF(VLOOKUP($E80,'BDD'!$A$1:$S$567,MATCH(G$10,'BDD'!$A$1:$P$1,0),FALSE)=0,"",VLOOKUP($E80,'BDD'!$A$1:$S$567,MATCH(G$10,'BDD'!$A$1:$P$1,0),FALSE)),"")</f>
      </c>
      <c r="H80" s="568">
        <f>IF(VLOOKUP(E80,'BDD'!$A$1:$S$567,15,FALSE)=0,"Critère non évalué","")</f>
      </c>
      <c r="I80" s="569">
        <f>_xlfn.IFERROR(IF(VLOOKUP($E80,'BDD'!$A$1:$S$567,MATCH(I$10,'BDD'!$A$1:$P$1,0),FALSE)=0,"",VLOOKUP($E80,'BDD'!$A$1:$S$567,MATCH(I$10,'BDD'!$A$1:$P$1,0),FALSE)),"")</f>
      </c>
      <c r="J80" s="549"/>
      <c r="K80" s="567">
        <f>_xlfn.IFERROR(IF(VLOOKUP($E80,'BDD'!$A$1:$S$567,MATCH(K$10,'BDD'!$A$1:$P$1,0),FALSE)=0,"",VLOOKUP($E80,'BDD'!$A$1:$S$567,MATCH(K$10,'BDD'!$A$1:$P$1,0),FALSE)),"")</f>
      </c>
      <c r="L80" s="550"/>
      <c r="M80" s="551"/>
      <c r="N80" s="551"/>
      <c r="O80" s="534"/>
      <c r="P80" s="1042"/>
    </row>
    <row r="81" ht="130.05" customHeight="1">
      <c r="A81" s="1039"/>
      <c r="B81" s="542"/>
      <c r="C81" t="s" s="543">
        <f>IF(LEFT(RIGHT($B$1,2),1)=" ",RIGHT($B$1,1),RIGHT($B$1,2))</f>
        <v>260</v>
      </c>
      <c r="D81" s="550">
        <f>IF(LEFT(F81,14)="Bonne pratique",D80+1,D80)</f>
      </c>
      <c r="E81" s="566">
        <f>C81&amp;D81&amp;RIGHT(F81,1)</f>
      </c>
      <c r="F81" t="s" s="552">
        <v>1776</v>
      </c>
      <c r="G81" s="557">
        <f>_xlfn.IFERROR(IF(VLOOKUP($E81,'BDD'!$A$1:$S$567,MATCH(G$10,'BDD'!$A$1:$P$1,0),FALSE)=0,"",VLOOKUP($E81,'BDD'!$A$1:$S$567,MATCH(G$10,'BDD'!$A$1:$P$1,0),FALSE)),"")</f>
      </c>
      <c r="H81" s="570">
        <f>IF(VLOOKUP(E81,'BDD'!$A$1:$S$567,15,FALSE)=0,"Critère non évalué","")</f>
      </c>
      <c r="I81" s="571">
        <f>_xlfn.IFERROR(IF(VLOOKUP($E81,'BDD'!$A$1:$S$567,MATCH(I$10,'BDD'!$A$1:$P$1,0),FALSE)=0,"",VLOOKUP($E81,'BDD'!$A$1:$S$567,MATCH(I$10,'BDD'!$A$1:$P$1,0),FALSE)),"")</f>
      </c>
      <c r="J81" s="556"/>
      <c r="K81" s="557">
        <f>_xlfn.IFERROR(IF(VLOOKUP($E81,'BDD'!$A$1:$S$567,MATCH(K$10,'BDD'!$A$1:$P$1,0),FALSE)=0,"",VLOOKUP($E81,'BDD'!$A$1:$S$567,MATCH(K$10,'BDD'!$A$1:$P$1,0),FALSE)),"")</f>
      </c>
      <c r="L81" s="550"/>
      <c r="M81" s="555"/>
      <c r="N81" s="555"/>
      <c r="O81" s="534"/>
      <c r="P81" s="1042"/>
    </row>
    <row r="82" ht="130.05" customHeight="1">
      <c r="A82" s="1039"/>
      <c r="B82" s="542"/>
      <c r="C82" t="s" s="543">
        <f>IF(LEFT(RIGHT($B$1,2),1)=" ",RIGHT($B$1,1),RIGHT($B$1,2))</f>
        <v>260</v>
      </c>
      <c r="D82" s="550">
        <f>IF(LEFT(F82,14)="Bonne pratique",D81+1,D81)</f>
      </c>
      <c r="E82" s="566">
        <f>C82&amp;D82&amp;RIGHT(F82,1)</f>
      </c>
      <c r="F82" t="s" s="546">
        <v>1778</v>
      </c>
      <c r="G82" s="567">
        <f>_xlfn.IFERROR(IF(VLOOKUP($E82,'BDD'!$A$1:$S$567,MATCH(G$10,'BDD'!$A$1:$P$1,0),FALSE)=0,"",VLOOKUP($E82,'BDD'!$A$1:$S$567,MATCH(G$10,'BDD'!$A$1:$P$1,0),FALSE)),"")</f>
      </c>
      <c r="H82" s="568">
        <f>IF(VLOOKUP(E82,'BDD'!$A$1:$S$567,15,FALSE)=0,"Critère non évalué","")</f>
      </c>
      <c r="I82" s="569">
        <f>_xlfn.IFERROR(IF(VLOOKUP($E82,'BDD'!$A$1:$S$567,MATCH(I$10,'BDD'!$A$1:$P$1,0),FALSE)=0,"",VLOOKUP($E82,'BDD'!$A$1:$S$567,MATCH(I$10,'BDD'!$A$1:$P$1,0),FALSE)),"")</f>
      </c>
      <c r="J82" s="549"/>
      <c r="K82" s="567">
        <f>_xlfn.IFERROR(IF(VLOOKUP($E82,'BDD'!$A$1:$S$567,MATCH(K$10,'BDD'!$A$1:$P$1,0),FALSE)=0,"",VLOOKUP($E82,'BDD'!$A$1:$S$567,MATCH(K$10,'BDD'!$A$1:$P$1,0),FALSE)),"")</f>
      </c>
      <c r="L82" s="550"/>
      <c r="M82" s="557"/>
      <c r="N82" s="557"/>
      <c r="O82" s="534"/>
      <c r="P82" s="1042"/>
    </row>
    <row r="83" ht="130.05" customHeight="1">
      <c r="A83" s="1039"/>
      <c r="B83" s="542"/>
      <c r="C83" t="s" s="543">
        <f>IF(LEFT(RIGHT($B$1,2),1)=" ",RIGHT($B$1,1),RIGHT($B$1,2))</f>
        <v>260</v>
      </c>
      <c r="D83" s="550">
        <f>IF(LEFT(F83,14)="Bonne pratique",D82+1,D82)</f>
      </c>
      <c r="E83" s="566">
        <f>C83&amp;D83&amp;RIGHT(F83,1)</f>
      </c>
      <c r="F83" t="s" s="552">
        <v>1780</v>
      </c>
      <c r="G83" s="557">
        <f>_xlfn.IFERROR(IF(VLOOKUP($E83,'BDD'!$A$1:$S$567,MATCH(G$10,'BDD'!$A$1:$P$1,0),FALSE)=0,"",VLOOKUP($E83,'BDD'!$A$1:$S$567,MATCH(G$10,'BDD'!$A$1:$P$1,0),FALSE)),"")</f>
      </c>
      <c r="H83" s="570">
        <f>IF(VLOOKUP(E83,'BDD'!$A$1:$S$567,15,FALSE)=0,"Critère non évalué","")</f>
      </c>
      <c r="I83" s="571">
        <f>_xlfn.IFERROR(IF(VLOOKUP($E83,'BDD'!$A$1:$S$567,MATCH(I$10,'BDD'!$A$1:$P$1,0),FALSE)=0,"",VLOOKUP($E83,'BDD'!$A$1:$S$567,MATCH(I$10,'BDD'!$A$1:$P$1,0),FALSE)),"")</f>
      </c>
      <c r="J83" s="556"/>
      <c r="K83" s="557">
        <f>_xlfn.IFERROR(IF(VLOOKUP($E83,'BDD'!$A$1:$S$567,MATCH(K$10,'BDD'!$A$1:$P$1,0),FALSE)=0,"",VLOOKUP($E83,'BDD'!$A$1:$S$567,MATCH(K$10,'BDD'!$A$1:$P$1,0),FALSE)),"")</f>
      </c>
      <c r="L83" s="550"/>
      <c r="M83" s="555"/>
      <c r="N83" s="555"/>
      <c r="O83" s="534"/>
      <c r="P83" s="1042"/>
    </row>
    <row r="84" ht="130.05" customHeight="1">
      <c r="A84" s="1039"/>
      <c r="B84" s="542"/>
      <c r="C84" t="s" s="543">
        <f>IF(LEFT(RIGHT($B$1,2),1)=" ",RIGHT($B$1,1),RIGHT($B$1,2))</f>
        <v>260</v>
      </c>
      <c r="D84" s="550">
        <f>IF(LEFT(F84,14)="Bonne pratique",D83+1,D83)</f>
      </c>
      <c r="E84" s="566">
        <f>C84&amp;D84&amp;RIGHT(F84,1)</f>
      </c>
      <c r="F84" t="s" s="546">
        <v>1782</v>
      </c>
      <c r="G84" s="567">
        <f>_xlfn.IFERROR(IF(VLOOKUP($E84,'BDD'!$A$1:$S$567,MATCH(G$10,'BDD'!$A$1:$P$1,0),FALSE)=0,"",VLOOKUP($E84,'BDD'!$A$1:$S$567,MATCH(G$10,'BDD'!$A$1:$P$1,0),FALSE)),"")</f>
      </c>
      <c r="H84" s="568">
        <f>IF(VLOOKUP(E84,'BDD'!$A$1:$S$567,15,FALSE)=0,"Critère non évalué","")</f>
      </c>
      <c r="I84" s="569">
        <f>_xlfn.IFERROR(IF(VLOOKUP($E84,'BDD'!$A$1:$S$567,MATCH(I$10,'BDD'!$A$1:$P$1,0),FALSE)=0,"",VLOOKUP($E84,'BDD'!$A$1:$S$567,MATCH(I$10,'BDD'!$A$1:$P$1,0),FALSE)),"")</f>
      </c>
      <c r="J84" s="549"/>
      <c r="K84" s="567">
        <f>_xlfn.IFERROR(IF(VLOOKUP($E84,'BDD'!$A$1:$S$567,MATCH(K$10,'BDD'!$A$1:$P$1,0),FALSE)=0,"",VLOOKUP($E84,'BDD'!$A$1:$S$567,MATCH(K$10,'BDD'!$A$1:$P$1,0),FALSE)),"")</f>
      </c>
      <c r="L84" s="550"/>
      <c r="M84" s="557"/>
      <c r="N84" s="557"/>
      <c r="O84" s="534"/>
      <c r="P84" s="1042"/>
    </row>
    <row r="85" ht="14.4" customHeight="1">
      <c r="A85" s="1039"/>
      <c r="B85" s="61"/>
      <c r="C85" t="s" s="513">
        <f>IF(LEFT(RIGHT($B$1,2),1)=" ",RIGHT($B$1,1),RIGHT($B$1,2))</f>
        <v>260</v>
      </c>
      <c r="D85" s="61"/>
      <c r="E85" s="61"/>
      <c r="F85" s="559"/>
      <c r="G85" s="559"/>
      <c r="H85" s="559"/>
      <c r="I85" s="559"/>
      <c r="J85" s="559"/>
      <c r="K85" s="559"/>
      <c r="L85" s="61"/>
      <c r="M85" s="559"/>
      <c r="N85" s="559"/>
      <c r="O85" s="61"/>
      <c r="P85" s="1042"/>
    </row>
    <row r="86" ht="14.4" customHeight="1">
      <c r="A86" s="1039"/>
      <c r="B86" s="61"/>
      <c r="C86" t="s" s="513">
        <f>IF(LEFT(RIGHT($B$1,2),1)=" ",RIGHT($B$1,1),RIGHT($B$1,2))</f>
        <v>260</v>
      </c>
      <c r="D86" s="61"/>
      <c r="E86" s="61"/>
      <c r="F86" s="61"/>
      <c r="G86" s="61"/>
      <c r="H86" s="61"/>
      <c r="I86" s="61"/>
      <c r="J86" s="61"/>
      <c r="K86" s="61"/>
      <c r="L86" s="61"/>
      <c r="M86" s="61"/>
      <c r="N86" s="61"/>
      <c r="O86" s="61"/>
      <c r="P86" s="1042"/>
    </row>
    <row r="87" ht="30" customHeight="1">
      <c r="A87" s="1043"/>
      <c r="B87" s="512"/>
      <c r="C87" t="s" s="513">
        <f>IF(LEFT(RIGHT($B$1,2),1)=" ",RIGHT($B$1,1),RIGHT($B$1,2))</f>
        <v>260</v>
      </c>
      <c r="D87" s="61">
        <f>IF(LEFT(F87,14)="Bonne pratique",D83+1,D83)</f>
      </c>
      <c r="E87" s="565">
        <f>C87&amp;D87&amp;RIGHT(F87,1)</f>
      </c>
      <c r="F87" t="s" s="516">
        <v>1887</v>
      </c>
      <c r="G87" s="517"/>
      <c r="H87" s="518"/>
      <c r="I87" s="519"/>
      <c r="J87" s="519">
        <f>VLOOKUP(E94,'BDD'!$A$2:$N$567,6,FALSE)</f>
      </c>
      <c r="K87" s="521"/>
      <c r="L87" s="517"/>
      <c r="M87" s="517"/>
      <c r="N87" s="517"/>
      <c r="O87" s="512"/>
      <c r="P87" s="1044"/>
    </row>
    <row r="88" ht="15" customHeight="1">
      <c r="A88" s="1039"/>
      <c r="B88" s="61"/>
      <c r="C88" t="s" s="513">
        <f>IF(LEFT(RIGHT($B$1,2),1)=" ",RIGHT($B$1,1),RIGHT($B$1,2))</f>
        <v>260</v>
      </c>
      <c r="D88" s="61">
        <f>IF(LEFT(F88,14)="Bonne pratique",D87+1,D87)</f>
      </c>
      <c r="E88" s="565">
        <f>C88&amp;D88&amp;RIGHT(F88,1)</f>
      </c>
      <c r="F88" s="61"/>
      <c r="G88" s="61"/>
      <c r="H88" s="61"/>
      <c r="I88" s="61"/>
      <c r="J88" s="61"/>
      <c r="K88" s="61"/>
      <c r="L88" s="61"/>
      <c r="M88" s="61"/>
      <c r="N88" s="61"/>
      <c r="O88" s="61"/>
      <c r="P88" s="1042"/>
    </row>
    <row r="89" ht="18" customHeight="1">
      <c r="A89" s="1045"/>
      <c r="B89" s="524"/>
      <c r="C89" t="s" s="513">
        <f>IF(LEFT(RIGHT($B$1,2),1)=" ",RIGHT($B$1,1),RIGHT($B$1,2))</f>
        <v>260</v>
      </c>
      <c r="D89" s="61">
        <f>IF(LEFT(F89,14)="Bonne pratique",D88+1,D88)</f>
      </c>
      <c r="E89" s="565">
        <f>C89&amp;D89&amp;RIGHT(F89,1)</f>
      </c>
      <c r="F89" s="524"/>
      <c r="G89" s="524"/>
      <c r="H89" s="524"/>
      <c r="I89" s="525"/>
      <c r="J89" t="s" s="526">
        <v>1420</v>
      </c>
      <c r="K89" s="525"/>
      <c r="L89" s="524"/>
      <c r="M89" s="524"/>
      <c r="N89" s="524"/>
      <c r="O89" s="524"/>
      <c r="P89" s="1046"/>
    </row>
    <row r="90" ht="18" customHeight="1">
      <c r="A90" s="1039"/>
      <c r="B90" s="61"/>
      <c r="C90" t="s" s="513">
        <f>IF(LEFT(RIGHT($B$1,2),1)=" ",RIGHT($B$1,1),RIGHT($B$1,2))</f>
        <v>260</v>
      </c>
      <c r="D90" s="61">
        <f>IF(LEFT(F90,14)="Bonne pratique",D89+1,D89)</f>
      </c>
      <c r="E90" s="565">
        <f>C90&amp;D90&amp;RIGHT(F90,1)</f>
      </c>
      <c r="F90" s="61"/>
      <c r="G90" s="61"/>
      <c r="H90" s="61"/>
      <c r="I90" s="61"/>
      <c r="J90" s="528"/>
      <c r="K90" s="61"/>
      <c r="L90" s="61"/>
      <c r="M90" s="529"/>
      <c r="N90" s="529"/>
      <c r="O90" s="61"/>
      <c r="P90" s="1042"/>
    </row>
    <row r="91" ht="15" customHeight="1">
      <c r="A91" s="1039"/>
      <c r="B91" s="61"/>
      <c r="C91" t="s" s="513">
        <f>IF(LEFT(RIGHT($B$1,2),1)=" ",RIGHT($B$1,1),RIGHT($B$1,2))</f>
        <v>260</v>
      </c>
      <c r="D91" s="61">
        <f>IF(LEFT(F91,14)="Bonne pratique",D90+1,D90)</f>
      </c>
      <c r="E91" s="565">
        <f>C91&amp;D91&amp;RIGHT(F91,1)</f>
      </c>
      <c r="F91" s="61"/>
      <c r="G91" s="529"/>
      <c r="H91" s="529"/>
      <c r="I91" s="529"/>
      <c r="J91" s="530"/>
      <c r="K91" s="529"/>
      <c r="L91" s="542"/>
      <c r="M91" t="s" s="562">
        <v>1763</v>
      </c>
      <c r="N91" s="563"/>
      <c r="O91" s="534"/>
      <c r="P91" s="1042"/>
    </row>
    <row r="92" ht="33" customHeight="1">
      <c r="A92" s="1039"/>
      <c r="B92" s="61"/>
      <c r="C92" t="s" s="513">
        <f>IF(LEFT(RIGHT($B$1,2),1)=" ",RIGHT($B$1,1),RIGHT($B$1,2))</f>
        <v>260</v>
      </c>
      <c r="D92" s="61">
        <f>IF(LEFT(F92,14)="Bonne pratique",D91+1,D91)</f>
      </c>
      <c r="E92" s="565">
        <f>C92&amp;D92&amp;RIGHT(F92,1)</f>
      </c>
      <c r="F92" s="564"/>
      <c r="G92" t="s" s="536">
        <v>244</v>
      </c>
      <c r="H92" t="s" s="536">
        <v>1764</v>
      </c>
      <c r="I92" t="s" s="536">
        <v>1787</v>
      </c>
      <c r="J92" t="s" s="536">
        <v>1765</v>
      </c>
      <c r="K92" t="s" s="536">
        <v>1788</v>
      </c>
      <c r="L92" s="538"/>
      <c r="M92" t="s" s="539">
        <v>1766</v>
      </c>
      <c r="N92" t="s" s="540">
        <v>1767</v>
      </c>
      <c r="O92" s="534"/>
      <c r="P92" s="1042"/>
    </row>
    <row r="93" ht="15" customHeight="1">
      <c r="A93" s="1039"/>
      <c r="B93" s="61"/>
      <c r="C93" t="s" s="513">
        <f>IF(LEFT(RIGHT($B$1,2),1)=" ",RIGHT($B$1,1),RIGHT($B$1,2))</f>
        <v>260</v>
      </c>
      <c r="D93" s="61">
        <f>IF(LEFT(F93,14)="Bonne pratique",D92+1,D92)</f>
      </c>
      <c r="E93" s="565">
        <f>C93&amp;D93&amp;RIGHT(F93,1)</f>
      </c>
      <c r="F93" s="529"/>
      <c r="G93" s="541"/>
      <c r="H93" s="541"/>
      <c r="I93" s="541"/>
      <c r="J93" s="541"/>
      <c r="K93" s="541"/>
      <c r="L93" s="61"/>
      <c r="M93" s="541"/>
      <c r="N93" s="541"/>
      <c r="O93" s="61"/>
      <c r="P93" s="1042"/>
    </row>
    <row r="94" ht="130.05" customHeight="1">
      <c r="A94" s="1039"/>
      <c r="B94" s="542"/>
      <c r="C94" t="s" s="543">
        <f>IF(LEFT(RIGHT($B$1,2),1)=" ",RIGHT($B$1,1),RIGHT($B$1,2))</f>
        <v>260</v>
      </c>
      <c r="D94" s="550">
        <f>IF(LEFT(F94,14)="Bonne pratique",D93+1,D93)</f>
      </c>
      <c r="E94" s="566">
        <f>C94&amp;D94&amp;RIGHT(F94,1)</f>
      </c>
      <c r="F94" t="s" s="546">
        <v>1769</v>
      </c>
      <c r="G94" s="567">
        <f>_xlfn.IFERROR(IF(VLOOKUP($E94,'BDD'!$A$1:$S$567,MATCH(G$10,'BDD'!$A$1:$P$1,0),FALSE)=0,"",VLOOKUP($E94,'BDD'!$A$1:$S$567,MATCH(G$10,'BDD'!$A$1:$P$1,0),FALSE)),"")</f>
      </c>
      <c r="H94" s="568">
        <f>IF(VLOOKUP(E94,'BDD'!$A$1:$S$567,15,FALSE)=0,"Critère non évalué","")</f>
      </c>
      <c r="I94" s="569">
        <f>_xlfn.IFERROR(IF(VLOOKUP($E94,'BDD'!$A$1:$S$567,MATCH(I$10,'BDD'!$A$1:$P$1,0),FALSE)=0,"",VLOOKUP($E94,'BDD'!$A$1:$S$567,MATCH(I$10,'BDD'!$A$1:$P$1,0),FALSE)),"")</f>
      </c>
      <c r="J94" s="549"/>
      <c r="K94" s="567">
        <f>_xlfn.IFERROR(IF(VLOOKUP($E94,'BDD'!$A$1:$S$567,MATCH(K$10,'BDD'!$A$1:$P$1,0),FALSE)=0,"",VLOOKUP($E94,'BDD'!$A$1:$S$567,MATCH(K$10,'BDD'!$A$1:$P$1,0),FALSE)),"")</f>
      </c>
      <c r="L94" s="550"/>
      <c r="M94" s="551"/>
      <c r="N94" s="551"/>
      <c r="O94" s="534"/>
      <c r="P94" s="1042"/>
    </row>
    <row r="95" ht="130.05" customHeight="1">
      <c r="A95" s="1039"/>
      <c r="B95" s="542"/>
      <c r="C95" t="s" s="543">
        <f>IF(LEFT(RIGHT($B$1,2),1)=" ",RIGHT($B$1,1),RIGHT($B$1,2))</f>
        <v>260</v>
      </c>
      <c r="D95" s="550">
        <f>IF(LEFT(F95,14)="Bonne pratique",D94+1,D94)</f>
      </c>
      <c r="E95" s="566">
        <f>C95&amp;D95&amp;RIGHT(F95,1)</f>
      </c>
      <c r="F95" t="s" s="552">
        <v>1772</v>
      </c>
      <c r="G95" s="557">
        <f>_xlfn.IFERROR(IF(VLOOKUP($E95,'BDD'!$A$1:$S$567,MATCH(G$10,'BDD'!$A$1:$P$1,0),FALSE)=0,"",VLOOKUP($E95,'BDD'!$A$1:$S$567,MATCH(G$10,'BDD'!$A$1:$P$1,0),FALSE)),"")</f>
      </c>
      <c r="H95" s="570">
        <f>IF(VLOOKUP(E95,'BDD'!$A$1:$S$567,15,FALSE)=0,"Critère non évalué","")</f>
      </c>
      <c r="I95" s="571">
        <f>_xlfn.IFERROR(IF(VLOOKUP($E95,'BDD'!$A$1:$S$567,MATCH(I$10,'BDD'!$A$1:$P$1,0),FALSE)=0,"",VLOOKUP($E95,'BDD'!$A$1:$S$567,MATCH(I$10,'BDD'!$A$1:$P$1,0),FALSE)),"")</f>
      </c>
      <c r="J95" s="554"/>
      <c r="K95" s="557">
        <f>_xlfn.IFERROR(IF(VLOOKUP($E95,'BDD'!$A$1:$S$567,MATCH(K$10,'BDD'!$A$1:$P$1,0),FALSE)=0,"",VLOOKUP($E95,'BDD'!$A$1:$S$567,MATCH(K$10,'BDD'!$A$1:$P$1,0),FALSE)),"")</f>
      </c>
      <c r="L95" s="550"/>
      <c r="M95" s="555"/>
      <c r="N95" s="555"/>
      <c r="O95" s="534"/>
      <c r="P95" s="1042"/>
    </row>
    <row r="96" ht="130.05" customHeight="1">
      <c r="A96" s="1039"/>
      <c r="B96" s="542"/>
      <c r="C96" t="s" s="543">
        <f>IF(LEFT(RIGHT($B$1,2),1)=" ",RIGHT($B$1,1),RIGHT($B$1,2))</f>
        <v>260</v>
      </c>
      <c r="D96" s="550">
        <f>IF(LEFT(F96,14)="Bonne pratique",D95+1,D95)</f>
      </c>
      <c r="E96" s="566">
        <f>C96&amp;D96&amp;RIGHT(F96,1)</f>
      </c>
      <c r="F96" t="s" s="546">
        <v>1774</v>
      </c>
      <c r="G96" s="567">
        <f>_xlfn.IFERROR(IF(VLOOKUP($E96,'BDD'!$A$1:$S$567,MATCH(G$10,'BDD'!$A$1:$P$1,0),FALSE)=0,"",VLOOKUP($E96,'BDD'!$A$1:$S$567,MATCH(G$10,'BDD'!$A$1:$P$1,0),FALSE)),"")</f>
      </c>
      <c r="H96" s="568">
        <f>IF(VLOOKUP(E96,'BDD'!$A$1:$S$567,15,FALSE)=0,"Critère non évalué","")</f>
      </c>
      <c r="I96" s="569">
        <f>_xlfn.IFERROR(IF(VLOOKUP($E96,'BDD'!$A$1:$S$567,MATCH(I$10,'BDD'!$A$1:$P$1,0),FALSE)=0,"",VLOOKUP($E96,'BDD'!$A$1:$S$567,MATCH(I$10,'BDD'!$A$1:$P$1,0),FALSE)),"")</f>
      </c>
      <c r="J96" s="549"/>
      <c r="K96" s="567">
        <f>_xlfn.IFERROR(IF(VLOOKUP($E96,'BDD'!$A$1:$S$567,MATCH(K$10,'BDD'!$A$1:$P$1,0),FALSE)=0,"",VLOOKUP($E96,'BDD'!$A$1:$S$567,MATCH(K$10,'BDD'!$A$1:$P$1,0),FALSE)),"")</f>
      </c>
      <c r="L96" s="550"/>
      <c r="M96" s="551"/>
      <c r="N96" s="551"/>
      <c r="O96" s="534"/>
      <c r="P96" s="1042"/>
    </row>
    <row r="97" ht="130.05" customHeight="1">
      <c r="A97" s="1039"/>
      <c r="B97" s="542"/>
      <c r="C97" t="s" s="543">
        <f>IF(LEFT(RIGHT($B$1,2),1)=" ",RIGHT($B$1,1),RIGHT($B$1,2))</f>
        <v>260</v>
      </c>
      <c r="D97" s="550">
        <f>IF(LEFT(F97,14)="Bonne pratique",D96+1,D96)</f>
      </c>
      <c r="E97" s="566">
        <f>C97&amp;D97&amp;RIGHT(F97,1)</f>
      </c>
      <c r="F97" t="s" s="552">
        <v>1776</v>
      </c>
      <c r="G97" s="557">
        <f>_xlfn.IFERROR(IF(VLOOKUP($E97,'BDD'!$A$1:$S$567,MATCH(G$10,'BDD'!$A$1:$P$1,0),FALSE)=0,"",VLOOKUP($E97,'BDD'!$A$1:$S$567,MATCH(G$10,'BDD'!$A$1:$P$1,0),FALSE)),"")</f>
      </c>
      <c r="H97" s="570">
        <f>IF(VLOOKUP(E97,'BDD'!$A$1:$S$567,15,FALSE)=0,"Critère non évalué","")</f>
      </c>
      <c r="I97" s="571">
        <f>_xlfn.IFERROR(IF(VLOOKUP($E97,'BDD'!$A$1:$S$567,MATCH(I$10,'BDD'!$A$1:$P$1,0),FALSE)=0,"",VLOOKUP($E97,'BDD'!$A$1:$S$567,MATCH(I$10,'BDD'!$A$1:$P$1,0),FALSE)),"")</f>
      </c>
      <c r="J97" s="556"/>
      <c r="K97" s="557">
        <f>_xlfn.IFERROR(IF(VLOOKUP($E97,'BDD'!$A$1:$S$567,MATCH(K$10,'BDD'!$A$1:$P$1,0),FALSE)=0,"",VLOOKUP($E97,'BDD'!$A$1:$S$567,MATCH(K$10,'BDD'!$A$1:$P$1,0),FALSE)),"")</f>
      </c>
      <c r="L97" s="550"/>
      <c r="M97" s="555"/>
      <c r="N97" s="555"/>
      <c r="O97" s="534"/>
      <c r="P97" s="1042"/>
    </row>
    <row r="98" ht="130.05" customHeight="1" hidden="1">
      <c r="A98" s="1039"/>
      <c r="B98" s="542"/>
      <c r="C98" t="s" s="543">
        <f>IF(LEFT(RIGHT($B$1,2),1)=" ",RIGHT($B$1,1),RIGHT($B$1,2))</f>
        <v>260</v>
      </c>
      <c r="D98" s="550">
        <f>IF(LEFT(F98,14)="Bonne pratique",D97+1,D97)</f>
      </c>
      <c r="E98" s="566">
        <f>C98&amp;D98&amp;RIGHT(F98,1)</f>
      </c>
      <c r="F98" t="s" s="546">
        <v>1778</v>
      </c>
      <c r="G98" s="567">
        <f>_xlfn.IFERROR(IF(VLOOKUP($E98,'BDD'!$A$1:$S$567,MATCH(G$10,'BDD'!$A$1:$P$1,0),FALSE)=0,"",VLOOKUP($E98,'BDD'!$A$1:$S$567,MATCH(G$10,'BDD'!$A$1:$P$1,0),FALSE)),"")</f>
      </c>
      <c r="H98" s="568">
        <f>IF(VLOOKUP(E98,'BDD'!$A$1:$S$567,15,FALSE)=0,"Critère non évalué","")</f>
      </c>
      <c r="I98" s="569">
        <f>_xlfn.IFERROR(IF(VLOOKUP($E98,'BDD'!$A$1:$S$567,MATCH(I$10,'BDD'!$A$1:$P$1,0),FALSE)=0,"",VLOOKUP($E98,'BDD'!$A$1:$S$567,MATCH(I$10,'BDD'!$A$1:$P$1,0),FALSE)),"")</f>
      </c>
      <c r="J98" s="549"/>
      <c r="K98" s="567">
        <f>_xlfn.IFERROR(IF(VLOOKUP($E98,'BDD'!$A$1:$S$567,MATCH(K$10,'BDD'!$A$1:$P$1,0),FALSE)=0,"",VLOOKUP($E98,'BDD'!$A$1:$S$567,MATCH(K$10,'BDD'!$A$1:$P$1,0),FALSE)),"")</f>
      </c>
      <c r="L98" s="550"/>
      <c r="M98" s="557"/>
      <c r="N98" s="557"/>
      <c r="O98" s="534"/>
      <c r="P98" s="1042"/>
    </row>
    <row r="99" ht="130.05" customHeight="1" hidden="1">
      <c r="A99" s="1039"/>
      <c r="B99" s="542"/>
      <c r="C99" t="s" s="543">
        <f>IF(LEFT(RIGHT($B$1,2),1)=" ",RIGHT($B$1,1),RIGHT($B$1,2))</f>
        <v>260</v>
      </c>
      <c r="D99" s="550">
        <f>IF(LEFT(F99,14)="Bonne pratique",D98+1,D98)</f>
      </c>
      <c r="E99" s="566">
        <f>C99&amp;D99&amp;RIGHT(F99,1)</f>
      </c>
      <c r="F99" t="s" s="552">
        <v>1780</v>
      </c>
      <c r="G99" s="557">
        <f>_xlfn.IFERROR(IF(VLOOKUP($E99,'BDD'!$A$1:$S$567,MATCH(G$10,'BDD'!$A$1:$P$1,0),FALSE)=0,"",VLOOKUP($E99,'BDD'!$A$1:$S$567,MATCH(G$10,'BDD'!$A$1:$P$1,0),FALSE)),"")</f>
      </c>
      <c r="H99" s="570">
        <f>IF(VLOOKUP(E99,'BDD'!$A$1:$S$567,15,FALSE)=0,"Critère non évalué","")</f>
      </c>
      <c r="I99" s="571">
        <f>_xlfn.IFERROR(IF(VLOOKUP($E99,'BDD'!$A$1:$S$567,MATCH(I$10,'BDD'!$A$1:$P$1,0),FALSE)=0,"",VLOOKUP($E99,'BDD'!$A$1:$S$567,MATCH(I$10,'BDD'!$A$1:$P$1,0),FALSE)),"")</f>
      </c>
      <c r="J99" s="556"/>
      <c r="K99" s="557">
        <f>_xlfn.IFERROR(IF(VLOOKUP($E99,'BDD'!$A$1:$S$567,MATCH(K$10,'BDD'!$A$1:$P$1,0),FALSE)=0,"",VLOOKUP($E99,'BDD'!$A$1:$S$567,MATCH(K$10,'BDD'!$A$1:$P$1,0),FALSE)),"")</f>
      </c>
      <c r="L99" s="550"/>
      <c r="M99" s="555"/>
      <c r="N99" s="555"/>
      <c r="O99" s="534"/>
      <c r="P99" s="1042"/>
    </row>
    <row r="100" ht="130.05" customHeight="1" hidden="1">
      <c r="A100" s="1039"/>
      <c r="B100" s="542"/>
      <c r="C100" t="s" s="543">
        <f>IF(LEFT(RIGHT($B$1,2),1)=" ",RIGHT($B$1,1),RIGHT($B$1,2))</f>
        <v>260</v>
      </c>
      <c r="D100" s="550">
        <f>IF(LEFT(F100,14)="Bonne pratique",D99+1,D99)</f>
      </c>
      <c r="E100" s="566">
        <f>C100&amp;D100&amp;RIGHT(F100,1)</f>
      </c>
      <c r="F100" t="s" s="546">
        <v>1782</v>
      </c>
      <c r="G100" s="567">
        <f>_xlfn.IFERROR(IF(VLOOKUP($E100,'BDD'!$A$1:$S$567,MATCH(G$10,'BDD'!$A$1:$P$1,0),FALSE)=0,"",VLOOKUP($E100,'BDD'!$A$1:$S$567,MATCH(G$10,'BDD'!$A$1:$P$1,0),FALSE)),"")</f>
      </c>
      <c r="H100" s="568">
        <f>IF(VLOOKUP(E100,'BDD'!$A$1:$S$567,15,FALSE)=0,"Critère non évalué","")</f>
      </c>
      <c r="I100" s="569">
        <f>_xlfn.IFERROR(IF(VLOOKUP($E100,'BDD'!$A$1:$S$567,MATCH(I$10,'BDD'!$A$1:$P$1,0),FALSE)=0,"",VLOOKUP($E100,'BDD'!$A$1:$S$567,MATCH(I$10,'BDD'!$A$1:$P$1,0),FALSE)),"")</f>
      </c>
      <c r="J100" s="549"/>
      <c r="K100" s="567">
        <f>_xlfn.IFERROR(IF(VLOOKUP($E100,'BDD'!$A$1:$S$567,MATCH(K$10,'BDD'!$A$1:$P$1,0),FALSE)=0,"",VLOOKUP($E100,'BDD'!$A$1:$S$567,MATCH(K$10,'BDD'!$A$1:$P$1,0),FALSE)),"")</f>
      </c>
      <c r="L100" s="550"/>
      <c r="M100" s="557"/>
      <c r="N100" s="557"/>
      <c r="O100" s="534"/>
      <c r="P100" s="1042"/>
    </row>
    <row r="101" ht="14.4" customHeight="1">
      <c r="A101" s="1039"/>
      <c r="B101" s="61"/>
      <c r="C101" t="s" s="513">
        <f>IF(LEFT(RIGHT($B$1,2),1)=" ",RIGHT($B$1,1),RIGHT($B$1,2))</f>
        <v>260</v>
      </c>
      <c r="D101" s="61"/>
      <c r="E101" s="61"/>
      <c r="F101" s="559"/>
      <c r="G101" s="559"/>
      <c r="H101" s="559"/>
      <c r="I101" s="559"/>
      <c r="J101" s="559"/>
      <c r="K101" s="559"/>
      <c r="L101" s="61"/>
      <c r="M101" s="559"/>
      <c r="N101" s="559"/>
      <c r="O101" s="61"/>
      <c r="P101" s="1042"/>
    </row>
    <row r="102" ht="14.4" customHeight="1">
      <c r="A102" s="1039"/>
      <c r="B102" s="61"/>
      <c r="C102" t="s" s="513">
        <f>IF(LEFT(RIGHT($B$1,2),1)=" ",RIGHT($B$1,1),RIGHT($B$1,2))</f>
        <v>260</v>
      </c>
      <c r="D102" s="61"/>
      <c r="E102" s="61"/>
      <c r="F102" s="61"/>
      <c r="G102" s="61"/>
      <c r="H102" s="61"/>
      <c r="I102" s="61"/>
      <c r="J102" s="61"/>
      <c r="K102" s="61"/>
      <c r="L102" s="61"/>
      <c r="M102" s="61"/>
      <c r="N102" s="61"/>
      <c r="O102" s="61"/>
      <c r="P102" s="1042"/>
    </row>
    <row r="103" ht="30" customHeight="1">
      <c r="A103" s="1043"/>
      <c r="B103" s="512"/>
      <c r="C103" t="s" s="513">
        <f>IF(LEFT(RIGHT($B$1,2),1)=" ",RIGHT($B$1,1),RIGHT($B$1,2))</f>
        <v>260</v>
      </c>
      <c r="D103" s="61">
        <f>IF(LEFT(F103,14)="Bonne pratique",D99+1,D99)</f>
      </c>
      <c r="E103" s="565">
        <f>C103&amp;D103&amp;RIGHT(F103,1)</f>
      </c>
      <c r="F103" t="s" s="516">
        <v>1888</v>
      </c>
      <c r="G103" s="517"/>
      <c r="H103" s="518"/>
      <c r="I103" s="519"/>
      <c r="J103" s="519">
        <f>VLOOKUP(E110,'BDD'!$A$2:$N$567,6,FALSE)</f>
      </c>
      <c r="K103" s="521"/>
      <c r="L103" s="517"/>
      <c r="M103" s="517"/>
      <c r="N103" s="517"/>
      <c r="O103" s="512"/>
      <c r="P103" s="1044"/>
    </row>
    <row r="104" ht="15" customHeight="1">
      <c r="A104" s="1039"/>
      <c r="B104" s="61"/>
      <c r="C104" t="s" s="513">
        <f>IF(LEFT(RIGHT($B$1,2),1)=" ",RIGHT($B$1,1),RIGHT($B$1,2))</f>
        <v>260</v>
      </c>
      <c r="D104" s="61">
        <f>IF(LEFT(F104,14)="Bonne pratique",D103+1,D103)</f>
      </c>
      <c r="E104" s="565">
        <f>C104&amp;D104&amp;RIGHT(F104,1)</f>
      </c>
      <c r="F104" s="61"/>
      <c r="G104" s="61"/>
      <c r="H104" s="61"/>
      <c r="I104" s="61"/>
      <c r="J104" s="61"/>
      <c r="K104" s="61"/>
      <c r="L104" s="61"/>
      <c r="M104" s="61"/>
      <c r="N104" s="61"/>
      <c r="O104" s="61"/>
      <c r="P104" s="1042"/>
    </row>
    <row r="105" ht="18" customHeight="1">
      <c r="A105" s="1045"/>
      <c r="B105" s="524"/>
      <c r="C105" t="s" s="513">
        <f>IF(LEFT(RIGHT($B$1,2),1)=" ",RIGHT($B$1,1),RIGHT($B$1,2))</f>
        <v>260</v>
      </c>
      <c r="D105" s="61">
        <f>IF(LEFT(F105,14)="Bonne pratique",D104+1,D104)</f>
      </c>
      <c r="E105" s="565">
        <f>C105&amp;D105&amp;RIGHT(F105,1)</f>
      </c>
      <c r="F105" s="524"/>
      <c r="G105" s="524"/>
      <c r="H105" s="524"/>
      <c r="I105" s="525"/>
      <c r="J105" t="s" s="526">
        <v>1436</v>
      </c>
      <c r="K105" s="525"/>
      <c r="L105" s="524"/>
      <c r="M105" s="524"/>
      <c r="N105" s="524"/>
      <c r="O105" s="524"/>
      <c r="P105" s="1046"/>
    </row>
    <row r="106" ht="18" customHeight="1">
      <c r="A106" s="1039"/>
      <c r="B106" s="61"/>
      <c r="C106" t="s" s="513">
        <f>IF(LEFT(RIGHT($B$1,2),1)=" ",RIGHT($B$1,1),RIGHT($B$1,2))</f>
        <v>260</v>
      </c>
      <c r="D106" s="61">
        <f>IF(LEFT(F106,14)="Bonne pratique",D105+1,D105)</f>
      </c>
      <c r="E106" s="565">
        <f>C106&amp;D106&amp;RIGHT(F106,1)</f>
      </c>
      <c r="F106" s="61"/>
      <c r="G106" s="61"/>
      <c r="H106" s="61"/>
      <c r="I106" s="61"/>
      <c r="J106" s="528"/>
      <c r="K106" s="61"/>
      <c r="L106" s="61"/>
      <c r="M106" s="529"/>
      <c r="N106" s="529"/>
      <c r="O106" s="61"/>
      <c r="P106" s="1042"/>
    </row>
    <row r="107" ht="15" customHeight="1">
      <c r="A107" s="1039"/>
      <c r="B107" s="61"/>
      <c r="C107" t="s" s="513">
        <f>IF(LEFT(RIGHT($B$1,2),1)=" ",RIGHT($B$1,1),RIGHT($B$1,2))</f>
        <v>260</v>
      </c>
      <c r="D107" s="61">
        <f>IF(LEFT(F107,14)="Bonne pratique",D106+1,D106)</f>
      </c>
      <c r="E107" s="565">
        <f>C107&amp;D107&amp;RIGHT(F107,1)</f>
      </c>
      <c r="F107" s="61"/>
      <c r="G107" s="529"/>
      <c r="H107" s="529"/>
      <c r="I107" s="529"/>
      <c r="J107" s="530"/>
      <c r="K107" s="529"/>
      <c r="L107" s="542"/>
      <c r="M107" t="s" s="562">
        <v>1763</v>
      </c>
      <c r="N107" s="563"/>
      <c r="O107" s="534"/>
      <c r="P107" s="1042"/>
    </row>
    <row r="108" ht="33" customHeight="1">
      <c r="A108" s="1039"/>
      <c r="B108" s="61"/>
      <c r="C108" t="s" s="513">
        <f>IF(LEFT(RIGHT($B$1,2),1)=" ",RIGHT($B$1,1),RIGHT($B$1,2))</f>
        <v>260</v>
      </c>
      <c r="D108" s="61">
        <f>IF(LEFT(F108,14)="Bonne pratique",D107+1,D107)</f>
      </c>
      <c r="E108" s="565">
        <f>C108&amp;D108&amp;RIGHT(F108,1)</f>
      </c>
      <c r="F108" s="564"/>
      <c r="G108" t="s" s="536">
        <v>244</v>
      </c>
      <c r="H108" t="s" s="536">
        <v>1764</v>
      </c>
      <c r="I108" t="s" s="536">
        <v>1787</v>
      </c>
      <c r="J108" t="s" s="536">
        <v>1765</v>
      </c>
      <c r="K108" t="s" s="536">
        <v>1788</v>
      </c>
      <c r="L108" s="538"/>
      <c r="M108" t="s" s="539">
        <v>1766</v>
      </c>
      <c r="N108" t="s" s="540">
        <v>1767</v>
      </c>
      <c r="O108" s="534"/>
      <c r="P108" s="1042"/>
    </row>
    <row r="109" ht="15" customHeight="1">
      <c r="A109" s="1039"/>
      <c r="B109" s="61"/>
      <c r="C109" t="s" s="513">
        <f>IF(LEFT(RIGHT($B$1,2),1)=" ",RIGHT($B$1,1),RIGHT($B$1,2))</f>
        <v>260</v>
      </c>
      <c r="D109" s="61">
        <f>IF(LEFT(F109,14)="Bonne pratique",D108+1,D108)</f>
      </c>
      <c r="E109" s="565">
        <f>C109&amp;D109&amp;RIGHT(F109,1)</f>
      </c>
      <c r="F109" s="529"/>
      <c r="G109" s="541"/>
      <c r="H109" s="541"/>
      <c r="I109" s="541"/>
      <c r="J109" s="541"/>
      <c r="K109" s="541"/>
      <c r="L109" s="61"/>
      <c r="M109" s="541"/>
      <c r="N109" s="541"/>
      <c r="O109" s="61"/>
      <c r="P109" s="1042"/>
    </row>
    <row r="110" ht="130.05" customHeight="1">
      <c r="A110" s="1039"/>
      <c r="B110" s="542"/>
      <c r="C110" t="s" s="543">
        <f>IF(LEFT(RIGHT($B$1,2),1)=" ",RIGHT($B$1,1),RIGHT($B$1,2))</f>
        <v>260</v>
      </c>
      <c r="D110" s="550">
        <f>IF(LEFT(F110,14)="Bonne pratique",D109+1,D109)</f>
      </c>
      <c r="E110" s="566">
        <f>C110&amp;D110&amp;RIGHT(F110,1)</f>
      </c>
      <c r="F110" t="s" s="546">
        <v>1769</v>
      </c>
      <c r="G110" s="567">
        <f>_xlfn.IFERROR(IF(VLOOKUP($E110,'BDD'!$A$1:$S$567,MATCH(G$10,'BDD'!$A$1:$P$1,0),FALSE)=0,"",VLOOKUP($E110,'BDD'!$A$1:$S$567,MATCH(G$10,'BDD'!$A$1:$P$1,0),FALSE)),"")</f>
      </c>
      <c r="H110" s="568">
        <f>IF(VLOOKUP(E110,'BDD'!$A$1:$S$567,15,FALSE)=0,"Critère non évalué","")</f>
      </c>
      <c r="I110" s="569">
        <f>_xlfn.IFERROR(IF(VLOOKUP($E110,'BDD'!$A$1:$S$567,MATCH(I$10,'BDD'!$A$1:$P$1,0),FALSE)=0,"",VLOOKUP($E110,'BDD'!$A$1:$S$567,MATCH(I$10,'BDD'!$A$1:$P$1,0),FALSE)),"")</f>
      </c>
      <c r="J110" s="549"/>
      <c r="K110" s="567">
        <f>_xlfn.IFERROR(IF(VLOOKUP($E110,'BDD'!$A$1:$S$567,MATCH(K$10,'BDD'!$A$1:$P$1,0),FALSE)=0,"",VLOOKUP($E110,'BDD'!$A$1:$S$567,MATCH(K$10,'BDD'!$A$1:$P$1,0),FALSE)),"")</f>
      </c>
      <c r="L110" s="550"/>
      <c r="M110" s="551"/>
      <c r="N110" s="551"/>
      <c r="O110" s="534"/>
      <c r="P110" s="1042"/>
    </row>
    <row r="111" ht="130.05" customHeight="1">
      <c r="A111" s="1039"/>
      <c r="B111" s="542"/>
      <c r="C111" t="s" s="543">
        <f>IF(LEFT(RIGHT($B$1,2),1)=" ",RIGHT($B$1,1),RIGHT($B$1,2))</f>
        <v>260</v>
      </c>
      <c r="D111" s="550">
        <f>IF(LEFT(F111,14)="Bonne pratique",D110+1,D110)</f>
      </c>
      <c r="E111" s="566">
        <f>C111&amp;D111&amp;RIGHT(F111,1)</f>
      </c>
      <c r="F111" t="s" s="552">
        <v>1772</v>
      </c>
      <c r="G111" s="557">
        <f>_xlfn.IFERROR(IF(VLOOKUP($E111,'BDD'!$A$1:$S$567,MATCH(G$10,'BDD'!$A$1:$P$1,0),FALSE)=0,"",VLOOKUP($E111,'BDD'!$A$1:$S$567,MATCH(G$10,'BDD'!$A$1:$P$1,0),FALSE)),"")</f>
      </c>
      <c r="H111" s="570">
        <f>IF(VLOOKUP(E111,'BDD'!$A$1:$S$567,15,FALSE)=0,"Critère non évalué","")</f>
      </c>
      <c r="I111" s="571">
        <f>_xlfn.IFERROR(IF(VLOOKUP($E111,'BDD'!$A$1:$S$567,MATCH(I$10,'BDD'!$A$1:$P$1,0),FALSE)=0,"",VLOOKUP($E111,'BDD'!$A$1:$S$567,MATCH(I$10,'BDD'!$A$1:$P$1,0),FALSE)),"")</f>
      </c>
      <c r="J111" s="554"/>
      <c r="K111" s="557">
        <f>_xlfn.IFERROR(IF(VLOOKUP($E111,'BDD'!$A$1:$S$567,MATCH(K$10,'BDD'!$A$1:$P$1,0),FALSE)=0,"",VLOOKUP($E111,'BDD'!$A$1:$S$567,MATCH(K$10,'BDD'!$A$1:$P$1,0),FALSE)),"")</f>
      </c>
      <c r="L111" s="550"/>
      <c r="M111" s="555"/>
      <c r="N111" s="555"/>
      <c r="O111" s="534"/>
      <c r="P111" s="1042"/>
    </row>
    <row r="112" ht="130.05" customHeight="1">
      <c r="A112" s="1039"/>
      <c r="B112" s="542"/>
      <c r="C112" t="s" s="543">
        <f>IF(LEFT(RIGHT($B$1,2),1)=" ",RIGHT($B$1,1),RIGHT($B$1,2))</f>
        <v>260</v>
      </c>
      <c r="D112" s="550">
        <f>IF(LEFT(F112,14)="Bonne pratique",D111+1,D111)</f>
      </c>
      <c r="E112" s="566">
        <f>C112&amp;D112&amp;RIGHT(F112,1)</f>
      </c>
      <c r="F112" t="s" s="546">
        <v>1774</v>
      </c>
      <c r="G112" s="567">
        <f>_xlfn.IFERROR(IF(VLOOKUP($E112,'BDD'!$A$1:$S$567,MATCH(G$10,'BDD'!$A$1:$P$1,0),FALSE)=0,"",VLOOKUP($E112,'BDD'!$A$1:$S$567,MATCH(G$10,'BDD'!$A$1:$P$1,0),FALSE)),"")</f>
      </c>
      <c r="H112" s="568">
        <f>IF(VLOOKUP(E112,'BDD'!$A$1:$S$567,15,FALSE)=0,"Critère non évalué","")</f>
      </c>
      <c r="I112" s="569">
        <f>_xlfn.IFERROR(IF(VLOOKUP($E112,'BDD'!$A$1:$S$567,MATCH(I$10,'BDD'!$A$1:$P$1,0),FALSE)=0,"",VLOOKUP($E112,'BDD'!$A$1:$S$567,MATCH(I$10,'BDD'!$A$1:$P$1,0),FALSE)),"")</f>
      </c>
      <c r="J112" s="549"/>
      <c r="K112" s="567">
        <f>_xlfn.IFERROR(IF(VLOOKUP($E112,'BDD'!$A$1:$S$567,MATCH(K$10,'BDD'!$A$1:$P$1,0),FALSE)=0,"",VLOOKUP($E112,'BDD'!$A$1:$S$567,MATCH(K$10,'BDD'!$A$1:$P$1,0),FALSE)),"")</f>
      </c>
      <c r="L112" s="550"/>
      <c r="M112" s="551"/>
      <c r="N112" s="551"/>
      <c r="O112" s="534"/>
      <c r="P112" s="1042"/>
    </row>
    <row r="113" ht="145.2" customHeight="1">
      <c r="A113" s="1039"/>
      <c r="B113" s="542"/>
      <c r="C113" t="s" s="543">
        <f>IF(LEFT(RIGHT($B$1,2),1)=" ",RIGHT($B$1,1),RIGHT($B$1,2))</f>
        <v>260</v>
      </c>
      <c r="D113" s="550">
        <f>IF(LEFT(F113,14)="Bonne pratique",D112+1,D112)</f>
      </c>
      <c r="E113" s="566">
        <f>C113&amp;D113&amp;RIGHT(F113,1)</f>
      </c>
      <c r="F113" t="s" s="552">
        <v>1776</v>
      </c>
      <c r="G113" s="557">
        <f>_xlfn.IFERROR(IF(VLOOKUP($E113,'BDD'!$A$1:$S$567,MATCH(G$10,'BDD'!$A$1:$P$1,0),FALSE)=0,"",VLOOKUP($E113,'BDD'!$A$1:$S$567,MATCH(G$10,'BDD'!$A$1:$P$1,0),FALSE)),"")</f>
      </c>
      <c r="H113" s="570">
        <f>IF(VLOOKUP(E113,'BDD'!$A$1:$S$567,15,FALSE)=0,"Critère non évalué","")</f>
      </c>
      <c r="I113" s="571">
        <f>_xlfn.IFERROR(IF(VLOOKUP($E113,'BDD'!$A$1:$S$567,MATCH(I$10,'BDD'!$A$1:$P$1,0),FALSE)=0,"",VLOOKUP($E113,'BDD'!$A$1:$S$567,MATCH(I$10,'BDD'!$A$1:$P$1,0),FALSE)),"")</f>
      </c>
      <c r="J113" s="556"/>
      <c r="K113" s="557">
        <f>_xlfn.IFERROR(IF(VLOOKUP($E113,'BDD'!$A$1:$S$567,MATCH(K$10,'BDD'!$A$1:$P$1,0),FALSE)=0,"",VLOOKUP($E113,'BDD'!$A$1:$S$567,MATCH(K$10,'BDD'!$A$1:$P$1,0),FALSE)),"")</f>
      </c>
      <c r="L113" s="550"/>
      <c r="M113" s="555"/>
      <c r="N113" s="555"/>
      <c r="O113" s="534"/>
      <c r="P113" s="1042"/>
    </row>
    <row r="114" ht="130.05" customHeight="1">
      <c r="A114" s="1039"/>
      <c r="B114" s="542"/>
      <c r="C114" t="s" s="543">
        <f>IF(LEFT(RIGHT($B$1,2),1)=" ",RIGHT($B$1,1),RIGHT($B$1,2))</f>
        <v>260</v>
      </c>
      <c r="D114" s="550">
        <f>IF(LEFT(F114,14)="Bonne pratique",D113+1,D113)</f>
      </c>
      <c r="E114" s="566">
        <f>C114&amp;D114&amp;RIGHT(F114,1)</f>
      </c>
      <c r="F114" t="s" s="546">
        <v>1778</v>
      </c>
      <c r="G114" s="567">
        <f>_xlfn.IFERROR(IF(VLOOKUP($E114,'BDD'!$A$1:$S$567,MATCH(G$10,'BDD'!$A$1:$P$1,0),FALSE)=0,"",VLOOKUP($E114,'BDD'!$A$1:$S$567,MATCH(G$10,'BDD'!$A$1:$P$1,0),FALSE)),"")</f>
      </c>
      <c r="H114" s="568">
        <f>IF(VLOOKUP(E114,'BDD'!$A$1:$S$567,15,FALSE)=0,"Critère non évalué","")</f>
      </c>
      <c r="I114" s="569">
        <f>_xlfn.IFERROR(IF(VLOOKUP($E114,'BDD'!$A$1:$S$567,MATCH(I$10,'BDD'!$A$1:$P$1,0),FALSE)=0,"",VLOOKUP($E114,'BDD'!$A$1:$S$567,MATCH(I$10,'BDD'!$A$1:$P$1,0),FALSE)),"")</f>
      </c>
      <c r="J114" s="549"/>
      <c r="K114" s="567">
        <f>_xlfn.IFERROR(IF(VLOOKUP($E114,'BDD'!$A$1:$S$567,MATCH(K$10,'BDD'!$A$1:$P$1,0),FALSE)=0,"",VLOOKUP($E114,'BDD'!$A$1:$S$567,MATCH(K$10,'BDD'!$A$1:$P$1,0),FALSE)),"")</f>
      </c>
      <c r="L114" s="550"/>
      <c r="M114" s="557"/>
      <c r="N114" s="557"/>
      <c r="O114" s="534"/>
      <c r="P114" s="1042"/>
    </row>
    <row r="115" ht="130.05" customHeight="1" hidden="1">
      <c r="A115" s="1039"/>
      <c r="B115" s="542"/>
      <c r="C115" t="s" s="543">
        <f>IF(LEFT(RIGHT($B$1,2),1)=" ",RIGHT($B$1,1),RIGHT($B$1,2))</f>
        <v>260</v>
      </c>
      <c r="D115" s="550">
        <f>IF(LEFT(F115,14)="Bonne pratique",D114+1,D114)</f>
      </c>
      <c r="E115" s="566">
        <f>C115&amp;D115&amp;RIGHT(F115,1)</f>
      </c>
      <c r="F115" t="s" s="552">
        <v>1780</v>
      </c>
      <c r="G115" s="557">
        <f>_xlfn.IFERROR(IF(VLOOKUP($E115,'BDD'!$A$1:$S$567,MATCH(G$10,'BDD'!$A$1:$P$1,0),FALSE)=0,"",VLOOKUP($E115,'BDD'!$A$1:$S$567,MATCH(G$10,'BDD'!$A$1:$P$1,0),FALSE)),"")</f>
      </c>
      <c r="H115" s="570">
        <f>IF(VLOOKUP(E115,'BDD'!$A$1:$S$567,15,FALSE)=0,"Critère non évalué","")</f>
      </c>
      <c r="I115" s="571">
        <f>_xlfn.IFERROR(IF(VLOOKUP($E115,'BDD'!$A$1:$S$567,MATCH(I$10,'BDD'!$A$1:$P$1,0),FALSE)=0,"",VLOOKUP($E115,'BDD'!$A$1:$S$567,MATCH(I$10,'BDD'!$A$1:$P$1,0),FALSE)),"")</f>
      </c>
      <c r="J115" s="556"/>
      <c r="K115" s="557">
        <f>_xlfn.IFERROR(IF(VLOOKUP($E115,'BDD'!$A$1:$S$567,MATCH(K$10,'BDD'!$A$1:$P$1,0),FALSE)=0,"",VLOOKUP($E115,'BDD'!$A$1:$S$567,MATCH(K$10,'BDD'!$A$1:$P$1,0),FALSE)),"")</f>
      </c>
      <c r="L115" s="550"/>
      <c r="M115" s="555"/>
      <c r="N115" s="555"/>
      <c r="O115" s="534"/>
      <c r="P115" s="1042"/>
    </row>
    <row r="116" ht="130.05" customHeight="1" hidden="1">
      <c r="A116" s="1039"/>
      <c r="B116" s="542"/>
      <c r="C116" t="s" s="543">
        <f>RIGHT($B$1,1)</f>
        <v>1761</v>
      </c>
      <c r="D116" s="550">
        <f>IF(LEFT(F116,14)="Bonne pratique",D115+1,D115)</f>
      </c>
      <c r="E116" s="566">
        <f>C116&amp;D116&amp;RIGHT(F116,1)</f>
      </c>
      <c r="F116" t="s" s="546">
        <v>1782</v>
      </c>
      <c r="G116" s="567">
        <f>_xlfn.IFERROR(IF(VLOOKUP($E116,'BDD'!$A$1:$S$567,MATCH(G$10,'BDD'!$A$1:$P$1,0),FALSE)=0,"",VLOOKUP($E116,'BDD'!$A$1:$S$567,MATCH(G$10,'BDD'!$A$1:$P$1,0),FALSE)),"")</f>
      </c>
      <c r="H116" s="568">
        <f>IF(VLOOKUP(E116,'BDD'!$A$1:$S$567,15,FALSE)=0,"Critère non évalué","")</f>
      </c>
      <c r="I116" s="569">
        <f>_xlfn.IFERROR(IF(VLOOKUP($E116,'BDD'!$A$1:$S$567,MATCH(I$10,'BDD'!$A$1:$P$1,0),FALSE)=0,"",VLOOKUP($E116,'BDD'!$A$1:$S$567,MATCH(I$10,'BDD'!$A$1:$P$1,0),FALSE)),"")</f>
      </c>
      <c r="J116" s="549"/>
      <c r="K116" s="567">
        <f>_xlfn.IFERROR(IF(VLOOKUP($E116,'BDD'!$A$1:$S$567,MATCH(K$10,'BDD'!$A$1:$P$1,0),FALSE)=0,"",VLOOKUP($E116,'BDD'!$A$1:$S$567,MATCH(K$10,'BDD'!$A$1:$P$1,0),FALSE)),"")</f>
      </c>
      <c r="L116" s="550"/>
      <c r="M116" s="557"/>
      <c r="N116" s="557"/>
      <c r="O116" s="534"/>
      <c r="P116" s="1042"/>
    </row>
    <row r="117" ht="14.4" customHeight="1">
      <c r="A117" s="1039"/>
      <c r="B117" s="61"/>
      <c r="C117" s="61"/>
      <c r="D117" s="61"/>
      <c r="E117" s="61"/>
      <c r="F117" s="559"/>
      <c r="G117" s="559"/>
      <c r="H117" s="559"/>
      <c r="I117" s="559"/>
      <c r="J117" s="559"/>
      <c r="K117" s="559"/>
      <c r="L117" s="61"/>
      <c r="M117" s="559"/>
      <c r="N117" s="559"/>
      <c r="O117" s="61"/>
      <c r="P117" s="1042"/>
    </row>
    <row r="118" ht="14.4" customHeight="1">
      <c r="A118" t="s" s="1047">
        <v>171</v>
      </c>
      <c r="B118" s="1048"/>
      <c r="C118" s="1048"/>
      <c r="D118" s="1048"/>
      <c r="E118" s="1048"/>
      <c r="F118" s="1048"/>
      <c r="G118" s="1048"/>
      <c r="H118" s="1048"/>
      <c r="I118" s="1048"/>
      <c r="J118" s="1048"/>
      <c r="K118" s="1048"/>
      <c r="L118" s="1048"/>
      <c r="M118" s="1048"/>
      <c r="N118" s="1048"/>
      <c r="O118" s="1048"/>
      <c r="P118" t="s" s="1049">
        <v>171</v>
      </c>
    </row>
  </sheetData>
  <mergeCells count="7">
    <mergeCell ref="M107:N107"/>
    <mergeCell ref="M9:N9"/>
    <mergeCell ref="M25:N25"/>
    <mergeCell ref="M41:N41"/>
    <mergeCell ref="M57:N57"/>
    <mergeCell ref="M75:N75"/>
    <mergeCell ref="M91:N91"/>
  </mergeCells>
  <pageMargins left="0.7" right="0.7" top="0.75" bottom="0.75" header="0.3" footer="0.3"/>
  <pageSetup firstPageNumber="1" fitToHeight="1" fitToWidth="1" scale="100" useFirstPageNumber="0" orientation="portrait" pageOrder="downThenOver"/>
  <headerFooter>
    <oddFooter>&amp;C&amp;"Helvetica Neue,Regular"&amp;12&amp;K000000&amp;P</oddFooter>
  </headerFooter>
  <drawing r:id="rId1"/>
</worksheet>
</file>

<file path=xl/worksheets/sheet29.xml><?xml version="1.0" encoding="utf-8"?>
<worksheet xmlns:r="http://schemas.openxmlformats.org/officeDocument/2006/relationships" xmlns="http://schemas.openxmlformats.org/spreadsheetml/2006/main">
  <dimension ref="A1:AI100"/>
  <sheetViews>
    <sheetView workbookViewId="0" showGridLines="0" defaultGridColor="1"/>
  </sheetViews>
  <sheetFormatPr defaultColWidth="8.83333" defaultRowHeight="14.4" customHeight="1" outlineLevelRow="0" outlineLevelCol="0"/>
  <cols>
    <col min="1" max="2" width="5.85156" style="1141" customWidth="1"/>
    <col min="3" max="5" hidden="1" width="8.83333" style="1141" customWidth="1"/>
    <col min="6" max="6" width="25.5" style="1141" customWidth="1"/>
    <col min="7" max="7" width="73.5" style="1141" customWidth="1"/>
    <col min="8" max="12" width="5.85156" style="1141" customWidth="1"/>
    <col min="13" max="13" width="8.85156" style="1141" customWidth="1"/>
    <col min="14" max="14" width="50.8516" style="1141" customWidth="1"/>
    <col min="15" max="21" width="4.35156" style="1141" customWidth="1"/>
    <col min="22" max="22" width="3" style="1141" customWidth="1"/>
    <col min="23" max="23" width="23.8516" style="1141" customWidth="1"/>
    <col min="24" max="24" width="59.8516" style="1141" customWidth="1"/>
    <col min="25" max="25" width="4" style="1141" customWidth="1"/>
    <col min="26" max="27" width="17.1719" style="1141" customWidth="1"/>
    <col min="28" max="28" width="5.85156" style="1141" customWidth="1"/>
    <col min="29" max="29" width="7.85156" style="1141" customWidth="1"/>
    <col min="30" max="30" width="2.5" style="1141" customWidth="1"/>
    <col min="31" max="31" width="19" style="1141" customWidth="1"/>
    <col min="32" max="34" width="5.85156" style="1141" customWidth="1"/>
    <col min="35" max="35" width="8.85156" style="1141" customWidth="1"/>
    <col min="36" max="16384" width="8.85156" style="1141" customWidth="1"/>
  </cols>
  <sheetData>
    <row r="1" ht="45" customHeight="1">
      <c r="A1" s="1051"/>
      <c r="B1" t="s" s="1033">
        <v>2420</v>
      </c>
      <c r="C1" s="1052"/>
      <c r="D1" s="1052"/>
      <c r="E1" s="1034"/>
      <c r="F1" s="1034"/>
      <c r="G1" s="1034"/>
      <c r="H1" s="1034"/>
      <c r="I1" s="1034"/>
      <c r="J1" s="1053"/>
      <c r="K1" s="1054"/>
      <c r="L1" s="1034"/>
      <c r="M1" s="1034"/>
      <c r="N1" s="1055"/>
      <c r="O1" s="1055"/>
      <c r="P1" s="1055"/>
      <c r="Q1" t="s" s="1056">
        <f>VLOOKUP($E$27,'BDD'!$A$2:$N$567,3,FALSE)</f>
        <v>234</v>
      </c>
      <c r="R1" s="1035"/>
      <c r="S1" s="1036"/>
      <c r="T1" s="1036"/>
      <c r="U1" s="1036"/>
      <c r="V1" s="1036"/>
      <c r="W1" s="1036"/>
      <c r="X1" s="1036"/>
      <c r="Y1" s="1036"/>
      <c r="Z1" s="1036"/>
      <c r="AA1" s="1036"/>
      <c r="AB1" s="1036"/>
      <c r="AC1" s="1036"/>
      <c r="AD1" s="1036"/>
      <c r="AE1" s="1036"/>
      <c r="AF1" s="1036"/>
      <c r="AG1" s="1036"/>
      <c r="AH1" s="1036"/>
      <c r="AI1" s="582"/>
    </row>
    <row r="2" ht="45" customHeight="1">
      <c r="A2" s="1039"/>
      <c r="B2" s="1040"/>
      <c r="C2" s="1040"/>
      <c r="D2" s="1040"/>
      <c r="E2" s="1040"/>
      <c r="F2" s="1040"/>
      <c r="G2" s="1040"/>
      <c r="H2" s="1040"/>
      <c r="I2" s="1040"/>
      <c r="J2" s="1040"/>
      <c r="K2" s="1040"/>
      <c r="L2" s="1040"/>
      <c r="M2" s="1040"/>
      <c r="N2" s="1057"/>
      <c r="O2" s="1057"/>
      <c r="P2" s="1057"/>
      <c r="Q2" t="s" s="1041">
        <f>VLOOKUP($E$27,'BDD'!$A$2:$N$567,4,FALSE)</f>
        <v>1318</v>
      </c>
      <c r="R2" s="1040"/>
      <c r="S2" s="1058"/>
      <c r="T2" s="1058"/>
      <c r="U2" s="1058"/>
      <c r="V2" s="1058"/>
      <c r="W2" s="1058"/>
      <c r="X2" s="1058"/>
      <c r="Y2" s="1058"/>
      <c r="Z2" s="1058"/>
      <c r="AA2" s="1058"/>
      <c r="AB2" s="1058"/>
      <c r="AC2" s="1058"/>
      <c r="AD2" s="1058"/>
      <c r="AE2" s="1058"/>
      <c r="AF2" s="1058"/>
      <c r="AG2" s="1058"/>
      <c r="AH2" s="1058"/>
      <c r="AI2" s="585"/>
    </row>
    <row r="3" ht="45" customHeight="1">
      <c r="A3" s="1039"/>
      <c r="B3" s="586"/>
      <c r="C3" s="586"/>
      <c r="D3" s="586"/>
      <c r="E3" s="586"/>
      <c r="F3" s="586"/>
      <c r="G3" s="587"/>
      <c r="H3" s="587"/>
      <c r="I3" s="587"/>
      <c r="J3" s="587"/>
      <c r="K3" s="587"/>
      <c r="L3" s="587"/>
      <c r="M3" s="587"/>
      <c r="N3" s="586"/>
      <c r="O3" s="586"/>
      <c r="P3" s="586"/>
      <c r="Q3" s="586"/>
      <c r="R3" s="586"/>
      <c r="S3" s="586"/>
      <c r="T3" s="586"/>
      <c r="U3" s="586"/>
      <c r="V3" s="586"/>
      <c r="W3" s="588"/>
      <c r="X3" s="586"/>
      <c r="Y3" s="586"/>
      <c r="Z3" s="586"/>
      <c r="AA3" s="589"/>
      <c r="AB3" s="586"/>
      <c r="AC3" s="586"/>
      <c r="AD3" s="586"/>
      <c r="AE3" s="586"/>
      <c r="AF3" s="586"/>
      <c r="AG3" s="586"/>
      <c r="AH3" s="1040"/>
      <c r="AI3" s="585"/>
    </row>
    <row r="4" ht="26.4" customHeight="1">
      <c r="A4" s="1039"/>
      <c r="B4" s="586"/>
      <c r="C4" s="586"/>
      <c r="D4" s="586"/>
      <c r="E4" s="586"/>
      <c r="F4" s="586"/>
      <c r="G4" t="s" s="590">
        <v>1817</v>
      </c>
      <c r="H4" s="591"/>
      <c r="I4" s="587"/>
      <c r="J4" s="591"/>
      <c r="K4" s="591"/>
      <c r="L4" s="591"/>
      <c r="M4" s="591"/>
      <c r="N4" s="586"/>
      <c r="O4" s="586"/>
      <c r="P4" s="586"/>
      <c r="Q4" s="586"/>
      <c r="R4" s="586"/>
      <c r="S4" s="586"/>
      <c r="T4" s="586"/>
      <c r="U4" s="1059"/>
      <c r="V4" s="1059"/>
      <c r="W4" t="s" s="1060">
        <v>1818</v>
      </c>
      <c r="X4" s="1059"/>
      <c r="Y4" s="586"/>
      <c r="Z4" s="593"/>
      <c r="AA4" s="594"/>
      <c r="AB4" t="s" s="595">
        <v>1819</v>
      </c>
      <c r="AC4" s="586"/>
      <c r="AD4" s="586"/>
      <c r="AE4" s="586"/>
      <c r="AF4" s="596"/>
      <c r="AG4" s="596"/>
      <c r="AH4" s="1061"/>
      <c r="AI4" s="585"/>
    </row>
    <row r="5" ht="30" customHeight="1">
      <c r="A5" s="1039"/>
      <c r="B5" s="586"/>
      <c r="C5" s="586"/>
      <c r="D5" s="586"/>
      <c r="E5" t="s" s="744">
        <f>$C$25&amp;"11"</f>
        <v>2421</v>
      </c>
      <c r="F5" s="586"/>
      <c r="G5" t="s" s="598">
        <f>IF(VLOOKUP(E5,'BDD'!$A$2:$N$567,13,FALSE)=0,"",VLOOKUP(E5,'BDD'!$A$2:$N$567,13,FALSE))</f>
        <v>1323</v>
      </c>
      <c r="H5" s="599"/>
      <c r="I5" s="587"/>
      <c r="J5" s="25"/>
      <c r="K5" s="599"/>
      <c r="L5" s="1062"/>
      <c r="M5" s="1062"/>
      <c r="N5" s="1063"/>
      <c r="O5" s="1063"/>
      <c r="P5" s="1063"/>
      <c r="Q5" s="1063"/>
      <c r="R5" s="1063"/>
      <c r="S5" s="1063"/>
      <c r="T5" s="1063"/>
      <c r="U5" s="1063"/>
      <c r="V5" s="1063"/>
      <c r="W5" s="1064"/>
      <c r="X5" s="1063"/>
      <c r="Y5" s="1063"/>
      <c r="Z5" s="1063"/>
      <c r="AA5" s="1065"/>
      <c r="AB5" s="1063"/>
      <c r="AC5" s="586"/>
      <c r="AD5" s="586"/>
      <c r="AE5" s="586"/>
      <c r="AF5" s="586"/>
      <c r="AG5" s="586"/>
      <c r="AH5" s="1040"/>
      <c r="AI5" s="585"/>
    </row>
    <row r="6" ht="30" customHeight="1">
      <c r="A6" s="1066"/>
      <c r="B6" s="565"/>
      <c r="C6" s="565"/>
      <c r="D6" s="565"/>
      <c r="E6" t="s" s="558">
        <f>$C$25&amp;"12"</f>
        <v>2422</v>
      </c>
      <c r="F6" s="565"/>
      <c r="G6" t="s" s="598">
        <f>IF(VLOOKUP(E6,'BDD'!$A$2:$N$567,13,FALSE)=0,"",VLOOKUP(E6,'BDD'!$A$2:$N$567,13,FALSE))</f>
        <v>1328</v>
      </c>
      <c r="H6" s="605"/>
      <c r="I6" s="587"/>
      <c r="J6" s="25"/>
      <c r="K6" s="1067"/>
      <c r="L6" s="1068"/>
      <c r="M6" s="1069"/>
      <c r="N6" s="1070"/>
      <c r="O6" s="1071"/>
      <c r="P6" s="1071"/>
      <c r="Q6" s="1071"/>
      <c r="R6" s="1071"/>
      <c r="S6" s="1071"/>
      <c r="T6" s="1071"/>
      <c r="U6" s="1071"/>
      <c r="V6" s="1072"/>
      <c r="W6" s="1071"/>
      <c r="X6" s="1071"/>
      <c r="Y6" s="1072"/>
      <c r="Z6" s="1073"/>
      <c r="AA6" s="1073"/>
      <c r="AB6" s="1074"/>
      <c r="AC6" s="1075"/>
      <c r="AD6" s="615"/>
      <c r="AE6" s="615"/>
      <c r="AF6" s="587"/>
      <c r="AG6" s="587"/>
      <c r="AH6" s="1076"/>
      <c r="AI6" s="617"/>
    </row>
    <row r="7" ht="45.6" customHeight="1">
      <c r="A7" s="1066"/>
      <c r="B7" s="565"/>
      <c r="C7" s="565"/>
      <c r="D7" s="565"/>
      <c r="E7" t="s" s="558">
        <f>$C$25&amp;"13"</f>
        <v>2423</v>
      </c>
      <c r="F7" s="565"/>
      <c r="G7" t="s" s="598">
        <f>IF(VLOOKUP(E7,'BDD'!$A$2:$N$567,13,FALSE)=0,"",VLOOKUP(E7,'BDD'!$A$2:$N$567,13,FALSE))</f>
        <v>1332</v>
      </c>
      <c r="H7" s="605"/>
      <c r="I7" s="587"/>
      <c r="J7" s="25"/>
      <c r="K7" s="1067"/>
      <c r="L7" s="1077"/>
      <c r="M7" s="1078"/>
      <c r="N7" t="s" s="620">
        <v>11</v>
      </c>
      <c r="O7" t="s" s="621">
        <v>12</v>
      </c>
      <c r="P7" t="s" s="621">
        <v>13</v>
      </c>
      <c r="Q7" t="s" s="621">
        <v>14</v>
      </c>
      <c r="R7" t="s" s="621">
        <v>15</v>
      </c>
      <c r="S7" t="s" s="621">
        <v>16</v>
      </c>
      <c r="T7" t="s" s="621">
        <v>17</v>
      </c>
      <c r="U7" t="s" s="621">
        <v>18</v>
      </c>
      <c r="V7" s="206"/>
      <c r="W7" t="s" s="622">
        <v>20</v>
      </c>
      <c r="X7" t="s" s="623">
        <v>21</v>
      </c>
      <c r="Y7" s="1079"/>
      <c r="Z7" t="s" s="625">
        <v>22</v>
      </c>
      <c r="AA7" t="s" s="626">
        <v>223</v>
      </c>
      <c r="AB7" s="1080"/>
      <c r="AC7" s="1081"/>
      <c r="AD7" t="s" s="629">
        <v>1820</v>
      </c>
      <c r="AE7" t="s" s="630">
        <v>1752</v>
      </c>
      <c r="AF7" s="631"/>
      <c r="AG7" s="587"/>
      <c r="AH7" s="1076"/>
      <c r="AI7" s="617"/>
    </row>
    <row r="8" ht="44.4" customHeight="1">
      <c r="A8" s="1066"/>
      <c r="B8" s="565"/>
      <c r="C8" s="565"/>
      <c r="D8" s="565"/>
      <c r="E8" t="s" s="558">
        <f>$C$25&amp;"14"</f>
        <v>2424</v>
      </c>
      <c r="F8" s="565"/>
      <c r="G8" t="s" s="598">
        <f>IF(VLOOKUP(E8,'BDD'!$A$2:$N$567,13,FALSE)=0,"",VLOOKUP(E8,'BDD'!$A$2:$N$567,13,FALSE))</f>
        <v>1335</v>
      </c>
      <c r="H8" s="605"/>
      <c r="I8" s="587"/>
      <c r="J8" s="25"/>
      <c r="K8" s="1067"/>
      <c r="L8" s="1077"/>
      <c r="M8" t="s" s="929">
        <f>IF(LEFT(RIGHT($B$1,2),1)=" ",RIGHT($B$1,1),RIGHT($B$1,2))&amp;1</f>
        <v>25</v>
      </c>
      <c r="N8" t="s" s="539">
        <f>RIGHT(M8,1)&amp;" : "&amp;VLOOKUP($M8&amp;"1",'BDD'!$A$2:$N$567,6,FALSE)</f>
        <v>2081</v>
      </c>
      <c r="O8" t="s" s="71">
        <f>IF(VLOOKUP($M8&amp;RIGHT(O$7,1),'BDD'!$A$1:$S$600,15,FALSE)=4,"NE",IF(VLOOKUP($M8&amp;RIGHT(O$7,1),'BDD'!$A$1:$S$600,15,FALSE)=0,"NE",VLOOKUP($M8&amp;RIGHT(O$7,1),'BDD'!$A$1:$S$600,15,FALSE)))</f>
        <v>27</v>
      </c>
      <c r="P8" t="s" s="71">
        <f>IF(VLOOKUP($M8&amp;RIGHT(P$7,1),'BDD'!$A$1:$S$600,15,FALSE)=4,"NE",IF(VLOOKUP($M8&amp;RIGHT(P$7,1),'BDD'!$A$1:$S$600,15,FALSE)=0,"NE",VLOOKUP($M8&amp;RIGHT(P$7,1),'BDD'!$A$1:$S$600,15,FALSE)))</f>
        <v>27</v>
      </c>
      <c r="Q8" s="72"/>
      <c r="R8" s="72"/>
      <c r="S8" s="72"/>
      <c r="T8" s="72"/>
      <c r="U8" s="72"/>
      <c r="V8" s="1082"/>
      <c r="W8" t="s" s="634">
        <v>28</v>
      </c>
      <c r="X8" s="635"/>
      <c r="Y8" s="1083"/>
      <c r="Z8" s="637">
        <f>O25</f>
        <v>0</v>
      </c>
      <c r="AA8" s="77">
        <f>S25</f>
      </c>
      <c r="AB8" s="1080"/>
      <c r="AC8" s="1081"/>
      <c r="AD8" s="638"/>
      <c r="AE8" t="s" s="639">
        <v>1753</v>
      </c>
      <c r="AF8" s="631"/>
      <c r="AG8" s="587"/>
      <c r="AH8" s="1076"/>
      <c r="AI8" s="617"/>
    </row>
    <row r="9" ht="30" customHeight="1">
      <c r="A9" s="1066"/>
      <c r="B9" s="565"/>
      <c r="C9" s="565"/>
      <c r="D9" s="565"/>
      <c r="E9" t="s" s="558">
        <f>$C$25&amp;"15"</f>
        <v>2425</v>
      </c>
      <c r="F9" s="565"/>
      <c r="G9" t="s" s="598">
        <f>IF(VLOOKUP(E9,'BDD'!$A$2:$N$567,13,FALSE)=0,"",VLOOKUP(E9,'BDD'!$A$2:$N$567,13,FALSE))</f>
      </c>
      <c r="H9" s="605"/>
      <c r="I9" s="587"/>
      <c r="J9" s="25"/>
      <c r="K9" s="1067"/>
      <c r="L9" s="1077"/>
      <c r="M9" t="s" s="929">
        <f>IF(LEFT(RIGHT($B$1,2),1)=" ",RIGHT($B$1,1),RIGHT($B$1,2))&amp;2</f>
        <v>261</v>
      </c>
      <c r="N9" t="s" s="640">
        <f>RIGHT(M9,1)&amp;" : "&amp;VLOOKUP($M9&amp;"1",'BDD'!$A$2:$N$567,6,FALSE)</f>
        <v>2448</v>
      </c>
      <c r="O9" t="s" s="85">
        <f>IF(VLOOKUP($M9&amp;RIGHT(O$7,1),'BDD'!$A$1:$S$600,15,FALSE)=4,"NE",IF(VLOOKUP($M9&amp;RIGHT(O$7,1),'BDD'!$A$1:$S$600,15,FALSE)=0,"NE",VLOOKUP($M9&amp;RIGHT(O$7,1),'BDD'!$A$1:$S$600,15,FALSE)))</f>
        <v>27</v>
      </c>
      <c r="P9" t="s" s="85">
        <f>IF(VLOOKUP($M9&amp;RIGHT(P$7,1),'BDD'!$A$1:$S$600,15,FALSE)=4,"NE",IF(VLOOKUP($M9&amp;RIGHT(P$7,1),'BDD'!$A$1:$S$600,15,FALSE)=0,"NE",VLOOKUP($M9&amp;RIGHT(P$7,1),'BDD'!$A$1:$S$600,15,FALSE)))</f>
        <v>27</v>
      </c>
      <c r="Q9" t="s" s="85">
        <f>IF(VLOOKUP($M9&amp;RIGHT(Q$7,1),'BDD'!$A$1:$S$600,15,FALSE)=4,"NE",IF(VLOOKUP($M9&amp;RIGHT(Q$7,1),'BDD'!$A$1:$S$600,15,FALSE)=0,"NE",VLOOKUP($M9&amp;RIGHT(Q$7,1),'BDD'!$A$1:$S$600,15,FALSE)))</f>
        <v>27</v>
      </c>
      <c r="R9" t="s" s="85">
        <f>IF(VLOOKUP($M9&amp;RIGHT(R$7,1),'BDD'!$A$1:$S$600,15,FALSE)=4,"NE",IF(VLOOKUP($M9&amp;RIGHT(R$7,1),'BDD'!$A$1:$S$600,15,FALSE)=0,"NE",VLOOKUP($M9&amp;RIGHT(R$7,1),'BDD'!$A$1:$S$600,15,FALSE)))</f>
        <v>27</v>
      </c>
      <c r="S9" t="s" s="85">
        <f>IF(VLOOKUP($M9&amp;RIGHT(S$7,1),'BDD'!$A$1:$S$600,15,FALSE)=4,"NE",IF(VLOOKUP($M9&amp;RIGHT(S$7,1),'BDD'!$A$1:$S$600,15,FALSE)=0,"NE",VLOOKUP($M9&amp;RIGHT(S$7,1),'BDD'!$A$1:$S$600,15,FALSE)))</f>
        <v>27</v>
      </c>
      <c r="T9" t="s" s="85">
        <f>IF(VLOOKUP($M9&amp;RIGHT(T$7,1),'BDD'!$A$1:$S$600,15,FALSE)=4,"NE",IF(VLOOKUP($M9&amp;RIGHT(T$7,1),'BDD'!$A$1:$S$600,15,FALSE)=0,"NE",VLOOKUP($M9&amp;RIGHT(T$7,1),'BDD'!$A$1:$S$600,15,FALSE)))</f>
        <v>27</v>
      </c>
      <c r="U9" s="86"/>
      <c r="V9" s="1082"/>
      <c r="W9" t="s" s="641">
        <v>28</v>
      </c>
      <c r="X9" s="642"/>
      <c r="Y9" s="1084"/>
      <c r="Z9" s="644">
        <f>O29</f>
        <v>0</v>
      </c>
      <c r="AA9" s="90">
        <f>S29</f>
      </c>
      <c r="AB9" s="1080"/>
      <c r="AC9" s="1081"/>
      <c r="AD9" s="638"/>
      <c r="AE9" t="s" s="645">
        <v>1754</v>
      </c>
      <c r="AF9" s="631"/>
      <c r="AG9" s="587"/>
      <c r="AH9" s="1076"/>
      <c r="AI9" s="617"/>
    </row>
    <row r="10" ht="30" customHeight="1">
      <c r="A10" s="1066"/>
      <c r="B10" s="565"/>
      <c r="C10" s="565"/>
      <c r="D10" s="565"/>
      <c r="E10" t="s" s="558">
        <f>$C$25&amp;"16"</f>
        <v>2426</v>
      </c>
      <c r="F10" s="565"/>
      <c r="G10" t="s" s="999">
        <f>IF(VLOOKUP(E10,'BDD'!$A$2:$N$567,13,FALSE)=0,"",VLOOKUP(E10,'BDD'!$A$2:$N$567,13,FALSE))</f>
      </c>
      <c r="H10" s="605"/>
      <c r="I10" s="587"/>
      <c r="J10" s="25"/>
      <c r="K10" s="1067"/>
      <c r="L10" s="1077"/>
      <c r="M10" t="s" s="929">
        <f>IF(LEFT(RIGHT($B$1,2),1)=" ",RIGHT($B$1,1),RIGHT($B$1,2))&amp;3</f>
        <v>268</v>
      </c>
      <c r="N10" t="s" s="539">
        <f>RIGHT(M10,1)&amp;" : "&amp;VLOOKUP($M10&amp;"1",'BDD'!$A$2:$N$567,6,FALSE)</f>
        <v>2449</v>
      </c>
      <c r="O10" t="s" s="71">
        <f>IF(VLOOKUP($M10&amp;RIGHT(O$7,1),'BDD'!$A$1:$S$600,15,FALSE)=4,"NE",IF(VLOOKUP($M10&amp;RIGHT(O$7,1),'BDD'!$A$1:$S$600,15,FALSE)=0,"NE",VLOOKUP($M10&amp;RIGHT(O$7,1),'BDD'!$A$1:$S$600,15,FALSE)))</f>
        <v>27</v>
      </c>
      <c r="P10" t="s" s="71">
        <f>IF(VLOOKUP($M10&amp;RIGHT(P$7,1),'BDD'!$A$1:$S$600,15,FALSE)=4,"NE",IF(VLOOKUP($M10&amp;RIGHT(P$7,1),'BDD'!$A$1:$S$600,15,FALSE)=0,"NE",VLOOKUP($M10&amp;RIGHT(P$7,1),'BDD'!$A$1:$S$600,15,FALSE)))</f>
        <v>27</v>
      </c>
      <c r="Q10" t="s" s="71">
        <f>IF(VLOOKUP($M10&amp;RIGHT(Q$7,1),'BDD'!$A$1:$S$600,15,FALSE)=4,"NE",IF(VLOOKUP($M10&amp;RIGHT(Q$7,1),'BDD'!$A$1:$S$600,15,FALSE)=0,"NE",VLOOKUP($M10&amp;RIGHT(Q$7,1),'BDD'!$A$1:$S$600,15,FALSE)))</f>
        <v>27</v>
      </c>
      <c r="R10" t="s" s="71">
        <f>IF(VLOOKUP($M10&amp;RIGHT(R$7,1),'BDD'!$A$1:$S$600,15,FALSE)=4,"NE",IF(VLOOKUP($M10&amp;RIGHT(R$7,1),'BDD'!$A$1:$S$600,15,FALSE)=0,"NE",VLOOKUP($M10&amp;RIGHT(R$7,1),'BDD'!$A$1:$S$600,15,FALSE)))</f>
        <v>27</v>
      </c>
      <c r="S10" t="s" s="71">
        <f>IF(VLOOKUP($M10&amp;RIGHT(S$7,1),'BDD'!$A$1:$S$600,15,FALSE)=4,"NE",IF(VLOOKUP($M10&amp;RIGHT(S$7,1),'BDD'!$A$1:$S$600,15,FALSE)=0,"NE",VLOOKUP($M10&amp;RIGHT(S$7,1),'BDD'!$A$1:$S$600,15,FALSE)))</f>
        <v>27</v>
      </c>
      <c r="T10" s="72"/>
      <c r="U10" s="72"/>
      <c r="V10" s="1082"/>
      <c r="W10" t="s" s="647">
        <v>28</v>
      </c>
      <c r="X10" s="648"/>
      <c r="Y10" s="1083"/>
      <c r="Z10" s="637">
        <f>O37</f>
        <v>0</v>
      </c>
      <c r="AA10" s="77">
        <f>S37</f>
      </c>
      <c r="AB10" s="1080"/>
      <c r="AC10" s="1081"/>
      <c r="AD10" s="649"/>
      <c r="AE10" t="s" s="650">
        <v>1824</v>
      </c>
      <c r="AF10" s="651"/>
      <c r="AG10" s="652"/>
      <c r="AH10" s="1085"/>
      <c r="AI10" s="617"/>
    </row>
    <row r="11" ht="30" customHeight="1">
      <c r="A11" s="1039"/>
      <c r="B11" s="586"/>
      <c r="C11" s="586"/>
      <c r="D11" s="586"/>
      <c r="E11" t="s" s="744">
        <f>$C$25&amp;"17"</f>
        <v>2427</v>
      </c>
      <c r="F11" s="586"/>
      <c r="G11" t="s" s="646">
        <f>IF(VLOOKUP(E11,'BDD'!$A$2:$N$567,13,FALSE)=0,"",VLOOKUP(E11,'BDD'!$A$2:$N$567,13,FALSE))</f>
      </c>
      <c r="H11" s="652"/>
      <c r="I11" s="587"/>
      <c r="J11" s="25"/>
      <c r="K11" s="1086"/>
      <c r="L11" s="1087"/>
      <c r="M11" t="s" s="929">
        <f>IF(LEFT(RIGHT($B$1,2),1)=" ",RIGHT($B$1,1),RIGHT($B$1,2))&amp;4</f>
        <v>276</v>
      </c>
      <c r="N11" t="s" s="640">
        <f>RIGHT(M11,1)&amp;" : "&amp;VLOOKUP($M11&amp;"1",'BDD'!$A$2:$N$567,6,FALSE)</f>
        <v>2450</v>
      </c>
      <c r="O11" t="s" s="85">
        <f>IF(VLOOKUP($M11&amp;RIGHT(O$7,1),'BDD'!$A$1:$S$600,15,FALSE)=4,"NE",IF(VLOOKUP($M11&amp;RIGHT(O$7,1),'BDD'!$A$1:$S$600,15,FALSE)=0,"NE",VLOOKUP($M11&amp;RIGHT(O$7,1),'BDD'!$A$1:$S$600,15,FALSE)))</f>
        <v>27</v>
      </c>
      <c r="P11" t="s" s="85">
        <f>IF(VLOOKUP($M11&amp;RIGHT(P$7,1),'BDD'!$A$1:$S$600,15,FALSE)=4,"NE",IF(VLOOKUP($M11&amp;RIGHT(P$7,1),'BDD'!$A$1:$S$600,15,FALSE)=0,"NE",VLOOKUP($M11&amp;RIGHT(P$7,1),'BDD'!$A$1:$S$600,15,FALSE)))</f>
        <v>27</v>
      </c>
      <c r="Q11" t="s" s="85">
        <f>IF(VLOOKUP($M11&amp;RIGHT(Q$7,1),'BDD'!$A$1:$S$600,15,FALSE)=4,"NE",IF(VLOOKUP($M11&amp;RIGHT(Q$7,1),'BDD'!$A$1:$S$600,15,FALSE)=0,"NE",VLOOKUP($M11&amp;RIGHT(Q$7,1),'BDD'!$A$1:$S$600,15,FALSE)))</f>
        <v>27</v>
      </c>
      <c r="R11" t="s" s="85">
        <f>IF(VLOOKUP($M11&amp;RIGHT(R$7,1),'BDD'!$A$1:$S$600,15,FALSE)=4,"NE",IF(VLOOKUP($M11&amp;RIGHT(R$7,1),'BDD'!$A$1:$S$600,15,FALSE)=0,"NE",VLOOKUP($M11&amp;RIGHT(R$7,1),'BDD'!$A$1:$S$600,15,FALSE)))</f>
        <v>27</v>
      </c>
      <c r="S11" t="s" s="85">
        <f>IF(VLOOKUP($M11&amp;RIGHT(S$7,1),'BDD'!$A$1:$S$600,15,FALSE)=4,"NE",IF(VLOOKUP($M11&amp;RIGHT(S$7,1),'BDD'!$A$1:$S$600,15,FALSE)=0,"NE",VLOOKUP($M11&amp;RIGHT(S$7,1),'BDD'!$A$1:$S$600,15,FALSE)))</f>
        <v>27</v>
      </c>
      <c r="T11" s="86"/>
      <c r="U11" s="86"/>
      <c r="V11" s="1082"/>
      <c r="W11" t="s" s="641">
        <v>28</v>
      </c>
      <c r="X11" s="642"/>
      <c r="Y11" s="1083"/>
      <c r="Z11" s="644">
        <f>O44</f>
        <v>0</v>
      </c>
      <c r="AA11" s="90">
        <f>S44</f>
      </c>
      <c r="AB11" s="1080"/>
      <c r="AC11" s="1088"/>
      <c r="AD11" s="658"/>
      <c r="AE11" s="659"/>
      <c r="AF11" s="652"/>
      <c r="AG11" s="652"/>
      <c r="AH11" s="1085"/>
      <c r="AI11" s="585"/>
    </row>
    <row r="12" ht="30" customHeight="1">
      <c r="A12" s="1039"/>
      <c r="B12" s="586"/>
      <c r="C12" s="586"/>
      <c r="D12" s="586"/>
      <c r="E12" s="586"/>
      <c r="F12" s="586"/>
      <c r="G12" t="s" s="660">
        <v>1826</v>
      </c>
      <c r="H12" s="587"/>
      <c r="I12" s="587"/>
      <c r="J12" s="25"/>
      <c r="K12" s="1089"/>
      <c r="L12" s="1090"/>
      <c r="M12" t="s" s="929">
        <f>IF(LEFT(RIGHT($B$1,2),1)=" ",RIGHT($B$1,1),RIGHT($B$1,2))&amp;5</f>
        <v>281</v>
      </c>
      <c r="N12" t="s" s="539">
        <f>RIGHT(M12,1)&amp;" : "&amp;VLOOKUP($M12&amp;"1",'BDD'!$A$2:$N$567,6,FALSE)</f>
        <v>2451</v>
      </c>
      <c r="O12" t="s" s="71">
        <f>IF(VLOOKUP($M12&amp;RIGHT(O$7,1),'BDD'!$A$1:$S$600,15,FALSE)=4,"NE",IF(VLOOKUP($M12&amp;RIGHT(O$7,1),'BDD'!$A$1:$S$600,15,FALSE)=0,"NE",VLOOKUP($M12&amp;RIGHT(O$7,1),'BDD'!$A$1:$S$600,15,FALSE)))</f>
        <v>27</v>
      </c>
      <c r="P12" t="s" s="71">
        <f>IF(VLOOKUP($M12&amp;RIGHT(P$7,1),'BDD'!$A$1:$S$600,15,FALSE)=4,"NE",IF(VLOOKUP($M12&amp;RIGHT(P$7,1),'BDD'!$A$1:$S$600,15,FALSE)=0,"NE",VLOOKUP($M12&amp;RIGHT(P$7,1),'BDD'!$A$1:$S$600,15,FALSE)))</f>
        <v>27</v>
      </c>
      <c r="Q12" t="s" s="71">
        <f>IF(VLOOKUP($M12&amp;RIGHT(Q$7,1),'BDD'!$A$1:$S$600,15,FALSE)=4,"NE",IF(VLOOKUP($M12&amp;RIGHT(Q$7,1),'BDD'!$A$1:$S$600,15,FALSE)=0,"NE",VLOOKUP($M12&amp;RIGHT(Q$7,1),'BDD'!$A$1:$S$600,15,FALSE)))</f>
        <v>27</v>
      </c>
      <c r="R12" t="s" s="71">
        <f>IF(VLOOKUP($M12&amp;RIGHT(R$7,1),'BDD'!$A$1:$S$600,15,FALSE)=4,"NE",IF(VLOOKUP($M12&amp;RIGHT(R$7,1),'BDD'!$A$1:$S$600,15,FALSE)=0,"NE",VLOOKUP($M12&amp;RIGHT(R$7,1),'BDD'!$A$1:$S$600,15,FALSE)))</f>
        <v>27</v>
      </c>
      <c r="S12" t="s" s="71">
        <f>IF(VLOOKUP($M12&amp;RIGHT(S$7,1),'BDD'!$A$1:$S$600,15,FALSE)=4,"NE",IF(VLOOKUP($M12&amp;RIGHT(S$7,1),'BDD'!$A$1:$S$600,15,FALSE)=0,"NE",VLOOKUP($M12&amp;RIGHT(S$7,1),'BDD'!$A$1:$S$600,15,FALSE)))</f>
        <v>27</v>
      </c>
      <c r="T12" t="s" s="71">
        <f>IF(VLOOKUP($M12&amp;RIGHT(T$7,1),'BDD'!$A$1:$S$600,15,FALSE)=4,"NE",IF(VLOOKUP($M12&amp;RIGHT(T$7,1),'BDD'!$A$1:$S$600,15,FALSE)=0,"NE",VLOOKUP($M12&amp;RIGHT(T$7,1),'BDD'!$A$1:$S$600,15,FALSE)))</f>
        <v>27</v>
      </c>
      <c r="U12" t="s" s="71">
        <f>IF(VLOOKUP($M12&amp;RIGHT(U$7,1),'BDD'!$A$1:$S$600,15,FALSE)=4,"NE",IF(VLOOKUP($M12&amp;RIGHT(U$7,1),'BDD'!$A$1:$S$600,15,FALSE)=0,"NE",VLOOKUP($M12&amp;RIGHT(U$7,1),'BDD'!$A$1:$S$600,15,FALSE)))</f>
        <v>27</v>
      </c>
      <c r="V12" s="1082"/>
      <c r="W12" t="s" s="647">
        <v>28</v>
      </c>
      <c r="X12" s="648"/>
      <c r="Y12" s="1083"/>
      <c r="Z12" s="637">
        <f>O51</f>
        <v>0</v>
      </c>
      <c r="AA12" s="77">
        <f>S51</f>
      </c>
      <c r="AB12" s="1080"/>
      <c r="AC12" s="1088"/>
      <c r="AD12" s="666"/>
      <c r="AE12" s="25"/>
      <c r="AF12" s="586"/>
      <c r="AG12" s="586"/>
      <c r="AH12" s="1040"/>
      <c r="AI12" s="585"/>
    </row>
    <row r="13" ht="43.8" customHeight="1">
      <c r="A13" s="1039"/>
      <c r="B13" s="586"/>
      <c r="C13" s="586"/>
      <c r="D13" s="586"/>
      <c r="E13" t="s" s="744">
        <f>$C$25&amp;"11"</f>
        <v>2421</v>
      </c>
      <c r="F13" s="586"/>
      <c r="G13" t="s" s="667">
        <f>IF(VLOOKUP(E13,'BDD'!$A$2:$N$567,14,FALSE)=0,"",VLOOKUP(E13,'BDD'!$A$2:$N$567,14,FALSE))</f>
        <v>1324</v>
      </c>
      <c r="H13" s="591"/>
      <c r="I13" s="587"/>
      <c r="J13" s="25"/>
      <c r="K13" s="1086"/>
      <c r="L13" s="1087"/>
      <c r="M13" t="s" s="929">
        <f>IF(LEFT(RIGHT($B$1,2),1)=" ",RIGHT($B$1,1),RIGHT($B$1,2))&amp;6</f>
        <v>285</v>
      </c>
      <c r="N13" t="s" s="640">
        <f>RIGHT(M13,1)&amp;" : "&amp;VLOOKUP($M13&amp;"1",'BDD'!$A$2:$N$567,6,FALSE)</f>
        <v>2452</v>
      </c>
      <c r="O13" t="s" s="85">
        <f>IF(VLOOKUP($M13&amp;RIGHT(O$7,1),'BDD'!$A$1:$S$600,15,FALSE)=4,"NE",IF(VLOOKUP($M13&amp;RIGHT(O$7,1),'BDD'!$A$1:$S$600,15,FALSE)=0,"NE",VLOOKUP($M13&amp;RIGHT(O$7,1),'BDD'!$A$1:$S$600,15,FALSE)))</f>
        <v>27</v>
      </c>
      <c r="P13" t="s" s="85">
        <f>IF(VLOOKUP($M13&amp;RIGHT(P$7,1),'BDD'!$A$1:$S$600,15,FALSE)=4,"NE",IF(VLOOKUP($M13&amp;RIGHT(P$7,1),'BDD'!$A$1:$S$600,15,FALSE)=0,"NE",VLOOKUP($M13&amp;RIGHT(P$7,1),'BDD'!$A$1:$S$600,15,FALSE)))</f>
        <v>27</v>
      </c>
      <c r="Q13" t="s" s="85">
        <f>IF(VLOOKUP($M13&amp;RIGHT(Q$7,1),'BDD'!$A$1:$S$600,15,FALSE)=4,"NE",IF(VLOOKUP($M13&amp;RIGHT(Q$7,1),'BDD'!$A$1:$S$600,15,FALSE)=0,"NE",VLOOKUP($M13&amp;RIGHT(Q$7,1),'BDD'!$A$1:$S$600,15,FALSE)))</f>
        <v>27</v>
      </c>
      <c r="R13" t="s" s="85">
        <f>IF(VLOOKUP($M13&amp;RIGHT(R$7,1),'BDD'!$A$1:$S$600,15,FALSE)=4,"NE",IF(VLOOKUP($M13&amp;RIGHT(R$7,1),'BDD'!$A$1:$S$600,15,FALSE)=0,"NE",VLOOKUP($M13&amp;RIGHT(R$7,1),'BDD'!$A$1:$S$600,15,FALSE)))</f>
        <v>27</v>
      </c>
      <c r="S13" s="86"/>
      <c r="T13" s="86"/>
      <c r="U13" s="86"/>
      <c r="V13" s="1082"/>
      <c r="W13" t="s" s="641">
        <v>28</v>
      </c>
      <c r="X13" s="642"/>
      <c r="Y13" s="1083"/>
      <c r="Z13" s="644">
        <f>O60</f>
        <v>0</v>
      </c>
      <c r="AA13" s="90">
        <f>S60</f>
      </c>
      <c r="AB13" s="1080"/>
      <c r="AC13" s="1088"/>
      <c r="AD13" s="586"/>
      <c r="AE13" s="586"/>
      <c r="AF13" s="679"/>
      <c r="AG13" s="679"/>
      <c r="AH13" s="1091"/>
      <c r="AI13" s="585"/>
    </row>
    <row r="14" ht="30" customHeight="1">
      <c r="A14" s="1039"/>
      <c r="B14" s="586"/>
      <c r="C14" s="586"/>
      <c r="D14" s="586"/>
      <c r="E14" t="s" s="744">
        <f>$C$25&amp;"12"</f>
        <v>2422</v>
      </c>
      <c r="F14" s="586"/>
      <c r="G14" t="s" s="667">
        <f>IF(VLOOKUP(E14,'BDD'!$A$2:$N$567,14,FALSE)=0,"",VLOOKUP(E14,'BDD'!$A$2:$N$567,14,FALSE))</f>
        <v>1329</v>
      </c>
      <c r="H14" s="681"/>
      <c r="I14" s="587"/>
      <c r="J14" s="25"/>
      <c r="K14" s="1089"/>
      <c r="L14" s="1090"/>
      <c r="M14" t="s" s="929">
        <f>IF(LEFT(RIGHT($B$1,2),1)=" ",RIGHT($B$1,1),RIGHT($B$1,2))&amp;7</f>
        <v>289</v>
      </c>
      <c r="N14" t="s" s="539">
        <f>RIGHT(M14,1)&amp;" : "&amp;VLOOKUP($M14&amp;"1",'BDD'!$A$2:$N$567,6,FALSE)</f>
        <v>2453</v>
      </c>
      <c r="O14" t="s" s="71">
        <f>IF(VLOOKUP($M14&amp;RIGHT(O$7,1),'BDD'!$A$1:$S$600,15,FALSE)=4,"NE",IF(VLOOKUP($M14&amp;RIGHT(O$7,1),'BDD'!$A$1:$S$600,15,FALSE)=0,"NE",VLOOKUP($M14&amp;RIGHT(O$7,1),'BDD'!$A$1:$S$600,15,FALSE)))</f>
        <v>27</v>
      </c>
      <c r="P14" t="s" s="71">
        <f>IF(VLOOKUP($M14&amp;RIGHT(P$7,1),'BDD'!$A$1:$S$600,15,FALSE)=4,"NE",IF(VLOOKUP($M14&amp;RIGHT(P$7,1),'BDD'!$A$1:$S$600,15,FALSE)=0,"NE",VLOOKUP($M14&amp;RIGHT(P$7,1),'BDD'!$A$1:$S$600,15,FALSE)))</f>
        <v>27</v>
      </c>
      <c r="Q14" t="s" s="71">
        <f>IF(VLOOKUP($M14&amp;RIGHT(Q$7,1),'BDD'!$A$1:$S$600,15,FALSE)=4,"NE",IF(VLOOKUP($M14&amp;RIGHT(Q$7,1),'BDD'!$A$1:$S$600,15,FALSE)=0,"NE",VLOOKUP($M14&amp;RIGHT(Q$7,1),'BDD'!$A$1:$S$600,15,FALSE)))</f>
        <v>27</v>
      </c>
      <c r="R14" t="s" s="71">
        <f>IF(VLOOKUP($M14&amp;RIGHT(R$7,1),'BDD'!$A$1:$S$600,15,FALSE)=4,"NE",IF(VLOOKUP($M14&amp;RIGHT(R$7,1),'BDD'!$A$1:$S$600,15,FALSE)=0,"NE",VLOOKUP($M14&amp;RIGHT(R$7,1),'BDD'!$A$1:$S$600,15,FALSE)))</f>
        <v>27</v>
      </c>
      <c r="S14" t="s" s="71">
        <f>IF(VLOOKUP($M14&amp;RIGHT(S$7,1),'BDD'!$A$1:$S$600,15,FALSE)=4,"NE",IF(VLOOKUP($M14&amp;RIGHT(S$7,1),'BDD'!$A$1:$S$600,15,FALSE)=0,"NE",VLOOKUP($M14&amp;RIGHT(S$7,1),'BDD'!$A$1:$S$600,15,FALSE)))</f>
        <v>27</v>
      </c>
      <c r="T14" s="72"/>
      <c r="U14" s="72"/>
      <c r="V14" s="1082"/>
      <c r="W14" t="s" s="664">
        <v>28</v>
      </c>
      <c r="X14" s="665"/>
      <c r="Y14" s="1083"/>
      <c r="Z14" s="637">
        <f>O66</f>
        <v>0</v>
      </c>
      <c r="AA14" s="77">
        <f>S66</f>
      </c>
      <c r="AB14" s="1080"/>
      <c r="AC14" s="1088"/>
      <c r="AD14" s="679"/>
      <c r="AE14" s="679"/>
      <c r="AF14" s="586"/>
      <c r="AG14" s="586"/>
      <c r="AH14" s="1040"/>
      <c r="AI14" s="585"/>
    </row>
    <row r="15" ht="30" customHeight="1">
      <c r="A15" s="1039"/>
      <c r="B15" s="586"/>
      <c r="C15" s="586"/>
      <c r="D15" s="586"/>
      <c r="E15" t="s" s="744">
        <f>$C$25&amp;"13"</f>
        <v>2423</v>
      </c>
      <c r="F15" s="586"/>
      <c r="G15" t="s" s="667">
        <f>IF(VLOOKUP(E15,'BDD'!$A$2:$N$567,14,FALSE)=0,"",VLOOKUP(E15,'BDD'!$A$2:$N$567,14,FALSE))</f>
        <v>1333</v>
      </c>
      <c r="H15" s="694"/>
      <c r="I15" s="587"/>
      <c r="J15" s="25"/>
      <c r="K15" s="1092"/>
      <c r="L15" s="1093"/>
      <c r="M15" s="1094"/>
      <c r="N15" s="1095"/>
      <c r="O15" s="1096"/>
      <c r="P15" s="1096"/>
      <c r="Q15" s="1096"/>
      <c r="R15" s="1096"/>
      <c r="S15" s="1096"/>
      <c r="T15" s="1096"/>
      <c r="U15" s="1096"/>
      <c r="V15" s="1097"/>
      <c r="W15" s="1099"/>
      <c r="X15" s="1099"/>
      <c r="Y15" s="1097"/>
      <c r="Z15" s="1100"/>
      <c r="AA15" s="1100"/>
      <c r="AB15" s="1101"/>
      <c r="AC15" s="1113"/>
      <c r="AD15" s="586"/>
      <c r="AE15" s="586"/>
      <c r="AF15" s="586"/>
      <c r="AG15" s="586"/>
      <c r="AH15" s="1040"/>
      <c r="AI15" s="585"/>
    </row>
    <row r="16" ht="30" customHeight="1">
      <c r="A16" s="1039"/>
      <c r="B16" s="586"/>
      <c r="C16" s="586"/>
      <c r="D16" s="586"/>
      <c r="E16" t="s" s="744">
        <f>$C$25&amp;"14"</f>
        <v>2424</v>
      </c>
      <c r="F16" s="586"/>
      <c r="G16" t="s" s="667">
        <f>IF(VLOOKUP(E16,'BDD'!$A$2:$N$567,14,FALSE)=0,"",VLOOKUP(E16,'BDD'!$A$2:$N$567,14,FALSE))</f>
        <v>1336</v>
      </c>
      <c r="H16" s="694"/>
      <c r="I16" s="587"/>
      <c r="J16" s="25"/>
      <c r="K16" s="1102"/>
      <c r="L16" s="1103"/>
      <c r="M16" s="1104"/>
      <c r="N16" t="s" s="1105">
        <f>"Evaluation globale du vecteur "&amp;RIGHT(B1,2)</f>
        <v>2454</v>
      </c>
      <c r="O16" s="1106"/>
      <c r="P16" s="1107"/>
      <c r="Q16" s="1107"/>
      <c r="R16" s="1107"/>
      <c r="S16" s="1107"/>
      <c r="T16" s="1107"/>
      <c r="U16" s="1107"/>
      <c r="V16" s="1107"/>
      <c r="W16" s="1108"/>
      <c r="X16" s="1109"/>
      <c r="Y16" s="1110"/>
      <c r="Z16" t="s" s="1111">
        <v>1829</v>
      </c>
      <c r="AA16" t="s" s="1111">
        <v>1830</v>
      </c>
      <c r="AB16" s="1112"/>
      <c r="AC16" s="1113"/>
      <c r="AD16" s="586"/>
      <c r="AE16" s="586"/>
      <c r="AF16" s="586"/>
      <c r="AG16" s="586"/>
      <c r="AH16" s="1040"/>
      <c r="AI16" s="585"/>
    </row>
    <row r="17" ht="28.2" customHeight="1">
      <c r="A17" s="1039"/>
      <c r="B17" s="586"/>
      <c r="C17" s="586"/>
      <c r="D17" s="586"/>
      <c r="E17" t="s" s="744">
        <f>$C$25&amp;"15"</f>
        <v>2425</v>
      </c>
      <c r="F17" s="586"/>
      <c r="G17" t="s" s="667">
        <f>IF(VLOOKUP(E17,'BDD'!$A$2:$N$567,14,FALSE)=0,"",VLOOKUP(E17,'BDD'!$A$2:$N$567,14,FALSE))</f>
        <v>1338</v>
      </c>
      <c r="H17" s="694"/>
      <c r="I17" s="587"/>
      <c r="J17" s="25"/>
      <c r="K17" s="1089"/>
      <c r="L17" s="1090"/>
      <c r="M17" s="1114"/>
      <c r="N17" s="697"/>
      <c r="O17" s="1115"/>
      <c r="P17" s="1107"/>
      <c r="Q17" s="1107"/>
      <c r="R17" s="1107"/>
      <c r="S17" s="1107"/>
      <c r="T17" s="1107"/>
      <c r="U17" s="1107"/>
      <c r="V17" s="1116"/>
      <c r="W17" t="s" s="701">
        <v>28</v>
      </c>
      <c r="X17" s="702"/>
      <c r="Y17" s="1117"/>
      <c r="Z17" s="1118">
        <f>O22</f>
        <v>0</v>
      </c>
      <c r="AA17" s="1119">
        <f>SUM($W$25:$W$74)</f>
      </c>
      <c r="AB17" s="1120"/>
      <c r="AC17" s="1113"/>
      <c r="AD17" s="586"/>
      <c r="AE17" s="586"/>
      <c r="AF17" s="586"/>
      <c r="AG17" s="586"/>
      <c r="AH17" s="1040"/>
      <c r="AI17" s="585"/>
    </row>
    <row r="18" ht="63.6" customHeight="1">
      <c r="A18" s="1039"/>
      <c r="B18" s="586"/>
      <c r="C18" s="586"/>
      <c r="D18" s="586"/>
      <c r="E18" t="s" s="744">
        <f>$C$25&amp;"16"</f>
        <v>2426</v>
      </c>
      <c r="F18" s="586"/>
      <c r="G18" t="s" s="667">
        <f>IF(VLOOKUP(E18,'BDD'!$A$2:$N$567,14,FALSE)=0,"",VLOOKUP(E18,'BDD'!$A$2:$N$567,14,FALSE))</f>
      </c>
      <c r="H18" s="694"/>
      <c r="I18" s="587"/>
      <c r="J18" s="25"/>
      <c r="K18" s="1102"/>
      <c r="L18" s="1121"/>
      <c r="M18" s="1122"/>
      <c r="N18" s="1123"/>
      <c r="O18" s="1124"/>
      <c r="P18" s="1124"/>
      <c r="Q18" s="1124"/>
      <c r="R18" s="1124"/>
      <c r="S18" s="1124"/>
      <c r="T18" s="1124"/>
      <c r="U18" s="1124"/>
      <c r="V18" s="1124"/>
      <c r="W18" s="1125"/>
      <c r="X18" s="1123"/>
      <c r="Y18" s="1124"/>
      <c r="Z18" s="1126"/>
      <c r="AA18" s="1126"/>
      <c r="AB18" s="1127"/>
      <c r="AC18" s="1113"/>
      <c r="AD18" s="586"/>
      <c r="AE18" s="586"/>
      <c r="AF18" s="586"/>
      <c r="AG18" s="586"/>
      <c r="AH18" s="1040"/>
      <c r="AI18" s="585"/>
    </row>
    <row r="19" ht="63.6" customHeight="1">
      <c r="A19" s="1039"/>
      <c r="B19" s="586"/>
      <c r="C19" s="586"/>
      <c r="D19" s="586"/>
      <c r="E19" t="s" s="744">
        <f>$C$25&amp;"17"</f>
        <v>2427</v>
      </c>
      <c r="F19" s="586"/>
      <c r="G19" t="s" s="667">
        <f>IF(VLOOKUP(E19,'BDD'!$A$2:$N$567,14,FALSE)=0,"",VLOOKUP(E19,'BDD'!$A$2:$N$567,14,FALSE))</f>
      </c>
      <c r="H19" s="694"/>
      <c r="I19" s="587"/>
      <c r="J19" s="25"/>
      <c r="K19" s="694"/>
      <c r="L19" s="1142"/>
      <c r="M19" s="1143"/>
      <c r="N19" s="1144"/>
      <c r="O19" s="1144"/>
      <c r="P19" s="1144"/>
      <c r="Q19" s="1144"/>
      <c r="R19" s="1144"/>
      <c r="S19" s="1145"/>
      <c r="T19" s="1145"/>
      <c r="U19" s="1145"/>
      <c r="V19" s="1145"/>
      <c r="W19" s="1145"/>
      <c r="X19" s="1145"/>
      <c r="Y19" s="1145"/>
      <c r="Z19" s="1145"/>
      <c r="AA19" s="1145"/>
      <c r="AB19" s="1145"/>
      <c r="AC19" s="586"/>
      <c r="AD19" s="586"/>
      <c r="AE19" s="586"/>
      <c r="AF19" s="586"/>
      <c r="AG19" s="586"/>
      <c r="AH19" s="1040"/>
      <c r="AI19" s="585"/>
    </row>
    <row r="20" ht="30" customHeight="1">
      <c r="A20" s="1039"/>
      <c r="B20" s="586"/>
      <c r="C20" s="586"/>
      <c r="D20" s="586"/>
      <c r="E20" s="586"/>
      <c r="F20" s="586"/>
      <c r="G20" s="717"/>
      <c r="H20" s="694"/>
      <c r="I20" s="587"/>
      <c r="J20" s="25"/>
      <c r="K20" s="694"/>
      <c r="L20" s="694"/>
      <c r="M20" s="719"/>
      <c r="N20" t="s" s="536">
        <v>1831</v>
      </c>
      <c r="O20" s="721">
        <f>COUNTIF(N27:N100,"Non renseigné")</f>
        <v>34</v>
      </c>
      <c r="P20" s="722"/>
      <c r="Q20" s="722"/>
      <c r="R20" s="723"/>
      <c r="S20" s="724"/>
      <c r="T20" s="586"/>
      <c r="U20" s="586"/>
      <c r="V20" s="586"/>
      <c r="W20" s="586"/>
      <c r="X20" s="586"/>
      <c r="Y20" s="586"/>
      <c r="Z20" s="586"/>
      <c r="AA20" s="586"/>
      <c r="AB20" s="586"/>
      <c r="AC20" s="586"/>
      <c r="AD20" s="586"/>
      <c r="AE20" s="586"/>
      <c r="AF20" s="586"/>
      <c r="AG20" s="586"/>
      <c r="AH20" s="1040"/>
      <c r="AI20" s="585"/>
    </row>
    <row r="21" ht="30" customHeight="1">
      <c r="A21" s="1039"/>
      <c r="B21" s="586"/>
      <c r="C21" s="586"/>
      <c r="D21" s="586"/>
      <c r="E21" t="s" s="744">
        <f>RIGHT($B$1,1)&amp;"17"</f>
        <v>289</v>
      </c>
      <c r="F21" s="586"/>
      <c r="G21" t="s" s="667">
        <f>IF(VLOOKUP(E21,'BDD'!$A$2:$N$567,14,FALSE)=0,"",VLOOKUP(E21,'BDD'!$A$2:$N$567,14,FALSE))</f>
      </c>
      <c r="H21" s="694"/>
      <c r="I21" s="694"/>
      <c r="J21" s="25"/>
      <c r="K21" s="694"/>
      <c r="L21" s="694"/>
      <c r="M21" s="719"/>
      <c r="N21" t="s" s="855">
        <v>1832</v>
      </c>
      <c r="O21" s="856">
        <f>COUNTIF($N$27:$N$90,"Non évalué")</f>
        <v>0</v>
      </c>
      <c r="P21" s="857"/>
      <c r="Q21" s="857"/>
      <c r="R21" s="858"/>
      <c r="S21" s="724"/>
      <c r="T21" s="586"/>
      <c r="U21" s="586"/>
      <c r="V21" s="586"/>
      <c r="W21" s="586"/>
      <c r="X21" s="586"/>
      <c r="Y21" s="586"/>
      <c r="Z21" s="586"/>
      <c r="AA21" s="586"/>
      <c r="AB21" s="586"/>
      <c r="AC21" s="586"/>
      <c r="AD21" s="586"/>
      <c r="AE21" s="586"/>
      <c r="AF21" s="586"/>
      <c r="AG21" s="586"/>
      <c r="AH21" s="1040"/>
      <c r="AI21" s="585"/>
    </row>
    <row r="22" ht="50.4" customHeight="1">
      <c r="A22" s="1039"/>
      <c r="B22" s="586"/>
      <c r="C22" s="586"/>
      <c r="D22" s="586"/>
      <c r="E22" s="586"/>
      <c r="F22" s="586"/>
      <c r="G22" s="717"/>
      <c r="H22" s="730"/>
      <c r="I22" s="730"/>
      <c r="J22" s="730"/>
      <c r="K22" s="730"/>
      <c r="L22" s="731"/>
      <c r="M22" s="719"/>
      <c r="N22" t="s" s="732">
        <v>1833</v>
      </c>
      <c r="O22" s="733">
        <v>0</v>
      </c>
      <c r="P22" s="734"/>
      <c r="Q22" s="734"/>
      <c r="R22" s="734"/>
      <c r="S22" s="586"/>
      <c r="T22" s="586"/>
      <c r="U22" s="586"/>
      <c r="V22" s="586"/>
      <c r="W22" s="586"/>
      <c r="X22" s="586"/>
      <c r="Y22" s="586"/>
      <c r="Z22" s="586"/>
      <c r="AA22" s="586"/>
      <c r="AB22" s="586"/>
      <c r="AC22" s="586"/>
      <c r="AD22" s="586"/>
      <c r="AE22" s="586"/>
      <c r="AF22" s="586"/>
      <c r="AG22" s="586"/>
      <c r="AH22" s="1040"/>
      <c r="AI22" s="585"/>
    </row>
    <row r="23" ht="30" customHeight="1">
      <c r="A23" s="1039"/>
      <c r="B23" s="586"/>
      <c r="C23" s="25"/>
      <c r="D23" s="586"/>
      <c r="E23" s="586"/>
      <c r="F23" s="586"/>
      <c r="G23" s="736"/>
      <c r="H23" t="s" s="737">
        <v>245</v>
      </c>
      <c r="I23" s="738"/>
      <c r="J23" s="739"/>
      <c r="K23" s="739"/>
      <c r="L23" s="740"/>
      <c r="M23" s="741"/>
      <c r="N23" s="742"/>
      <c r="O23" s="730"/>
      <c r="P23" s="730"/>
      <c r="Q23" s="730"/>
      <c r="R23" s="730"/>
      <c r="S23" s="730"/>
      <c r="T23" s="730"/>
      <c r="U23" s="730"/>
      <c r="V23" s="730"/>
      <c r="W23" s="586"/>
      <c r="X23" s="586"/>
      <c r="Y23" s="586"/>
      <c r="Z23" s="586"/>
      <c r="AA23" s="586"/>
      <c r="AB23" s="586"/>
      <c r="AC23" s="586"/>
      <c r="AD23" s="586"/>
      <c r="AE23" s="586"/>
      <c r="AF23" s="586"/>
      <c r="AG23" s="586"/>
      <c r="AH23" s="1040"/>
      <c r="AI23" s="585"/>
    </row>
    <row r="24" ht="39.6" customHeight="1">
      <c r="A24" s="1039"/>
      <c r="B24" s="586"/>
      <c r="C24" t="s" s="744">
        <v>10</v>
      </c>
      <c r="D24" t="s" s="745">
        <v>1745</v>
      </c>
      <c r="E24" t="s" s="745">
        <v>1834</v>
      </c>
      <c r="F24" s="746"/>
      <c r="G24" t="s" s="747">
        <v>244</v>
      </c>
      <c r="H24" t="s" s="747">
        <v>283</v>
      </c>
      <c r="I24" t="s" s="747">
        <v>263</v>
      </c>
      <c r="J24" t="s" s="747">
        <v>271</v>
      </c>
      <c r="K24" t="s" s="747">
        <v>291</v>
      </c>
      <c r="L24" t="s" s="747">
        <v>256</v>
      </c>
      <c r="M24" s="748"/>
      <c r="N24" t="s" s="747">
        <v>1764</v>
      </c>
      <c r="O24" t="s" s="749">
        <v>22</v>
      </c>
      <c r="P24" s="750"/>
      <c r="Q24" s="750"/>
      <c r="R24" s="750"/>
      <c r="S24" t="s" s="751">
        <v>223</v>
      </c>
      <c r="T24" s="750"/>
      <c r="U24" s="750"/>
      <c r="V24" s="752"/>
      <c r="W24" s="724"/>
      <c r="X24" s="586"/>
      <c r="Y24" s="586"/>
      <c r="Z24" s="586"/>
      <c r="AA24" s="586"/>
      <c r="AB24" s="586"/>
      <c r="AC24" s="586"/>
      <c r="AD24" s="586"/>
      <c r="AE24" s="586"/>
      <c r="AF24" s="586"/>
      <c r="AG24" s="586"/>
      <c r="AH24" s="1040"/>
      <c r="AI24" s="585"/>
    </row>
    <row r="25" ht="30" customHeight="1">
      <c r="A25" s="1039"/>
      <c r="B25" s="753"/>
      <c r="C25" t="s" s="754">
        <f>IF(LEFT(RIGHT($B$1,2),1)=" ",RIGHT($B$1,1),RIGHT($B$1,2))</f>
        <v>260</v>
      </c>
      <c r="D25" s="755">
        <f>IF(LEFT(F25,5)="Bonne",B23+1,D24)</f>
        <v>1</v>
      </c>
      <c r="E25" s="756"/>
      <c r="F25" t="s" s="757">
        <v>1762</v>
      </c>
      <c r="G25" t="s" s="758">
        <f>VLOOKUP(E27,'BDD'!$A$2:$N$567,6,FALSE)</f>
        <v>755</v>
      </c>
      <c r="H25" s="759"/>
      <c r="I25" s="760"/>
      <c r="J25" s="760"/>
      <c r="K25" s="760"/>
      <c r="L25" s="761"/>
      <c r="M25" s="762"/>
      <c r="N25" s="763"/>
      <c r="O25" s="764">
        <v>0</v>
      </c>
      <c r="P25" s="764"/>
      <c r="Q25" s="764"/>
      <c r="R25" s="764"/>
      <c r="S25" s="765">
        <f>_xlfn.SUMIFS(S1:S100,$D1:$D100,D25,$N1:$N100,"Exigences"&amp;"*")</f>
      </c>
      <c r="T25" s="765"/>
      <c r="U25" s="765"/>
      <c r="V25" s="766"/>
      <c r="W25" s="767"/>
      <c r="X25" s="586"/>
      <c r="Y25" s="586"/>
      <c r="Z25" s="586"/>
      <c r="AA25" s="586"/>
      <c r="AB25" s="586"/>
      <c r="AC25" s="586"/>
      <c r="AD25" s="586"/>
      <c r="AE25" s="586"/>
      <c r="AF25" s="586"/>
      <c r="AG25" s="586"/>
      <c r="AH25" s="1040"/>
      <c r="AI25" s="585"/>
    </row>
    <row r="26" ht="30" customHeight="1">
      <c r="A26" s="1039"/>
      <c r="B26" s="753"/>
      <c r="C26" t="s" s="754">
        <f>IF(LEFT(RIGHT($B$1,2),1)=" ",RIGHT($B$1,1),RIGHT($B$1,2))</f>
        <v>260</v>
      </c>
      <c r="D26" s="755">
        <f>IF(LEFT(F26,5)="Bonne",D24+1,D25)</f>
        <v>1</v>
      </c>
      <c r="E26" s="768"/>
      <c r="F26" t="s" s="769">
        <v>1835</v>
      </c>
      <c r="G26" t="s" s="770">
        <f>VLOOKUP(E28,'BDD'!$A$2:$N$567,7,FALSE)</f>
        <v>2455</v>
      </c>
      <c r="H26" s="771"/>
      <c r="I26" s="771"/>
      <c r="J26" s="771"/>
      <c r="K26" s="771"/>
      <c r="L26" s="772"/>
      <c r="M26" s="773"/>
      <c r="N26" s="774"/>
      <c r="O26" s="775"/>
      <c r="P26" s="775"/>
      <c r="Q26" s="775"/>
      <c r="R26" s="775"/>
      <c r="S26" s="776"/>
      <c r="T26" s="776"/>
      <c r="U26" s="776"/>
      <c r="V26" s="777"/>
      <c r="W26" s="789">
        <f>_xlfn.IFERROR(IF(N26='Suppl'!$E$65,0,IF(N26='Suppl'!$E$66,1/2/(_xlfn.COUNTIFS($N1:$N100,"Exigences"&amp;"*")+_xlfn.COUNTIFS($N1:$N100,"Non"&amp;"*")),IF(N26='Suppl'!$E$67,1/(_xlfn.COUNTIFS($N1:$N100,"Exigences"&amp;"*")+_xlfn.COUNTIFS($N1:$N100,"Non"&amp;"*")),0))),0)</f>
        <v>0</v>
      </c>
      <c r="X26" s="586"/>
      <c r="Y26" s="586"/>
      <c r="Z26" s="586"/>
      <c r="AA26" s="586"/>
      <c r="AB26" s="586"/>
      <c r="AC26" s="586"/>
      <c r="AD26" s="586"/>
      <c r="AE26" s="586"/>
      <c r="AF26" s="586"/>
      <c r="AG26" s="586"/>
      <c r="AH26" s="1040"/>
      <c r="AI26" s="585"/>
    </row>
    <row r="27" ht="41.4" customHeight="1">
      <c r="A27" s="1039"/>
      <c r="B27" s="753"/>
      <c r="C27" t="s" s="754">
        <f>IF(LEFT(RIGHT($B$1,2),1)=" ",RIGHT($B$1,1),RIGHT($B$1,2))</f>
        <v>260</v>
      </c>
      <c r="D27" s="755">
        <f>IF(LEFT(F27,5)="Bonne",D25+1,D26)</f>
        <v>1</v>
      </c>
      <c r="E27" t="s" s="778">
        <f>C27&amp;D27&amp;RIGHT(F27,1)</f>
        <v>2421</v>
      </c>
      <c r="F27" t="s" s="779">
        <v>1769</v>
      </c>
      <c r="G27" t="s" s="780">
        <f>VLOOKUP(E27,'BDD'!$A$2:$N$567,MATCH(G$24,'BDD'!$A$1:$P$1,0),FALSE)</f>
        <v>1321</v>
      </c>
      <c r="H27" t="s" s="799">
        <f>IF(VLOOKUP($E27,'BDD'!$A$2:$N$567,MATCH($H$23,'BDD'!$A$1:$P$1,0),FALSE)=H$24,H$24,"")</f>
        <v>1966</v>
      </c>
      <c r="I27" t="s" s="792">
        <f>IF(VLOOKUP($E27,'BDD'!$A$2:$N$567,MATCH($H$23,'BDD'!$A$1:$P$1,0),FALSE)=I$24,I$24,"")</f>
      </c>
      <c r="J27" t="s" s="792">
        <f>IF(VLOOKUP($E27,'BDD'!$A$2:$N$567,MATCH($H$23,'BDD'!$A$1:$P$1,0),FALSE)=J$24,J$24,"")</f>
      </c>
      <c r="K27" t="s" s="792">
        <f>IF(VLOOKUP($E27,'BDD'!$A$2:$N$567,MATCH($H$23,'BDD'!$A$1:$P$1,0),FALSE)=K$24,K$24,"")</f>
      </c>
      <c r="L27" t="s" s="783">
        <f>IF(VLOOKUP($E27,'BDD'!$A$2:$N$567,MATCH($H$23,'BDD'!$A$1:$P$1,0),FALSE)=L$24,L$24,"")</f>
      </c>
      <c r="M27" s="784">
        <f>IF(N27="Exigences partiellement respectées",1,IF(N27="Exigences respectées",2,0))</f>
        <v>0</v>
      </c>
      <c r="N27" t="s" s="780">
        <f>VLOOKUP(VLOOKUP(E27,'BDD'!$A$2:$P$550,15,FALSE),'Suppl'!$D$64:$E$68,2,FALSE)</f>
        <v>1751</v>
      </c>
      <c r="O27" s="785"/>
      <c r="P27" s="786"/>
      <c r="Q27" s="786"/>
      <c r="R27" s="786"/>
      <c r="S27" s="787">
        <f>IF(N27='Suppl'!$E$65,0,IF(N27='Suppl'!$E$66,1/2/(_xlfn.COUNTIFS($D1:$D100,D27,$N1:$N100,"Exigences"&amp;"*",G1:G100,"&lt;&gt;0")+_xlfn.COUNTIFS($D1:$D100,D27,$N1:$N100,"Non"&amp;"*",G1:G100,"&lt;&gt;0")),IF(N27='Suppl'!$E$67,1/(_xlfn.COUNTIFS($D1:$D100,D27,$N1:$N100,"Exigences"&amp;"*",G1:G100,"&lt;&gt;0")+_xlfn.COUNTIFS($D1:$D100,D27,$N1:$N100,"Non"&amp;"*",G1:G100,"&lt;&gt;0")),0)))</f>
        <v>0</v>
      </c>
      <c r="T27" s="787"/>
      <c r="U27" s="787"/>
      <c r="V27" s="788"/>
      <c r="W27" s="789">
        <f>_xlfn.IFERROR(IF(N27='Suppl'!$E$65,0,IF(N27='Suppl'!$E$66,1/2/(_xlfn.COUNTIFS($N1:$N100,"Exigences"&amp;"*")+_xlfn.COUNTIFS($N1:$N100,"Non"&amp;"*")),IF(N27='Suppl'!$E$67,1/(_xlfn.COUNTIFS($N1:$N100,"Exigences"&amp;"*")+_xlfn.COUNTIFS($N1:$N100,"Non"&amp;"*")),0))),0)</f>
        <v>0</v>
      </c>
      <c r="X27" s="586"/>
      <c r="Y27" s="586"/>
      <c r="Z27" s="586"/>
      <c r="AA27" s="586"/>
      <c r="AB27" s="586"/>
      <c r="AC27" s="586"/>
      <c r="AD27" s="586"/>
      <c r="AE27" s="586"/>
      <c r="AF27" s="586"/>
      <c r="AG27" s="586"/>
      <c r="AH27" s="1040"/>
      <c r="AI27" s="585"/>
    </row>
    <row r="28" ht="30" customHeight="1">
      <c r="A28" s="1039"/>
      <c r="B28" s="753"/>
      <c r="C28" t="s" s="754">
        <f>IF(LEFT(RIGHT($B$1,2),1)=" ",RIGHT($B$1,1),RIGHT($B$1,2))</f>
        <v>260</v>
      </c>
      <c r="D28" s="755">
        <f>IF(LEFT(F28,5)="Bonne",D26+1,D27)</f>
        <v>1</v>
      </c>
      <c r="E28" t="s" s="778">
        <f>C28&amp;D28&amp;RIGHT(F28,1)</f>
        <v>2422</v>
      </c>
      <c r="F28" t="s" s="790">
        <v>1837</v>
      </c>
      <c r="G28" t="s" s="791">
        <f>VLOOKUP(E28,'BDD'!$A$2:$N$567,MATCH(G$24,'BDD'!$A$1:$P$1,0),FALSE)</f>
        <v>1326</v>
      </c>
      <c r="H28" t="s" s="799">
        <f>IF(VLOOKUP($E28,'BDD'!$A$2:$N$567,MATCH($H$23,'BDD'!$A$1:$P$1,0),FALSE)=H$24,H$24,"")</f>
      </c>
      <c r="I28" t="s" s="792">
        <f>IF(VLOOKUP($E28,'BDD'!$A$2:$N$567,MATCH($H$23,'BDD'!$A$1:$P$1,0),FALSE)=I$24,I$24,"")</f>
      </c>
      <c r="J28" t="s" s="792">
        <f>IF(VLOOKUP($E28,'BDD'!$A$2:$N$567,MATCH($H$23,'BDD'!$A$1:$P$1,0),FALSE)=J$24,J$24,"")</f>
        <v>1967</v>
      </c>
      <c r="K28" t="s" s="792">
        <f>IF(VLOOKUP($E28,'BDD'!$A$2:$N$567,MATCH($H$23,'BDD'!$A$1:$P$1,0),FALSE)=K$24,K$24,"")</f>
      </c>
      <c r="L28" t="s" s="783">
        <f>IF(VLOOKUP($E28,'BDD'!$A$2:$N$567,MATCH($H$23,'BDD'!$A$1:$P$1,0),FALSE)=L$24,L$24,"")</f>
      </c>
      <c r="M28" s="800">
        <f>IF(N28="Exigences partiellement respectées",1,IF(N28="Exigences respectées",2,0))</f>
        <v>0</v>
      </c>
      <c r="N28" t="s" s="791">
        <f>VLOOKUP(VLOOKUP(E28,'BDD'!$A$2:$P$550,15,FALSE),'Suppl'!$D$64:$E$68,2,FALSE)</f>
        <v>1751</v>
      </c>
      <c r="O28" s="801"/>
      <c r="P28" s="802"/>
      <c r="Q28" s="802"/>
      <c r="R28" s="802"/>
      <c r="S28" s="803">
        <f>IF(N28='Suppl'!$E$65,0,IF(N28='Suppl'!$E$66,1/2/(_xlfn.COUNTIFS($D1:$D100,D28,$N1:$N100,"Exigences"&amp;"*",G1:G100,"&lt;&gt;0")+_xlfn.COUNTIFS($D1:$D100,D28,$N1:$N100,"Non"&amp;"*",G1:G100,"&lt;&gt;0")),IF(N28='Suppl'!$E$67,1/(_xlfn.COUNTIFS($D1:$D100,D28,$N1:$N100,"Exigences"&amp;"*",G1:G100,"&lt;&gt;0")+_xlfn.COUNTIFS($D1:$D100,D28,$N1:$N100,"Non"&amp;"*",G1:G100,"&lt;&gt;0")),0)))</f>
        <v>0</v>
      </c>
      <c r="T28" s="803"/>
      <c r="U28" s="803"/>
      <c r="V28" s="804"/>
      <c r="W28" s="789">
        <f>_xlfn.IFERROR(IF(N28='Suppl'!$E$65,0,IF(N28='Suppl'!$E$66,1/2/(_xlfn.COUNTIFS($N1:$N100,"Exigences"&amp;"*")+_xlfn.COUNTIFS($N1:$N100,"Non"&amp;"*")),IF(N28='Suppl'!$E$67,1/(_xlfn.COUNTIFS($N1:$N100,"Exigences"&amp;"*")+_xlfn.COUNTIFS($N1:$N100,"Non"&amp;"*")),0))),0)</f>
        <v>0</v>
      </c>
      <c r="X28" s="586"/>
      <c r="Y28" s="586"/>
      <c r="Z28" s="586"/>
      <c r="AA28" s="586"/>
      <c r="AB28" s="586"/>
      <c r="AC28" s="586"/>
      <c r="AD28" s="586"/>
      <c r="AE28" s="586"/>
      <c r="AF28" s="586"/>
      <c r="AG28" s="586"/>
      <c r="AH28" s="1040"/>
      <c r="AI28" s="585"/>
    </row>
    <row r="29" ht="30" customHeight="1">
      <c r="A29" s="1039"/>
      <c r="B29" s="753"/>
      <c r="C29" t="s" s="754">
        <f>IF(LEFT(RIGHT($B$1,2),1)=" ",RIGHT($B$1,1),RIGHT($B$1,2))</f>
        <v>260</v>
      </c>
      <c r="D29" s="755">
        <f>IF(LEFT(F29,5)="Bonne",D27+1,D28)</f>
        <v>2</v>
      </c>
      <c r="E29" t="s" s="778">
        <f>C29&amp;D29&amp;RIGHT(F29,1)</f>
        <v>2428</v>
      </c>
      <c r="F29" t="s" s="757">
        <v>1785</v>
      </c>
      <c r="G29" t="s" s="758">
        <f>VLOOKUP(E31,'BDD'!$A$2:$N$567,6,FALSE)</f>
        <v>1341</v>
      </c>
      <c r="H29" t="s" s="805">
        <f>VLOOKUP(E31,'BDD'!$A$2:$N$567,6,FALSE)</f>
        <v>1341</v>
      </c>
      <c r="I29" s="760"/>
      <c r="J29" s="760"/>
      <c r="K29" s="760"/>
      <c r="L29" s="761"/>
      <c r="M29" s="762"/>
      <c r="N29" s="763"/>
      <c r="O29" s="764">
        <v>0</v>
      </c>
      <c r="P29" s="764"/>
      <c r="Q29" s="764"/>
      <c r="R29" s="764"/>
      <c r="S29" s="765">
        <f>_xlfn.SUMIFS(S1:S100,$D1:$D100,D29,$N1:$N100,"Exigences"&amp;"*")</f>
      </c>
      <c r="T29" s="765"/>
      <c r="U29" s="765"/>
      <c r="V29" s="766"/>
      <c r="W29" s="789">
        <f>_xlfn.IFERROR(IF(N29='Suppl'!$E$65,0,IF(N29='Suppl'!$E$66,1/2/(_xlfn.COUNTIFS($N1:$N100,"Exigences"&amp;"*")+_xlfn.COUNTIFS($N1:$N100,"Non"&amp;"*")),IF(N29='Suppl'!$E$67,1/(_xlfn.COUNTIFS($N1:$N100,"Exigences"&amp;"*")+_xlfn.COUNTIFS($N1:$N100,"Non"&amp;"*")),0))),0)</f>
        <v>0</v>
      </c>
      <c r="X29" s="586"/>
      <c r="Y29" s="586"/>
      <c r="Z29" s="586"/>
      <c r="AA29" s="586"/>
      <c r="AB29" s="586"/>
      <c r="AC29" s="586"/>
      <c r="AD29" s="586"/>
      <c r="AE29" s="586"/>
      <c r="AF29" s="586"/>
      <c r="AG29" s="586"/>
      <c r="AH29" s="1040"/>
      <c r="AI29" s="585"/>
    </row>
    <row r="30" ht="30" customHeight="1">
      <c r="A30" s="1039"/>
      <c r="B30" s="753"/>
      <c r="C30" t="s" s="754">
        <f>IF(LEFT(RIGHT($B$1,2),1)=" ",RIGHT($B$1,1),RIGHT($B$1,2))</f>
        <v>260</v>
      </c>
      <c r="D30" s="755">
        <f>IF(LEFT(F30,5)="Bonne",D28+1,D29)</f>
        <v>2</v>
      </c>
      <c r="E30" t="s" s="778">
        <f>C30&amp;D30&amp;RIGHT(F30,1)</f>
        <v>2429</v>
      </c>
      <c r="F30" t="s" s="769">
        <v>1835</v>
      </c>
      <c r="G30" t="s" s="770">
        <f>VLOOKUP(E32,'BDD'!$A$2:$N$567,7,FALSE)</f>
        <v>2456</v>
      </c>
      <c r="H30" s="771"/>
      <c r="I30" s="771"/>
      <c r="J30" s="771"/>
      <c r="K30" s="771"/>
      <c r="L30" s="772"/>
      <c r="M30" s="773"/>
      <c r="N30" s="774"/>
      <c r="O30" s="775"/>
      <c r="P30" s="775"/>
      <c r="Q30" s="775"/>
      <c r="R30" s="775"/>
      <c r="S30" s="776"/>
      <c r="T30" s="776"/>
      <c r="U30" s="776"/>
      <c r="V30" s="777"/>
      <c r="W30" s="789">
        <f>_xlfn.IFERROR(IF(N30='Suppl'!$E$65,0,IF(N30='Suppl'!$E$66,1/2/(_xlfn.COUNTIFS($N1:$N100,"Exigences"&amp;"*")+_xlfn.COUNTIFS($N1:$N100,"Non"&amp;"*")),IF(N30='Suppl'!$E$67,1/(_xlfn.COUNTIFS($N1:$N100,"Exigences"&amp;"*")+_xlfn.COUNTIFS($N1:$N100,"Non"&amp;"*")),0))),0)</f>
        <v>0</v>
      </c>
      <c r="X30" s="586"/>
      <c r="Y30" s="586"/>
      <c r="Z30" s="586"/>
      <c r="AA30" s="586"/>
      <c r="AB30" s="586"/>
      <c r="AC30" s="586"/>
      <c r="AD30" s="586"/>
      <c r="AE30" s="586"/>
      <c r="AF30" s="586"/>
      <c r="AG30" s="586"/>
      <c r="AH30" s="1040"/>
      <c r="AI30" s="585"/>
    </row>
    <row r="31" ht="30" customHeight="1">
      <c r="A31" s="1039"/>
      <c r="B31" s="753"/>
      <c r="C31" t="s" s="754">
        <f>IF(LEFT(RIGHT($B$1,2),1)=" ",RIGHT($B$1,1),RIGHT($B$1,2))</f>
        <v>260</v>
      </c>
      <c r="D31" s="755">
        <f>IF(LEFT(F31,5)="Bonne",D29+1,D30)</f>
        <v>2</v>
      </c>
      <c r="E31" t="s" s="778">
        <f>C31&amp;D31&amp;RIGHT(F31,1)</f>
        <v>2429</v>
      </c>
      <c r="F31" t="s" s="779">
        <v>1769</v>
      </c>
      <c r="G31" t="s" s="780">
        <f>VLOOKUP(E31,'BDD'!$A$2:$N$567,MATCH(G$24,'BDD'!$A$1:$P$1,0),FALSE)</f>
        <v>1343</v>
      </c>
      <c r="H31" t="s" s="799">
        <f>IF(VLOOKUP($E31,'BDD'!$A$2:$N$567,MATCH($H$23,'BDD'!$A$1:$P$1,0),FALSE)=H$24,H$24,"")</f>
      </c>
      <c r="I31" t="s" s="792">
        <f>IF(VLOOKUP($E31,'BDD'!$A$2:$N$567,MATCH($H$23,'BDD'!$A$1:$P$1,0),FALSE)=I$24,I$24,"")</f>
        <v>1969</v>
      </c>
      <c r="J31" t="s" s="792">
        <f>IF(VLOOKUP($E31,'BDD'!$A$2:$N$567,MATCH($H$23,'BDD'!$A$1:$P$1,0),FALSE)=J$24,J$24,"")</f>
      </c>
      <c r="K31" t="s" s="792">
        <f>IF(VLOOKUP($E31,'BDD'!$A$2:$N$567,MATCH($H$23,'BDD'!$A$1:$P$1,0),FALSE)=K$24,K$24,"")</f>
      </c>
      <c r="L31" t="s" s="783">
        <f>IF(VLOOKUP($E31,'BDD'!$A$2:$N$567,MATCH($H$23,'BDD'!$A$1:$P$1,0),FALSE)=L$24,L$24,"")</f>
      </c>
      <c r="M31" s="784">
        <f>IF(N31="Exigences partiellement respectées",1,IF(N31="Exigences respectées",2,0))</f>
        <v>0</v>
      </c>
      <c r="N31" t="s" s="780">
        <f>VLOOKUP(VLOOKUP(E31,'BDD'!$A$2:$P$550,15,FALSE),'Suppl'!$D$64:$E$68,2,FALSE)</f>
        <v>1751</v>
      </c>
      <c r="O31" s="785"/>
      <c r="P31" s="786"/>
      <c r="Q31" s="786"/>
      <c r="R31" s="786"/>
      <c r="S31" s="787">
        <f>IF(N31='Suppl'!$E$65,0,IF(N31='Suppl'!$E$66,1/2/(_xlfn.COUNTIFS($D1:$D100,D31,$N1:$N100,"Exigences"&amp;"*",G1:G100,"&lt;&gt;0")+_xlfn.COUNTIFS($D1:$D100,D31,$N1:$N100,"Non"&amp;"*",G1:G100,"&lt;&gt;0")),IF(N31='Suppl'!$E$67,1/(_xlfn.COUNTIFS($D1:$D100,D31,$N1:$N100,"Exigences"&amp;"*",G1:G100,"&lt;&gt;0")+_xlfn.COUNTIFS($D1:$D100,D31,$N1:$N100,"Non"&amp;"*",G1:G100,"&lt;&gt;0")),0)))</f>
        <v>0</v>
      </c>
      <c r="T31" s="787"/>
      <c r="U31" s="787"/>
      <c r="V31" s="788"/>
      <c r="W31" s="789">
        <f>_xlfn.IFERROR(IF(N31='Suppl'!$E$65,0,IF(N31='Suppl'!$E$66,1/2/(_xlfn.COUNTIFS($N1:$N100,"Exigences"&amp;"*")+_xlfn.COUNTIFS($N1:$N100,"Non"&amp;"*")),IF(N31='Suppl'!$E$67,1/(_xlfn.COUNTIFS($N1:$N100,"Exigences"&amp;"*")+_xlfn.COUNTIFS($N1:$N100,"Non"&amp;"*")),0))),0)</f>
        <v>0</v>
      </c>
      <c r="X31" s="586"/>
      <c r="Y31" s="586"/>
      <c r="Z31" s="586"/>
      <c r="AA31" s="586"/>
      <c r="AB31" s="586"/>
      <c r="AC31" s="586"/>
      <c r="AD31" s="586"/>
      <c r="AE31" s="586"/>
      <c r="AF31" s="586"/>
      <c r="AG31" s="586"/>
      <c r="AH31" s="1040"/>
      <c r="AI31" s="585"/>
    </row>
    <row r="32" ht="30" customHeight="1">
      <c r="A32" s="1039"/>
      <c r="B32" s="753"/>
      <c r="C32" t="s" s="754">
        <f>IF(LEFT(RIGHT($B$1,2),1)=" ",RIGHT($B$1,1),RIGHT($B$1,2))</f>
        <v>260</v>
      </c>
      <c r="D32" s="755">
        <f>IF(LEFT(F32,5)="Bonne",D30+1,D31)</f>
        <v>2</v>
      </c>
      <c r="E32" t="s" s="778">
        <f>C32&amp;D32&amp;RIGHT(F32,1)</f>
        <v>2428</v>
      </c>
      <c r="F32" t="s" s="790">
        <v>1837</v>
      </c>
      <c r="G32" t="s" s="791">
        <f>VLOOKUP(E32,'BDD'!$A$2:$N$567,MATCH(G$24,'BDD'!$A$1:$P$1,0),FALSE)</f>
        <v>1346</v>
      </c>
      <c r="H32" t="s" s="799">
        <f>IF(VLOOKUP($E32,'BDD'!$A$2:$N$567,MATCH($H$23,'BDD'!$A$1:$P$1,0),FALSE)=H$24,H$24,"")</f>
        <v>1966</v>
      </c>
      <c r="I32" t="s" s="792">
        <f>IF(VLOOKUP($E32,'BDD'!$A$2:$N$567,MATCH($H$23,'BDD'!$A$1:$P$1,0),FALSE)=I$24,I$24,"")</f>
      </c>
      <c r="J32" t="s" s="792">
        <f>IF(VLOOKUP($E32,'BDD'!$A$2:$N$567,MATCH($H$23,'BDD'!$A$1:$P$1,0),FALSE)=J$24,J$24,"")</f>
      </c>
      <c r="K32" t="s" s="792">
        <f>IF(VLOOKUP($E32,'BDD'!$A$2:$N$567,MATCH($H$23,'BDD'!$A$1:$P$1,0),FALSE)=K$24,K$24,"")</f>
      </c>
      <c r="L32" t="s" s="783">
        <f>IF(VLOOKUP($E32,'BDD'!$A$2:$N$567,MATCH($H$23,'BDD'!$A$1:$P$1,0),FALSE)=L$24,L$24,"")</f>
      </c>
      <c r="M32" s="794">
        <f>IF(N32="Exigences partiellement respectées",1,IF(N32="Exigences respectées",2,0))</f>
        <v>0</v>
      </c>
      <c r="N32" t="s" s="791">
        <f>VLOOKUP(VLOOKUP(E32,'BDD'!$A$2:$P$550,15,FALSE),'Suppl'!$D$64:$E$68,2,FALSE)</f>
        <v>1751</v>
      </c>
      <c r="O32" s="795"/>
      <c r="P32" s="796"/>
      <c r="Q32" s="796"/>
      <c r="R32" s="796"/>
      <c r="S32" s="797">
        <f>IF(N32='Suppl'!$E$65,0,IF(N32='Suppl'!$E$66,1/2/(_xlfn.COUNTIFS($D1:$D100,D32,$N1:$N100,"Exigences"&amp;"*",G1:G100,"&lt;&gt;0")+_xlfn.COUNTIFS($D1:$D100,D32,$N1:$N100,"Non"&amp;"*",G1:G100,"&lt;&gt;0")),IF(N32='Suppl'!$E$67,1/(_xlfn.COUNTIFS($D1:$D100,D32,$N1:$N100,"Exigences"&amp;"*",G1:G100,"&lt;&gt;0")+_xlfn.COUNTIFS($D1:$D100,D32,$N1:$N100,"Non"&amp;"*",G1:G100,"&lt;&gt;0")),0)))</f>
        <v>0</v>
      </c>
      <c r="T32" s="797"/>
      <c r="U32" s="797"/>
      <c r="V32" s="798"/>
      <c r="W32" s="789">
        <f>_xlfn.IFERROR(IF(N32='Suppl'!$E$65,0,IF(N32='Suppl'!$E$66,1/2/(_xlfn.COUNTIFS($N1:$N100,"Exigences"&amp;"*")+_xlfn.COUNTIFS($N1:$N100,"Non"&amp;"*")),IF(N32='Suppl'!$E$67,1/(_xlfn.COUNTIFS($N1:$N100,"Exigences"&amp;"*")+_xlfn.COUNTIFS($N1:$N100,"Non"&amp;"*")),0))),0)</f>
        <v>0</v>
      </c>
      <c r="X32" s="586"/>
      <c r="Y32" s="586"/>
      <c r="Z32" s="586"/>
      <c r="AA32" s="586"/>
      <c r="AB32" s="586"/>
      <c r="AC32" s="586"/>
      <c r="AD32" s="586"/>
      <c r="AE32" s="586"/>
      <c r="AF32" s="586"/>
      <c r="AG32" s="586"/>
      <c r="AH32" s="1040"/>
      <c r="AI32" s="585"/>
    </row>
    <row r="33" ht="30" customHeight="1">
      <c r="A33" s="1039"/>
      <c r="B33" s="753"/>
      <c r="C33" t="s" s="754">
        <f>IF(LEFT(RIGHT($B$1,2),1)=" ",RIGHT($B$1,1),RIGHT($B$1,2))</f>
        <v>260</v>
      </c>
      <c r="D33" s="755">
        <f>IF(LEFT(F33,5)="Bonne",D31+1,D32)</f>
        <v>2</v>
      </c>
      <c r="E33" t="s" s="778">
        <f>C33&amp;D33&amp;RIGHT(F33,1)</f>
        <v>2430</v>
      </c>
      <c r="F33" t="s" s="779">
        <v>1774</v>
      </c>
      <c r="G33" t="s" s="780">
        <f>VLOOKUP(E33,'BDD'!$A$2:$N$567,MATCH(G$24,'BDD'!$A$1:$P$1,0),FALSE)</f>
        <v>1349</v>
      </c>
      <c r="H33" t="s" s="799">
        <f>IF(VLOOKUP($E33,'BDD'!$A$2:$N$567,MATCH($H$23,'BDD'!$A$1:$P$1,0),FALSE)=H$24,H$24,"")</f>
        <v>1966</v>
      </c>
      <c r="I33" t="s" s="792">
        <f>IF(VLOOKUP($E33,'BDD'!$A$2:$N$567,MATCH($H$23,'BDD'!$A$1:$P$1,0),FALSE)=I$24,I$24,"")</f>
      </c>
      <c r="J33" t="s" s="792">
        <f>IF(VLOOKUP($E33,'BDD'!$A$2:$N$567,MATCH($H$23,'BDD'!$A$1:$P$1,0),FALSE)=J$24,J$24,"")</f>
      </c>
      <c r="K33" t="s" s="792">
        <f>IF(VLOOKUP($E33,'BDD'!$A$2:$N$567,MATCH($H$23,'BDD'!$A$1:$P$1,0),FALSE)=K$24,K$24,"")</f>
      </c>
      <c r="L33" t="s" s="783">
        <f>IF(VLOOKUP($E33,'BDD'!$A$2:$N$567,MATCH($H$23,'BDD'!$A$1:$P$1,0),FALSE)=L$24,L$24,"")</f>
      </c>
      <c r="M33" s="794">
        <f>IF(N33="Exigences partiellement respectées",1,IF(N33="Exigences respectées",2,0))</f>
        <v>0</v>
      </c>
      <c r="N33" t="s" s="780">
        <f>VLOOKUP(VLOOKUP(E33,'BDD'!$A$2:$P$550,15,FALSE),'Suppl'!$D$64:$E$68,2,FALSE)</f>
        <v>1751</v>
      </c>
      <c r="O33" s="795"/>
      <c r="P33" s="796"/>
      <c r="Q33" s="796"/>
      <c r="R33" s="796"/>
      <c r="S33" s="797">
        <f>IF(N33='Suppl'!$E$65,0,IF(N33='Suppl'!$E$66,1/2/(_xlfn.COUNTIFS($D1:$D100,D33,$N1:$N100,"Exigences"&amp;"*",G1:G100,"&lt;&gt;0")+_xlfn.COUNTIFS($D1:$D100,D33,$N1:$N100,"Non"&amp;"*",G1:G100,"&lt;&gt;0")),IF(N33='Suppl'!$E$67,1/(_xlfn.COUNTIFS($D1:$D100,D33,$N1:$N100,"Exigences"&amp;"*",G1:G100,"&lt;&gt;0")+_xlfn.COUNTIFS($D1:$D100,D33,$N1:$N100,"Non"&amp;"*",G1:G100,"&lt;&gt;0")),0)))</f>
        <v>0</v>
      </c>
      <c r="T33" s="797"/>
      <c r="U33" s="797"/>
      <c r="V33" s="798"/>
      <c r="W33" s="789">
        <f>_xlfn.IFERROR(IF(N33='Suppl'!$E$65,0,IF(N33='Suppl'!$E$66,1/2/(_xlfn.COUNTIFS($N1:$N100,"Exigences"&amp;"*")+_xlfn.COUNTIFS($N1:$N100,"Non"&amp;"*")),IF(N33='Suppl'!$E$67,1/(_xlfn.COUNTIFS($N1:$N100,"Exigences"&amp;"*")+_xlfn.COUNTIFS($N1:$N100,"Non"&amp;"*")),0))),0)</f>
        <v>0</v>
      </c>
      <c r="X33" s="586"/>
      <c r="Y33" s="586"/>
      <c r="Z33" s="586"/>
      <c r="AA33" s="586"/>
      <c r="AB33" s="586"/>
      <c r="AC33" s="586"/>
      <c r="AD33" s="586"/>
      <c r="AE33" s="586"/>
      <c r="AF33" s="586"/>
      <c r="AG33" s="586"/>
      <c r="AH33" s="1040"/>
      <c r="AI33" s="585"/>
    </row>
    <row r="34" ht="30" customHeight="1">
      <c r="A34" s="1039"/>
      <c r="B34" s="753"/>
      <c r="C34" t="s" s="754">
        <f>IF(LEFT(RIGHT($B$1,2),1)=" ",RIGHT($B$1,1),RIGHT($B$1,2))</f>
        <v>260</v>
      </c>
      <c r="D34" s="755">
        <f>IF(LEFT(F34,5)="Bonne",D32+1,D33)</f>
        <v>2</v>
      </c>
      <c r="E34" t="s" s="778">
        <f>C34&amp;D34&amp;RIGHT(F34,1)</f>
        <v>2431</v>
      </c>
      <c r="F34" t="s" s="790">
        <v>1776</v>
      </c>
      <c r="G34" t="s" s="791">
        <f>VLOOKUP(E34,'BDD'!$A$2:$N$567,MATCH(G$24,'BDD'!$A$1:$P$1,0),FALSE)</f>
        <v>1352</v>
      </c>
      <c r="H34" t="s" s="799">
        <f>IF(VLOOKUP($E34,'BDD'!$A$2:$N$567,MATCH($H$23,'BDD'!$A$1:$P$1,0),FALSE)=H$24,H$24,"")</f>
      </c>
      <c r="I34" t="s" s="792">
        <f>IF(VLOOKUP($E34,'BDD'!$A$2:$N$567,MATCH($H$23,'BDD'!$A$1:$P$1,0),FALSE)=I$24,I$24,"")</f>
      </c>
      <c r="J34" t="s" s="792">
        <f>IF(VLOOKUP($E34,'BDD'!$A$2:$N$567,MATCH($H$23,'BDD'!$A$1:$P$1,0),FALSE)=J$24,J$24,"")</f>
        <v>1967</v>
      </c>
      <c r="K34" t="s" s="792">
        <f>IF(VLOOKUP($E34,'BDD'!$A$2:$N$567,MATCH($H$23,'BDD'!$A$1:$P$1,0),FALSE)=K$24,K$24,"")</f>
      </c>
      <c r="L34" t="s" s="783">
        <f>IF(VLOOKUP($E34,'BDD'!$A$2:$N$567,MATCH($H$23,'BDD'!$A$1:$P$1,0),FALSE)=L$24,L$24,"")</f>
      </c>
      <c r="M34" s="794">
        <f>IF(N34="Exigences partiellement respectées",1,IF(N34="Exigences respectées",2,0))</f>
        <v>0</v>
      </c>
      <c r="N34" t="s" s="791">
        <f>VLOOKUP(VLOOKUP(E34,'BDD'!$A$2:$P$550,15,FALSE),'Suppl'!$D$64:$E$68,2,FALSE)</f>
        <v>1751</v>
      </c>
      <c r="O34" s="795"/>
      <c r="P34" s="796"/>
      <c r="Q34" s="796"/>
      <c r="R34" s="796"/>
      <c r="S34" s="797">
        <f>IF(N34='Suppl'!$E$65,0,IF(N34='Suppl'!$E$66,1/2/(_xlfn.COUNTIFS($D1:$D100,D34,$N1:$N100,"Exigences"&amp;"*",G1:G100,"&lt;&gt;0")+_xlfn.COUNTIFS($D1:$D100,D34,$N1:$N100,"Non"&amp;"*",G1:G100,"&lt;&gt;0")),IF(N34='Suppl'!$E$67,1/(_xlfn.COUNTIFS($D1:$D100,D34,$N1:$N100,"Exigences"&amp;"*",G1:G100,"&lt;&gt;0")+_xlfn.COUNTIFS($D1:$D100,D34,$N1:$N100,"Non"&amp;"*",G1:G100,"&lt;&gt;0")),0)))</f>
        <v>0</v>
      </c>
      <c r="T34" s="797"/>
      <c r="U34" s="797"/>
      <c r="V34" s="798"/>
      <c r="W34" s="789">
        <f>_xlfn.IFERROR(IF(N34='Suppl'!$E$65,0,IF(N34='Suppl'!$E$66,1/2/(_xlfn.COUNTIFS($N1:$N100,"Exigences"&amp;"*")+_xlfn.COUNTIFS($N1:$N100,"Non"&amp;"*")),IF(N34='Suppl'!$E$67,1/(_xlfn.COUNTIFS($N1:$N100,"Exigences"&amp;"*")+_xlfn.COUNTIFS($N1:$N100,"Non"&amp;"*")),0))),0)</f>
        <v>0</v>
      </c>
      <c r="X34" s="586"/>
      <c r="Y34" s="586"/>
      <c r="Z34" s="586"/>
      <c r="AA34" s="586"/>
      <c r="AB34" s="586"/>
      <c r="AC34" s="586"/>
      <c r="AD34" s="586"/>
      <c r="AE34" s="586"/>
      <c r="AF34" s="586"/>
      <c r="AG34" s="586"/>
      <c r="AH34" s="1040"/>
      <c r="AI34" s="585"/>
    </row>
    <row r="35" ht="30" customHeight="1">
      <c r="A35" s="1039"/>
      <c r="B35" s="753"/>
      <c r="C35" t="s" s="754">
        <f>IF(LEFT(RIGHT($B$1,2),1)=" ",RIGHT($B$1,1),RIGHT($B$1,2))</f>
        <v>260</v>
      </c>
      <c r="D35" s="755">
        <f>IF(LEFT(F35,5)="Bonne",D33+1,D34)</f>
        <v>2</v>
      </c>
      <c r="E35" t="s" s="778">
        <f>C35&amp;D35&amp;RIGHT(F35,1)</f>
        <v>2432</v>
      </c>
      <c r="F35" t="s" s="779">
        <v>1778</v>
      </c>
      <c r="G35" t="s" s="780">
        <f>VLOOKUP(E35,'BDD'!$A$2:$N$567,MATCH(G$24,'BDD'!$A$1:$P$1,0),FALSE)</f>
        <v>1355</v>
      </c>
      <c r="H35" t="s" s="799">
        <f>IF(VLOOKUP($E35,'BDD'!$A$2:$N$567,MATCH($H$23,'BDD'!$A$1:$P$1,0),FALSE)=H$24,H$24,"")</f>
      </c>
      <c r="I35" t="s" s="792">
        <f>IF(VLOOKUP($E35,'BDD'!$A$2:$N$567,MATCH($H$23,'BDD'!$A$1:$P$1,0),FALSE)=I$24,I$24,"")</f>
      </c>
      <c r="J35" t="s" s="792">
        <f>IF(VLOOKUP($E35,'BDD'!$A$2:$N$567,MATCH($H$23,'BDD'!$A$1:$P$1,0),FALSE)=J$24,J$24,"")</f>
        <v>1967</v>
      </c>
      <c r="K35" t="s" s="792">
        <f>IF(VLOOKUP($E35,'BDD'!$A$2:$N$567,MATCH($H$23,'BDD'!$A$1:$P$1,0),FALSE)=K$24,K$24,"")</f>
      </c>
      <c r="L35" t="s" s="783">
        <f>IF(VLOOKUP($E35,'BDD'!$A$2:$N$567,MATCH($H$23,'BDD'!$A$1:$P$1,0),FALSE)=L$24,L$24,"")</f>
      </c>
      <c r="M35" s="794">
        <f>IF(N35="Exigences partiellement respectées",1,IF(N35="Exigences respectées",2,0))</f>
        <v>0</v>
      </c>
      <c r="N35" t="s" s="780">
        <f>VLOOKUP(VLOOKUP(E35,'BDD'!$A$2:$P$550,15,FALSE),'Suppl'!$D$64:$E$68,2,FALSE)</f>
        <v>1751</v>
      </c>
      <c r="O35" s="795"/>
      <c r="P35" s="796"/>
      <c r="Q35" s="796"/>
      <c r="R35" s="796"/>
      <c r="S35" s="797">
        <f>IF(N35='Suppl'!$E$65,0,IF(N35='Suppl'!$E$66,1/2/(_xlfn.COUNTIFS($D1:$D100,D35,$N1:$N100,"Exigences"&amp;"*",G1:G100,"&lt;&gt;0")+_xlfn.COUNTIFS($D1:$D100,D35,$N1:$N100,"Non"&amp;"*",G1:G100,"&lt;&gt;0")),IF(N35='Suppl'!$E$67,1/(_xlfn.COUNTIFS($D1:$D100,D35,$N1:$N100,"Exigences"&amp;"*",G1:G100,"&lt;&gt;0")+_xlfn.COUNTIFS($D1:$D100,D35,$N1:$N100,"Non"&amp;"*",G1:G100,"&lt;&gt;0")),0)))</f>
        <v>0</v>
      </c>
      <c r="T35" s="797"/>
      <c r="U35" s="797"/>
      <c r="V35" s="798"/>
      <c r="W35" s="789">
        <f>_xlfn.IFERROR(IF(N35='Suppl'!$E$65,0,IF(N35='Suppl'!$E$66,1/2/(_xlfn.COUNTIFS($N1:$N100,"Exigences"&amp;"*")+_xlfn.COUNTIFS($N1:$N100,"Non"&amp;"*")),IF(N35='Suppl'!$E$67,1/(_xlfn.COUNTIFS($N1:$N100,"Exigences"&amp;"*")+_xlfn.COUNTIFS($N1:$N100,"Non"&amp;"*")),0))),0)</f>
        <v>0</v>
      </c>
      <c r="X35" s="586"/>
      <c r="Y35" s="586"/>
      <c r="Z35" s="586"/>
      <c r="AA35" s="586"/>
      <c r="AB35" s="586"/>
      <c r="AC35" s="586"/>
      <c r="AD35" s="586"/>
      <c r="AE35" s="586"/>
      <c r="AF35" s="586"/>
      <c r="AG35" s="586"/>
      <c r="AH35" s="1040"/>
      <c r="AI35" s="585"/>
    </row>
    <row r="36" ht="27.6" customHeight="1">
      <c r="A36" s="1039"/>
      <c r="B36" s="753"/>
      <c r="C36" t="s" s="754">
        <f>IF(LEFT(RIGHT($B$1,2),1)=" ",RIGHT($B$1,1),RIGHT($B$1,2))</f>
        <v>260</v>
      </c>
      <c r="D36" s="755">
        <f>IF(LEFT(F36,5)="Bonne",D34+1,D35)</f>
        <v>2</v>
      </c>
      <c r="E36" t="s" s="778">
        <f>C36&amp;D36&amp;RIGHT(F36,1)</f>
        <v>2433</v>
      </c>
      <c r="F36" t="s" s="790">
        <v>1780</v>
      </c>
      <c r="G36" t="s" s="791">
        <f>VLOOKUP(E36,'BDD'!$A$2:$N$567,MATCH(G$24,'BDD'!$A$1:$P$1,0),FALSE)</f>
        <v>1358</v>
      </c>
      <c r="H36" t="s" s="799">
        <f>IF(VLOOKUP($E36,'BDD'!$A$2:$N$567,MATCH($H$23,'BDD'!$A$1:$P$1,0),FALSE)=H$24,H$24,"")</f>
        <v>1966</v>
      </c>
      <c r="I36" t="s" s="792">
        <f>IF(VLOOKUP($E36,'BDD'!$A$2:$N$567,MATCH($H$23,'BDD'!$A$1:$P$1,0),FALSE)=I$24,I$24,"")</f>
      </c>
      <c r="J36" t="s" s="792">
        <f>IF(VLOOKUP($E36,'BDD'!$A$2:$N$567,MATCH($H$23,'BDD'!$A$1:$P$1,0),FALSE)=J$24,J$24,"")</f>
      </c>
      <c r="K36" t="s" s="792">
        <f>IF(VLOOKUP($E36,'BDD'!$A$2:$N$567,MATCH($H$23,'BDD'!$A$1:$P$1,0),FALSE)=K$24,K$24,"")</f>
      </c>
      <c r="L36" t="s" s="783">
        <f>IF(VLOOKUP($E36,'BDD'!$A$2:$N$567,MATCH($H$23,'BDD'!$A$1:$P$1,0),FALSE)=L$24,L$24,"")</f>
      </c>
      <c r="M36" s="800">
        <f>IF(N36="Exigences partiellement respectées",1,IF(N36="Exigences respectées",2,0))</f>
        <v>0</v>
      </c>
      <c r="N36" t="s" s="791">
        <f>VLOOKUP(VLOOKUP(E36,'BDD'!$A$2:$P$550,15,FALSE),'Suppl'!$D$64:$E$68,2,FALSE)</f>
        <v>1751</v>
      </c>
      <c r="O36" s="801"/>
      <c r="P36" s="802"/>
      <c r="Q36" s="802"/>
      <c r="R36" s="802"/>
      <c r="S36" s="803">
        <f>IF(N36='Suppl'!$E$65,0,IF(N36='Suppl'!$E$66,1/2/(_xlfn.COUNTIFS($D1:$D100,D36,$N1:$N100,"Exigences"&amp;"*",G1:G100,"&lt;&gt;0")+_xlfn.COUNTIFS($D1:$D100,D36,$N1:$N100,"Non"&amp;"*",G1:G100,"&lt;&gt;0")),IF(N36='Suppl'!$E$67,1/(_xlfn.COUNTIFS($D1:$D100,D36,$N1:$N100,"Exigences"&amp;"*",G1:G100,"&lt;&gt;0")+_xlfn.COUNTIFS($D1:$D100,D36,$N1:$N100,"Non"&amp;"*",G1:G100,"&lt;&gt;0")),0)))</f>
        <v>0</v>
      </c>
      <c r="T36" s="803"/>
      <c r="U36" s="803"/>
      <c r="V36" s="804"/>
      <c r="W36" s="789">
        <f>_xlfn.IFERROR(IF(N36='Suppl'!$E$65,0,IF(N36='Suppl'!$E$66,1/2/(_xlfn.COUNTIFS($N1:$N100,"Exigences"&amp;"*")+_xlfn.COUNTIFS($N1:$N100,"Non"&amp;"*")),IF(N36='Suppl'!$E$67,1/(_xlfn.COUNTIFS($N1:$N100,"Exigences"&amp;"*")+_xlfn.COUNTIFS($N1:$N100,"Non"&amp;"*")),0))),0)</f>
        <v>0</v>
      </c>
      <c r="X36" s="586"/>
      <c r="Y36" s="586"/>
      <c r="Z36" s="586"/>
      <c r="AA36" s="586"/>
      <c r="AB36" s="586"/>
      <c r="AC36" s="586"/>
      <c r="AD36" s="586"/>
      <c r="AE36" s="586"/>
      <c r="AF36" s="586"/>
      <c r="AG36" s="586"/>
      <c r="AH36" s="1040"/>
      <c r="AI36" s="585"/>
    </row>
    <row r="37" ht="15.6" customHeight="1">
      <c r="A37" s="1039"/>
      <c r="B37" s="753"/>
      <c r="C37" t="s" s="754">
        <f>IF(LEFT(RIGHT($B$1,2),1)=" ",RIGHT($B$1,1),RIGHT($B$1,2))</f>
        <v>260</v>
      </c>
      <c r="D37" s="755">
        <v>3</v>
      </c>
      <c r="E37" t="s" s="778">
        <f>C37&amp;D37&amp;RIGHT(F37,1)</f>
        <v>2435</v>
      </c>
      <c r="F37" t="s" s="757">
        <v>1797</v>
      </c>
      <c r="G37" t="s" s="758">
        <f>VLOOKUP(E39,'BDD'!$A$2:$N$567,6,FALSE)</f>
        <v>1360</v>
      </c>
      <c r="H37" s="759"/>
      <c r="I37" s="760"/>
      <c r="J37" s="760"/>
      <c r="K37" s="760"/>
      <c r="L37" s="761"/>
      <c r="M37" s="762"/>
      <c r="N37" s="763"/>
      <c r="O37" s="764">
        <v>0</v>
      </c>
      <c r="P37" s="764"/>
      <c r="Q37" s="764"/>
      <c r="R37" s="764"/>
      <c r="S37" s="765">
        <f>_xlfn.SUMIFS(S1:S100,$D1:$D100,D37,$N1:$N100,"Exigences"&amp;"*")</f>
      </c>
      <c r="T37" s="765"/>
      <c r="U37" s="765"/>
      <c r="V37" s="766"/>
      <c r="W37" s="789">
        <f>_xlfn.IFERROR(IF(N37='Suppl'!$E$65,0,IF(N37='Suppl'!$E$66,1/2/(_xlfn.COUNTIFS($N1:$N100,"Exigences"&amp;"*")+_xlfn.COUNTIFS($N1:$N100,"Non"&amp;"*")),IF(N37='Suppl'!$E$67,1/(_xlfn.COUNTIFS($N1:$N100,"Exigences"&amp;"*")+_xlfn.COUNTIFS($N1:$N100,"Non"&amp;"*")),0))),0)</f>
        <v>0</v>
      </c>
      <c r="X37" s="586"/>
      <c r="Y37" s="586"/>
      <c r="Z37" s="586"/>
      <c r="AA37" s="586"/>
      <c r="AB37" s="586"/>
      <c r="AC37" s="586"/>
      <c r="AD37" s="586"/>
      <c r="AE37" s="586"/>
      <c r="AF37" s="586"/>
      <c r="AG37" s="586"/>
      <c r="AH37" s="1040"/>
      <c r="AI37" s="585"/>
    </row>
    <row r="38" ht="30" customHeight="1">
      <c r="A38" s="1039"/>
      <c r="B38" s="753"/>
      <c r="C38" t="s" s="754">
        <f>IF(LEFT(RIGHT($B$1,2),1)=" ",RIGHT($B$1,1),RIGHT($B$1,2))</f>
        <v>260</v>
      </c>
      <c r="D38" s="755">
        <v>3</v>
      </c>
      <c r="E38" t="s" s="778">
        <f>C38&amp;D38&amp;RIGHT(F38,1)</f>
        <v>2436</v>
      </c>
      <c r="F38" t="s" s="769">
        <v>1835</v>
      </c>
      <c r="G38" t="s" s="809">
        <f>VLOOKUP(E40,'BDD'!$A$2:$N$567,7,FALSE)</f>
        <v>2457</v>
      </c>
      <c r="H38" s="810"/>
      <c r="I38" s="810"/>
      <c r="J38" s="810"/>
      <c r="K38" s="810"/>
      <c r="L38" s="810"/>
      <c r="M38" s="810"/>
      <c r="N38" s="811"/>
      <c r="O38" s="775"/>
      <c r="P38" s="775"/>
      <c r="Q38" s="775"/>
      <c r="R38" s="775"/>
      <c r="S38" s="776"/>
      <c r="T38" s="776"/>
      <c r="U38" s="776"/>
      <c r="V38" s="777"/>
      <c r="W38" s="789">
        <f>_xlfn.IFERROR(IF(N38='Suppl'!$E$65,0,IF(N38='Suppl'!$E$66,1/2/(_xlfn.COUNTIFS($N1:$N100,"Exigences"&amp;"*")+_xlfn.COUNTIFS($N1:$N100,"Non"&amp;"*")),IF(N38='Suppl'!$E$67,1/(_xlfn.COUNTIFS($N1:$N100,"Exigences"&amp;"*")+_xlfn.COUNTIFS($N1:$N100,"Non"&amp;"*")),0))),0)</f>
        <v>0</v>
      </c>
      <c r="X38" s="586"/>
      <c r="Y38" s="586"/>
      <c r="Z38" s="586"/>
      <c r="AA38" s="586"/>
      <c r="AB38" s="586"/>
      <c r="AC38" s="586"/>
      <c r="AD38" s="586"/>
      <c r="AE38" s="586"/>
      <c r="AF38" s="586"/>
      <c r="AG38" s="586"/>
      <c r="AH38" s="1040"/>
      <c r="AI38" s="585"/>
    </row>
    <row r="39" ht="30" customHeight="1">
      <c r="A39" s="1039"/>
      <c r="B39" s="753"/>
      <c r="C39" t="s" s="754">
        <f>IF(LEFT(RIGHT($B$1,2),1)=" ",RIGHT($B$1,1),RIGHT($B$1,2))</f>
        <v>260</v>
      </c>
      <c r="D39" s="755">
        <f>IF(LEFT(F39,5)="Bonne",D37+1,D38)</f>
        <v>3</v>
      </c>
      <c r="E39" t="s" s="778">
        <f>C39&amp;D39&amp;RIGHT(F39,1)</f>
        <v>2436</v>
      </c>
      <c r="F39" t="s" s="779">
        <v>1769</v>
      </c>
      <c r="G39" t="s" s="780">
        <f>VLOOKUP(E39,'BDD'!$A$2:$N$567,MATCH(G$24,'BDD'!$A$1:$P$1,0),FALSE)</f>
        <v>1363</v>
      </c>
      <c r="H39" t="s" s="799">
        <f>IF(VLOOKUP($E39,'BDD'!$A$2:$N$567,MATCH($H$23,'BDD'!$A$1:$P$1,0),FALSE)=H$24,H$24,"")</f>
        <v>1966</v>
      </c>
      <c r="I39" t="s" s="792">
        <f>IF(VLOOKUP($E39,'BDD'!$A$2:$N$567,MATCH($H$23,'BDD'!$A$1:$P$1,0),FALSE)=I$24,I$24,"")</f>
      </c>
      <c r="J39" t="s" s="792">
        <f>IF(VLOOKUP($E39,'BDD'!$A$2:$N$567,MATCH($H$23,'BDD'!$A$1:$P$1,0),FALSE)=J$24,J$24,"")</f>
      </c>
      <c r="K39" t="s" s="792">
        <f>IF(VLOOKUP($E39,'BDD'!$A$2:$N$567,MATCH($H$23,'BDD'!$A$1:$P$1,0),FALSE)=K$24,K$24,"")</f>
      </c>
      <c r="L39" t="s" s="783">
        <f>IF(VLOOKUP($E39,'BDD'!$A$2:$N$567,MATCH($H$23,'BDD'!$A$1:$P$1,0),FALSE)=L$24,L$24,"")</f>
      </c>
      <c r="M39" s="784">
        <f>IF(N39="Exigences partiellement respectées",1,IF(N39="Exigences respectées",2,0))</f>
        <v>0</v>
      </c>
      <c r="N39" t="s" s="780">
        <f>VLOOKUP(VLOOKUP(E39,'BDD'!$A$2:$P$550,15,FALSE),'Suppl'!$D$64:$E$68,2,FALSE)</f>
        <v>1751</v>
      </c>
      <c r="O39" s="785"/>
      <c r="P39" s="786"/>
      <c r="Q39" s="786"/>
      <c r="R39" s="786"/>
      <c r="S39" s="787">
        <f>IF(N39='Suppl'!$E$65,0,IF(N39='Suppl'!$E$66,1/2/(_xlfn.COUNTIFS($D1:$D100,D39,$N1:$N100,"Exigences"&amp;"*",G1:G100,"&lt;&gt;0")+_xlfn.COUNTIFS($D1:$D100,D39,$N1:$N100,"Non"&amp;"*",G1:G100,"&lt;&gt;0")),IF(N39='Suppl'!$E$67,1/(_xlfn.COUNTIFS($D1:$D100,D39,$N1:$N100,"Exigences"&amp;"*",G1:G100,"&lt;&gt;0")+_xlfn.COUNTIFS($D1:$D100,D39,$N1:$N100,"Non"&amp;"*",G1:G100,"&lt;&gt;0")),0)))</f>
        <v>0</v>
      </c>
      <c r="T39" s="787"/>
      <c r="U39" s="787"/>
      <c r="V39" s="788"/>
      <c r="W39" s="789">
        <f>_xlfn.IFERROR(IF(N39='Suppl'!$E$65,0,IF(N39='Suppl'!$E$66,1/2/(_xlfn.COUNTIFS($N1:$N100,"Exigences"&amp;"*")+_xlfn.COUNTIFS($N1:$N100,"Non"&amp;"*")),IF(N39='Suppl'!$E$67,1/(_xlfn.COUNTIFS($N1:$N100,"Exigences"&amp;"*")+_xlfn.COUNTIFS($N1:$N100,"Non"&amp;"*")),0))),0)</f>
        <v>0</v>
      </c>
      <c r="X39" s="586"/>
      <c r="Y39" s="586"/>
      <c r="Z39" s="586"/>
      <c r="AA39" s="586"/>
      <c r="AB39" s="586"/>
      <c r="AC39" s="586"/>
      <c r="AD39" s="586"/>
      <c r="AE39" s="586"/>
      <c r="AF39" s="586"/>
      <c r="AG39" s="586"/>
      <c r="AH39" s="1040"/>
      <c r="AI39" s="585"/>
    </row>
    <row r="40" ht="30" customHeight="1">
      <c r="A40" s="1039"/>
      <c r="B40" s="753"/>
      <c r="C40" t="s" s="754">
        <f>IF(LEFT(RIGHT($B$1,2),1)=" ",RIGHT($B$1,1),RIGHT($B$1,2))</f>
        <v>260</v>
      </c>
      <c r="D40" s="755">
        <f>IF(LEFT(F40,5)="Bonne",D38+1,D39)</f>
        <v>3</v>
      </c>
      <c r="E40" t="s" s="778">
        <f>C40&amp;D40&amp;RIGHT(F40,1)</f>
        <v>2437</v>
      </c>
      <c r="F40" t="s" s="790">
        <v>1837</v>
      </c>
      <c r="G40" t="s" s="791">
        <f>VLOOKUP(E40,'BDD'!$A$2:$N$567,MATCH(G$24,'BDD'!$A$1:$P$1,0),FALSE)</f>
        <v>1366</v>
      </c>
      <c r="H40" t="s" s="799">
        <f>IF(VLOOKUP($E40,'BDD'!$A$2:$N$567,MATCH($H$23,'BDD'!$A$1:$P$1,0),FALSE)=H$24,H$24,"")</f>
        <v>1966</v>
      </c>
      <c r="I40" t="s" s="792">
        <f>IF(VLOOKUP($E40,'BDD'!$A$2:$N$567,MATCH($H$23,'BDD'!$A$1:$P$1,0),FALSE)=I$24,I$24,"")</f>
      </c>
      <c r="J40" t="s" s="792">
        <f>IF(VLOOKUP($E40,'BDD'!$A$2:$N$567,MATCH($H$23,'BDD'!$A$1:$P$1,0),FALSE)=J$24,J$24,"")</f>
      </c>
      <c r="K40" t="s" s="792">
        <f>IF(VLOOKUP($E40,'BDD'!$A$2:$N$567,MATCH($H$23,'BDD'!$A$1:$P$1,0),FALSE)=K$24,K$24,"")</f>
      </c>
      <c r="L40" t="s" s="783">
        <f>IF(VLOOKUP($E40,'BDD'!$A$2:$N$567,MATCH($H$23,'BDD'!$A$1:$P$1,0),FALSE)=L$24,L$24,"")</f>
      </c>
      <c r="M40" s="794">
        <f>IF(N40="Exigences partiellement respectées",1,IF(N40="Exigences respectées",2,0))</f>
        <v>0</v>
      </c>
      <c r="N40" t="s" s="791">
        <f>VLOOKUP(VLOOKUP(E40,'BDD'!$A$2:$P$550,15,FALSE),'Suppl'!$D$64:$E$68,2,FALSE)</f>
        <v>1751</v>
      </c>
      <c r="O40" s="795"/>
      <c r="P40" s="796"/>
      <c r="Q40" s="796"/>
      <c r="R40" s="796"/>
      <c r="S40" s="797">
        <f>IF(N40='Suppl'!$E$65,0,IF(N40='Suppl'!$E$66,1/2/(_xlfn.COUNTIFS($D1:$D100,D40,$N1:$N100,"Exigences"&amp;"*",G1:G100,"&lt;&gt;0")+_xlfn.COUNTIFS($D1:$D100,D40,$N1:$N100,"Non"&amp;"*",G1:G100,"&lt;&gt;0")),IF(N40='Suppl'!$E$67,1/(_xlfn.COUNTIFS($D1:$D100,D40,$N1:$N100,"Exigences"&amp;"*",G1:G100,"&lt;&gt;0")+_xlfn.COUNTIFS($D1:$D100,D40,$N1:$N100,"Non"&amp;"*",G1:G100,"&lt;&gt;0")),0)))</f>
        <v>0</v>
      </c>
      <c r="T40" s="797"/>
      <c r="U40" s="797"/>
      <c r="V40" s="798"/>
      <c r="W40" s="789">
        <f>_xlfn.IFERROR(IF(N40='Suppl'!$E$65,0,IF(N40='Suppl'!$E$66,1/2/(_xlfn.COUNTIFS($N1:$N100,"Exigences"&amp;"*")+_xlfn.COUNTIFS($N1:$N100,"Non"&amp;"*")),IF(N40='Suppl'!$E$67,1/(_xlfn.COUNTIFS($N1:$N100,"Exigences"&amp;"*")+_xlfn.COUNTIFS($N1:$N100,"Non"&amp;"*")),0))),0)</f>
        <v>0</v>
      </c>
      <c r="X40" s="586"/>
      <c r="Y40" s="586"/>
      <c r="Z40" s="586"/>
      <c r="AA40" s="586"/>
      <c r="AB40" s="586"/>
      <c r="AC40" s="586"/>
      <c r="AD40" s="586"/>
      <c r="AE40" s="586"/>
      <c r="AF40" s="586"/>
      <c r="AG40" s="586"/>
      <c r="AH40" s="1040"/>
      <c r="AI40" s="585"/>
    </row>
    <row r="41" ht="30" customHeight="1">
      <c r="A41" s="1039"/>
      <c r="B41" s="753"/>
      <c r="C41" t="s" s="754">
        <f>IF(LEFT(RIGHT($B$1,2),1)=" ",RIGHT($B$1,1),RIGHT($B$1,2))</f>
        <v>260</v>
      </c>
      <c r="D41" s="755">
        <f>IF(LEFT(F41,5)="Bonne",D39+1,D40)</f>
        <v>3</v>
      </c>
      <c r="E41" t="s" s="778">
        <f>C41&amp;D41&amp;RIGHT(F41,1)</f>
        <v>2435</v>
      </c>
      <c r="F41" t="s" s="779">
        <v>1774</v>
      </c>
      <c r="G41" t="s" s="780">
        <f>VLOOKUP(E41,'BDD'!$A$2:$N$567,MATCH(G$24,'BDD'!$A$1:$P$1,0),FALSE)</f>
        <v>1369</v>
      </c>
      <c r="H41" t="s" s="799">
        <f>IF(VLOOKUP($E41,'BDD'!$A$2:$N$567,MATCH($H$23,'BDD'!$A$1:$P$1,0),FALSE)=H$24,H$24,"")</f>
      </c>
      <c r="I41" t="s" s="792">
        <f>IF(VLOOKUP($E41,'BDD'!$A$2:$N$567,MATCH($H$23,'BDD'!$A$1:$P$1,0),FALSE)=I$24,I$24,"")</f>
      </c>
      <c r="J41" t="s" s="792">
        <f>IF(VLOOKUP($E41,'BDD'!$A$2:$N$567,MATCH($H$23,'BDD'!$A$1:$P$1,0),FALSE)=J$24,J$24,"")</f>
        <v>1967</v>
      </c>
      <c r="K41" t="s" s="792">
        <f>IF(VLOOKUP($E41,'BDD'!$A$2:$N$567,MATCH($H$23,'BDD'!$A$1:$P$1,0),FALSE)=K$24,K$24,"")</f>
      </c>
      <c r="L41" t="s" s="783">
        <f>IF(VLOOKUP($E41,'BDD'!$A$2:$N$567,MATCH($H$23,'BDD'!$A$1:$P$1,0),FALSE)=L$24,L$24,"")</f>
      </c>
      <c r="M41" s="794">
        <f>IF(N41="Exigences partiellement respectées",1,IF(N41="Exigences respectées",2,0))</f>
        <v>0</v>
      </c>
      <c r="N41" t="s" s="780">
        <f>VLOOKUP(VLOOKUP(E41,'BDD'!$A$2:$P$550,15,FALSE),'Suppl'!$D$64:$E$68,2,FALSE)</f>
        <v>1751</v>
      </c>
      <c r="O41" s="795"/>
      <c r="P41" s="796"/>
      <c r="Q41" s="796"/>
      <c r="R41" s="796"/>
      <c r="S41" s="797">
        <f>IF(N41='Suppl'!$E$65,0,IF(N41='Suppl'!$E$66,1/2/(_xlfn.COUNTIFS($D1:$D100,D41,$N1:$N100,"Exigences"&amp;"*",G1:G100,"&lt;&gt;0")+_xlfn.COUNTIFS($D1:$D100,D41,$N1:$N100,"Non"&amp;"*",G1:G100,"&lt;&gt;0")),IF(N41='Suppl'!$E$67,1/(_xlfn.COUNTIFS($D1:$D100,D41,$N1:$N100,"Exigences"&amp;"*",G1:G100,"&lt;&gt;0")+_xlfn.COUNTIFS($D1:$D100,D41,$N1:$N100,"Non"&amp;"*",G1:G100,"&lt;&gt;0")),0)))</f>
        <v>0</v>
      </c>
      <c r="T41" s="797"/>
      <c r="U41" s="797"/>
      <c r="V41" s="798"/>
      <c r="W41" s="789">
        <f>_xlfn.IFERROR(IF(N41='Suppl'!$E$65,0,IF(N41='Suppl'!$E$66,1/2/(_xlfn.COUNTIFS($N1:$N100,"Exigences"&amp;"*")+_xlfn.COUNTIFS($N1:$N100,"Non"&amp;"*")),IF(N41='Suppl'!$E$67,1/(_xlfn.COUNTIFS($N1:$N100,"Exigences"&amp;"*")+_xlfn.COUNTIFS($N1:$N100,"Non"&amp;"*")),0))),0)</f>
        <v>0</v>
      </c>
      <c r="X41" s="586"/>
      <c r="Y41" s="586"/>
      <c r="Z41" s="586"/>
      <c r="AA41" s="586"/>
      <c r="AB41" s="586"/>
      <c r="AC41" s="586"/>
      <c r="AD41" s="586"/>
      <c r="AE41" s="586"/>
      <c r="AF41" s="586"/>
      <c r="AG41" s="586"/>
      <c r="AH41" s="1040"/>
      <c r="AI41" s="585"/>
    </row>
    <row r="42" ht="30" customHeight="1">
      <c r="A42" s="1039"/>
      <c r="B42" s="753"/>
      <c r="C42" t="s" s="754">
        <f>IF(LEFT(RIGHT($B$1,2),1)=" ",RIGHT($B$1,1),RIGHT($B$1,2))</f>
        <v>260</v>
      </c>
      <c r="D42" s="755">
        <f>IF(LEFT(F42,5)="Bonne",D40+1,D41)</f>
        <v>3</v>
      </c>
      <c r="E42" t="s" s="778">
        <f>C42&amp;D42&amp;RIGHT(F42,1)</f>
        <v>2438</v>
      </c>
      <c r="F42" t="s" s="790">
        <v>1776</v>
      </c>
      <c r="G42" t="s" s="791">
        <f>VLOOKUP(E42,'BDD'!$A$2:$N$567,MATCH(G$24,'BDD'!$A$1:$P$1,0),FALSE)</f>
        <v>1372</v>
      </c>
      <c r="H42" t="s" s="799">
        <f>IF(VLOOKUP($E42,'BDD'!$A$2:$N$567,MATCH($H$23,'BDD'!$A$1:$P$1,0),FALSE)=H$24,H$24,"")</f>
      </c>
      <c r="I42" t="s" s="792">
        <f>IF(VLOOKUP($E42,'BDD'!$A$2:$N$567,MATCH($H$23,'BDD'!$A$1:$P$1,0),FALSE)=I$24,I$24,"")</f>
        <v>1969</v>
      </c>
      <c r="J42" t="s" s="792">
        <f>IF(VLOOKUP($E42,'BDD'!$A$2:$N$567,MATCH($H$23,'BDD'!$A$1:$P$1,0),FALSE)=J$24,J$24,"")</f>
      </c>
      <c r="K42" t="s" s="792">
        <f>IF(VLOOKUP($E42,'BDD'!$A$2:$N$567,MATCH($H$23,'BDD'!$A$1:$P$1,0),FALSE)=K$24,K$24,"")</f>
      </c>
      <c r="L42" t="s" s="783">
        <f>IF(VLOOKUP($E42,'BDD'!$A$2:$N$567,MATCH($H$23,'BDD'!$A$1:$P$1,0),FALSE)=L$24,L$24,"")</f>
      </c>
      <c r="M42" s="794">
        <f>IF(N42="Exigences partiellement respectées",1,IF(N42="Exigences respectées",2,0))</f>
        <v>0</v>
      </c>
      <c r="N42" t="s" s="791">
        <f>VLOOKUP(VLOOKUP(E42,'BDD'!$A$2:$P$550,15,FALSE),'Suppl'!$D$64:$E$68,2,FALSE)</f>
        <v>1751</v>
      </c>
      <c r="O42" s="795"/>
      <c r="P42" s="796"/>
      <c r="Q42" s="796"/>
      <c r="R42" s="796"/>
      <c r="S42" s="797">
        <f>IF(N42='Suppl'!$E$65,0,IF(N42='Suppl'!$E$66,1/2/(_xlfn.COUNTIFS($D1:$D100,D42,$N1:$N100,"Exigences"&amp;"*",G1:G100,"&lt;&gt;0")+_xlfn.COUNTIFS($D1:$D100,D42,$N1:$N100,"Non"&amp;"*",G1:G100,"&lt;&gt;0")),IF(N42='Suppl'!$E$67,1/(_xlfn.COUNTIFS($D1:$D100,D42,$N1:$N100,"Exigences"&amp;"*",G1:G100,"&lt;&gt;0")+_xlfn.COUNTIFS($D1:$D100,D42,$N1:$N100,"Non"&amp;"*",G1:G100,"&lt;&gt;0")),0)))</f>
        <v>0</v>
      </c>
      <c r="T42" s="797"/>
      <c r="U42" s="797"/>
      <c r="V42" s="798"/>
      <c r="W42" s="789">
        <f>_xlfn.IFERROR(IF(N42='Suppl'!$E$65,0,IF(N42='Suppl'!$E$66,1/2/(_xlfn.COUNTIFS($N1:$N100,"Exigences"&amp;"*")+_xlfn.COUNTIFS($N1:$N100,"Non"&amp;"*")),IF(N42='Suppl'!$E$67,1/(_xlfn.COUNTIFS($N1:$N100,"Exigences"&amp;"*")+_xlfn.COUNTIFS($N1:$N100,"Non"&amp;"*")),0))),0)</f>
        <v>0</v>
      </c>
      <c r="X42" s="586"/>
      <c r="Y42" s="586"/>
      <c r="Z42" s="586"/>
      <c r="AA42" s="586"/>
      <c r="AB42" s="586"/>
      <c r="AC42" s="586"/>
      <c r="AD42" s="586"/>
      <c r="AE42" s="586"/>
      <c r="AF42" s="586"/>
      <c r="AG42" s="586"/>
      <c r="AH42" s="1040"/>
      <c r="AI42" s="585"/>
    </row>
    <row r="43" ht="41.4" customHeight="1">
      <c r="A43" s="1039"/>
      <c r="B43" s="753"/>
      <c r="C43" t="s" s="754">
        <f>IF(LEFT(RIGHT($B$1,2),1)=" ",RIGHT($B$1,1),RIGHT($B$1,2))</f>
        <v>260</v>
      </c>
      <c r="D43" s="755">
        <f>IF(LEFT(F43,5)="Bonne",D41+1,D42)</f>
        <v>3</v>
      </c>
      <c r="E43" t="s" s="778">
        <f>C43&amp;D43&amp;RIGHT(F43,1)</f>
        <v>2439</v>
      </c>
      <c r="F43" t="s" s="779">
        <v>1778</v>
      </c>
      <c r="G43" t="s" s="780">
        <f>VLOOKUP(E43,'BDD'!$A$2:$N$567,MATCH(G$24,'BDD'!$A$1:$P$1,0),FALSE)</f>
        <v>1375</v>
      </c>
      <c r="H43" t="s" s="799">
        <f>IF(VLOOKUP($E43,'BDD'!$A$2:$N$567,MATCH($H$23,'BDD'!$A$1:$P$1,0),FALSE)=H$24,H$24,"")</f>
      </c>
      <c r="I43" t="s" s="792">
        <f>IF(VLOOKUP($E43,'BDD'!$A$2:$N$567,MATCH($H$23,'BDD'!$A$1:$P$1,0),FALSE)=I$24,I$24,"")</f>
        <v>1969</v>
      </c>
      <c r="J43" t="s" s="792">
        <f>IF(VLOOKUP($E43,'BDD'!$A$2:$N$567,MATCH($H$23,'BDD'!$A$1:$P$1,0),FALSE)=J$24,J$24,"")</f>
      </c>
      <c r="K43" t="s" s="792">
        <f>IF(VLOOKUP($E43,'BDD'!$A$2:$N$567,MATCH($H$23,'BDD'!$A$1:$P$1,0),FALSE)=K$24,K$24,"")</f>
      </c>
      <c r="L43" t="s" s="783">
        <f>IF(VLOOKUP($E43,'BDD'!$A$2:$N$567,MATCH($H$23,'BDD'!$A$1:$P$1,0),FALSE)=L$24,L$24,"")</f>
      </c>
      <c r="M43" s="800">
        <f>IF(N43="Exigences partiellement respectées",1,IF(N43="Exigences respectées",2,0))</f>
        <v>0</v>
      </c>
      <c r="N43" t="s" s="780">
        <f>VLOOKUP(VLOOKUP(E43,'BDD'!$A$2:$P$550,15,FALSE),'Suppl'!$D$64:$E$68,2,FALSE)</f>
        <v>1751</v>
      </c>
      <c r="O43" s="801"/>
      <c r="P43" s="802"/>
      <c r="Q43" s="802"/>
      <c r="R43" s="802"/>
      <c r="S43" s="803">
        <f>IF(N43='Suppl'!$E$65,0,IF(N43='Suppl'!$E$66,1/2/(_xlfn.COUNTIFS($D1:$D100,D43,$N1:$N100,"Exigences"&amp;"*",G1:G100,"&lt;&gt;0")+_xlfn.COUNTIFS($D1:$D100,D43,$N1:$N100,"Non"&amp;"*",G1:G100,"&lt;&gt;0")),IF(N43='Suppl'!$E$67,1/(_xlfn.COUNTIFS($D1:$D100,D43,$N1:$N100,"Exigences"&amp;"*",G1:G100,"&lt;&gt;0")+_xlfn.COUNTIFS($D1:$D100,D43,$N1:$N100,"Non"&amp;"*",G1:G100,"&lt;&gt;0")),0)))</f>
        <v>0</v>
      </c>
      <c r="T43" s="803"/>
      <c r="U43" s="803"/>
      <c r="V43" s="804"/>
      <c r="W43" s="789">
        <f>_xlfn.IFERROR(IF(N43='Suppl'!$E$65,0,IF(N43='Suppl'!$E$66,1/2/(_xlfn.COUNTIFS($N1:$N100,"Exigences"&amp;"*")+_xlfn.COUNTIFS($N1:$N100,"Non"&amp;"*")),IF(N43='Suppl'!$E$67,1/(_xlfn.COUNTIFS($N1:$N100,"Exigences"&amp;"*")+_xlfn.COUNTIFS($N1:$N100,"Non"&amp;"*")),0))),0)</f>
        <v>0</v>
      </c>
      <c r="X43" s="586"/>
      <c r="Y43" s="586"/>
      <c r="Z43" s="586"/>
      <c r="AA43" s="586"/>
      <c r="AB43" s="586"/>
      <c r="AC43" s="586"/>
      <c r="AD43" s="586"/>
      <c r="AE43" s="586"/>
      <c r="AF43" s="586"/>
      <c r="AG43" s="586"/>
      <c r="AH43" s="1040"/>
      <c r="AI43" s="585"/>
    </row>
    <row r="44" ht="30" customHeight="1">
      <c r="A44" s="1039"/>
      <c r="B44" s="753"/>
      <c r="C44" t="s" s="754">
        <f>IF(LEFT(RIGHT($B$1,2),1)=" ",RIGHT($B$1,1),RIGHT($B$1,2))</f>
        <v>260</v>
      </c>
      <c r="D44" s="755">
        <f>IF(LEFT(F44,5)="Bonne",D42+1,D43)</f>
        <v>4</v>
      </c>
      <c r="E44" t="s" s="778">
        <f>C44&amp;D44&amp;RIGHT(F44,1)</f>
        <v>2442</v>
      </c>
      <c r="F44" t="s" s="757">
        <v>1806</v>
      </c>
      <c r="G44" t="s" s="758">
        <f>VLOOKUP(E46,'BDD'!$A$2:$N$567,6,FALSE)</f>
        <v>1379</v>
      </c>
      <c r="H44" s="759"/>
      <c r="I44" s="760"/>
      <c r="J44" s="760"/>
      <c r="K44" s="760"/>
      <c r="L44" s="761"/>
      <c r="M44" s="762"/>
      <c r="N44" s="763"/>
      <c r="O44" s="764">
        <v>0</v>
      </c>
      <c r="P44" s="764"/>
      <c r="Q44" s="764"/>
      <c r="R44" s="764"/>
      <c r="S44" s="765">
        <f>_xlfn.SUMIFS(S1:S100,$D1:$D100,D44,$N1:$N100,"Exigences"&amp;"*")</f>
      </c>
      <c r="T44" s="765"/>
      <c r="U44" s="765"/>
      <c r="V44" s="766"/>
      <c r="W44" s="789">
        <f>_xlfn.IFERROR(IF(N44='Suppl'!$E$65,0,IF(N44='Suppl'!$E$66,1/2/(_xlfn.COUNTIFS($N1:$N100,"Exigences"&amp;"*")+_xlfn.COUNTIFS($N1:$N100,"Non"&amp;"*")),IF(N44='Suppl'!$E$67,1/(_xlfn.COUNTIFS($N1:$N100,"Exigences"&amp;"*")+_xlfn.COUNTIFS($N1:$N100,"Non"&amp;"*")),0))),0)</f>
        <v>0</v>
      </c>
      <c r="X44" s="586"/>
      <c r="Y44" s="586"/>
      <c r="Z44" s="586"/>
      <c r="AA44" s="586"/>
      <c r="AB44" s="586"/>
      <c r="AC44" s="586"/>
      <c r="AD44" s="586"/>
      <c r="AE44" s="586"/>
      <c r="AF44" s="586"/>
      <c r="AG44" s="586"/>
      <c r="AH44" s="1040"/>
      <c r="AI44" s="585"/>
    </row>
    <row r="45" ht="30" customHeight="1">
      <c r="A45" s="1039"/>
      <c r="B45" s="753"/>
      <c r="C45" t="s" s="754">
        <f>IF(LEFT(RIGHT($B$1,2),1)=" ",RIGHT($B$1,1),RIGHT($B$1,2))</f>
        <v>260</v>
      </c>
      <c r="D45" s="755">
        <f>IF(LEFT(F45,5)="Bonne",D43+1,D44)</f>
        <v>4</v>
      </c>
      <c r="E45" t="s" s="778">
        <f>C45&amp;D45&amp;RIGHT(F45,1)</f>
        <v>2443</v>
      </c>
      <c r="F45" t="s" s="769">
        <v>1835</v>
      </c>
      <c r="G45" t="s" s="770">
        <f>VLOOKUP(E47,'BDD'!$A$2:$N$567,7,FALSE)</f>
        <v>2458</v>
      </c>
      <c r="H45" s="771"/>
      <c r="I45" s="771"/>
      <c r="J45" s="771"/>
      <c r="K45" s="771"/>
      <c r="L45" s="772"/>
      <c r="M45" s="773"/>
      <c r="N45" s="774"/>
      <c r="O45" s="775"/>
      <c r="P45" s="775"/>
      <c r="Q45" s="775"/>
      <c r="R45" s="775"/>
      <c r="S45" s="776"/>
      <c r="T45" s="776"/>
      <c r="U45" s="776"/>
      <c r="V45" s="777"/>
      <c r="W45" s="789">
        <f>_xlfn.IFERROR(IF(N45='Suppl'!$E$65,0,IF(N45='Suppl'!$E$66,1/2/(_xlfn.COUNTIFS($N1:$N100,"Exigences"&amp;"*")+_xlfn.COUNTIFS($N1:$N100,"Non"&amp;"*")),IF(N45='Suppl'!$E$67,1/(_xlfn.COUNTIFS($N1:$N100,"Exigences"&amp;"*")+_xlfn.COUNTIFS($N1:$N100,"Non"&amp;"*")),0))),0)</f>
        <v>0</v>
      </c>
      <c r="X45" s="586"/>
      <c r="Y45" s="586"/>
      <c r="Z45" s="586"/>
      <c r="AA45" s="586"/>
      <c r="AB45" s="586"/>
      <c r="AC45" s="586"/>
      <c r="AD45" s="586"/>
      <c r="AE45" s="586"/>
      <c r="AF45" s="586"/>
      <c r="AG45" s="586"/>
      <c r="AH45" s="1040"/>
      <c r="AI45" s="585"/>
    </row>
    <row r="46" ht="30" customHeight="1">
      <c r="A46" s="1039"/>
      <c r="B46" s="753"/>
      <c r="C46" t="s" s="754">
        <f>IF(LEFT(RIGHT($B$1,2),1)=" ",RIGHT($B$1,1),RIGHT($B$1,2))</f>
        <v>260</v>
      </c>
      <c r="D46" s="755">
        <f>IF(LEFT(F46,5)="Bonne",D44+1,D45)</f>
        <v>4</v>
      </c>
      <c r="E46" t="s" s="778">
        <f>C46&amp;D46&amp;RIGHT(F46,1)</f>
        <v>2443</v>
      </c>
      <c r="F46" t="s" s="779">
        <v>1769</v>
      </c>
      <c r="G46" t="s" s="780">
        <f>VLOOKUP(E46,'BDD'!$A$2:$N$567,MATCH(G$24,'BDD'!$A$1:$P$1,0),FALSE)</f>
        <v>1381</v>
      </c>
      <c r="H46" t="s" s="799">
        <f>IF(VLOOKUP($E46,'BDD'!$A$2:$N$567,MATCH($H$23,'BDD'!$A$1:$P$1,0),FALSE)=H$24,H$24,"")</f>
        <v>1966</v>
      </c>
      <c r="I46" t="s" s="792">
        <f>IF(VLOOKUP($E46,'BDD'!$A$2:$N$567,MATCH($H$23,'BDD'!$A$1:$P$1,0),FALSE)=I$24,I$24,"")</f>
      </c>
      <c r="J46" t="s" s="792">
        <f>IF(VLOOKUP($E46,'BDD'!$A$2:$N$567,MATCH($H$23,'BDD'!$A$1:$P$1,0),FALSE)=J$24,J$24,"")</f>
      </c>
      <c r="K46" t="s" s="792">
        <f>IF(VLOOKUP($E46,'BDD'!$A$2:$N$567,MATCH($H$23,'BDD'!$A$1:$P$1,0),FALSE)=K$24,K$24,"")</f>
      </c>
      <c r="L46" t="s" s="783">
        <f>IF(VLOOKUP($E46,'BDD'!$A$2:$N$567,MATCH($H$23,'BDD'!$A$1:$P$1,0),FALSE)=L$24,L$24,"")</f>
      </c>
      <c r="M46" s="784">
        <f>IF(N46="Exigences partiellement respectées",1,IF(N46="Exigences respectées",2,0))</f>
        <v>0</v>
      </c>
      <c r="N46" t="s" s="780">
        <f>VLOOKUP(VLOOKUP(E46,'BDD'!$A$2:$P$550,15,FALSE),'Suppl'!$D$64:$E$68,2,FALSE)</f>
        <v>1751</v>
      </c>
      <c r="O46" s="785"/>
      <c r="P46" s="786"/>
      <c r="Q46" s="786"/>
      <c r="R46" s="786"/>
      <c r="S46" s="787">
        <f>IF(N46='Suppl'!$E$65,0,IF(N46='Suppl'!$E$66,1/2/(_xlfn.COUNTIFS($D1:$D100,D46,$N1:$N100,"Exigences"&amp;"*",G1:G100,"&lt;&gt;0")+_xlfn.COUNTIFS($D1:$D100,D46,$N1:$N100,"Non"&amp;"*",G1:G100,"&lt;&gt;0")),IF(N46='Suppl'!$E$67,1/(_xlfn.COUNTIFS($D1:$D100,D46,$N1:$N100,"Exigences"&amp;"*",G1:G100,"&lt;&gt;0")+_xlfn.COUNTIFS($D1:$D100,D46,$N1:$N100,"Non"&amp;"*",G1:G100,"&lt;&gt;0")),0)))</f>
        <v>0</v>
      </c>
      <c r="T46" s="787"/>
      <c r="U46" s="787"/>
      <c r="V46" s="788"/>
      <c r="W46" s="789">
        <f>_xlfn.IFERROR(IF(N46='Suppl'!$E$65,0,IF(N46='Suppl'!$E$66,1/2/(_xlfn.COUNTIFS($N1:$N100,"Exigences"&amp;"*")+_xlfn.COUNTIFS($N1:$N100,"Non"&amp;"*")),IF(N46='Suppl'!$E$67,1/(_xlfn.COUNTIFS($N1:$N100,"Exigences"&amp;"*")+_xlfn.COUNTIFS($N1:$N100,"Non"&amp;"*")),0))),0)</f>
        <v>0</v>
      </c>
      <c r="X46" s="586"/>
      <c r="Y46" s="586"/>
      <c r="Z46" s="586"/>
      <c r="AA46" s="586"/>
      <c r="AB46" s="586"/>
      <c r="AC46" s="586"/>
      <c r="AD46" s="586"/>
      <c r="AE46" s="586"/>
      <c r="AF46" s="586"/>
      <c r="AG46" s="586"/>
      <c r="AH46" s="1040"/>
      <c r="AI46" s="585"/>
    </row>
    <row r="47" ht="30" customHeight="1">
      <c r="A47" s="1039"/>
      <c r="B47" s="753"/>
      <c r="C47" t="s" s="754">
        <f>IF(LEFT(RIGHT($B$1,2),1)=" ",RIGHT($B$1,1),RIGHT($B$1,2))</f>
        <v>260</v>
      </c>
      <c r="D47" s="755">
        <f>IF(LEFT(F47,5)="Bonne",D45+1,D46)</f>
        <v>4</v>
      </c>
      <c r="E47" t="s" s="778">
        <f>C47&amp;D47&amp;RIGHT(F47,1)</f>
        <v>2444</v>
      </c>
      <c r="F47" t="s" s="790">
        <v>1837</v>
      </c>
      <c r="G47" t="s" s="791">
        <f>VLOOKUP(E47,'BDD'!$A$2:$N$567,MATCH(G$24,'BDD'!$A$1:$P$1,0),FALSE)</f>
        <v>1384</v>
      </c>
      <c r="H47" t="s" s="799">
        <f>IF(VLOOKUP($E47,'BDD'!$A$2:$N$567,MATCH($H$23,'BDD'!$A$1:$P$1,0),FALSE)=H$24,H$24,"")</f>
      </c>
      <c r="I47" t="s" s="792">
        <f>IF(VLOOKUP($E47,'BDD'!$A$2:$N$567,MATCH($H$23,'BDD'!$A$1:$P$1,0),FALSE)=I$24,I$24,"")</f>
        <v>1969</v>
      </c>
      <c r="J47" t="s" s="792">
        <f>IF(VLOOKUP($E47,'BDD'!$A$2:$N$567,MATCH($H$23,'BDD'!$A$1:$P$1,0),FALSE)=J$24,J$24,"")</f>
      </c>
      <c r="K47" t="s" s="792">
        <f>IF(VLOOKUP($E47,'BDD'!$A$2:$N$567,MATCH($H$23,'BDD'!$A$1:$P$1,0),FALSE)=K$24,K$24,"")</f>
      </c>
      <c r="L47" t="s" s="783">
        <f>IF(VLOOKUP($E47,'BDD'!$A$2:$N$567,MATCH($H$23,'BDD'!$A$1:$P$1,0),FALSE)=L$24,L$24,"")</f>
      </c>
      <c r="M47" s="794">
        <f>IF(N47="Exigences partiellement respectées",1,IF(N47="Exigences respectées",2,0))</f>
        <v>0</v>
      </c>
      <c r="N47" t="s" s="791">
        <f>VLOOKUP(VLOOKUP(E47,'BDD'!$A$2:$P$550,15,FALSE),'Suppl'!$D$64:$E$68,2,FALSE)</f>
        <v>1751</v>
      </c>
      <c r="O47" s="795"/>
      <c r="P47" s="796"/>
      <c r="Q47" s="796"/>
      <c r="R47" s="796"/>
      <c r="S47" s="797">
        <f>IF(N47='Suppl'!$E$65,0,IF(N47='Suppl'!$E$66,1/2/(_xlfn.COUNTIFS($D1:$D100,D47,$N1:$N100,"Exigences"&amp;"*",G1:G100,"&lt;&gt;0")+_xlfn.COUNTIFS($D1:$D100,D47,$N1:$N100,"Non"&amp;"*",G1:G100,"&lt;&gt;0")),IF(N47='Suppl'!$E$67,1/(_xlfn.COUNTIFS($D1:$D100,D47,$N1:$N100,"Exigences"&amp;"*",G1:G100,"&lt;&gt;0")+_xlfn.COUNTIFS($D1:$D100,D47,$N1:$N100,"Non"&amp;"*",G1:G100,"&lt;&gt;0")),0)))</f>
        <v>0</v>
      </c>
      <c r="T47" s="797"/>
      <c r="U47" s="797"/>
      <c r="V47" s="798"/>
      <c r="W47" s="789">
        <f>_xlfn.IFERROR(IF(N47='Suppl'!$E$65,0,IF(N47='Suppl'!$E$66,1/2/(_xlfn.COUNTIFS($N1:$N100,"Exigences"&amp;"*")+_xlfn.COUNTIFS($N1:$N100,"Non"&amp;"*")),IF(N47='Suppl'!$E$67,1/(_xlfn.COUNTIFS($N1:$N100,"Exigences"&amp;"*")+_xlfn.COUNTIFS($N1:$N100,"Non"&amp;"*")),0))),0)</f>
        <v>0</v>
      </c>
      <c r="X47" s="586"/>
      <c r="Y47" s="586"/>
      <c r="Z47" s="586"/>
      <c r="AA47" s="586"/>
      <c r="AB47" s="586"/>
      <c r="AC47" s="586"/>
      <c r="AD47" s="586"/>
      <c r="AE47" s="586"/>
      <c r="AF47" s="586"/>
      <c r="AG47" s="586"/>
      <c r="AH47" s="1040"/>
      <c r="AI47" s="585"/>
    </row>
    <row r="48" ht="30" customHeight="1">
      <c r="A48" s="1039"/>
      <c r="B48" s="753"/>
      <c r="C48" t="s" s="754">
        <f>IF(LEFT(RIGHT($B$1,2),1)=" ",RIGHT($B$1,1),RIGHT($B$1,2))</f>
        <v>260</v>
      </c>
      <c r="D48" s="755">
        <f>IF(LEFT(F48,5)="Bonne",D46+1,D47)</f>
        <v>4</v>
      </c>
      <c r="E48" t="s" s="778">
        <f>C48&amp;D48&amp;RIGHT(F48,1)</f>
        <v>2445</v>
      </c>
      <c r="F48" t="s" s="779">
        <v>1774</v>
      </c>
      <c r="G48" t="s" s="780">
        <f>VLOOKUP(E48,'BDD'!$A$2:$N$567,MATCH(G$24,'BDD'!$A$1:$P$1,0),FALSE)</f>
        <v>1387</v>
      </c>
      <c r="H48" t="s" s="799">
        <f>IF(VLOOKUP($E48,'BDD'!$A$2:$N$567,MATCH($H$23,'BDD'!$A$1:$P$1,0),FALSE)=H$24,H$24,"")</f>
      </c>
      <c r="I48" t="s" s="792">
        <f>IF(VLOOKUP($E48,'BDD'!$A$2:$N$567,MATCH($H$23,'BDD'!$A$1:$P$1,0),FALSE)=I$24,I$24,"")</f>
        <v>1969</v>
      </c>
      <c r="J48" t="s" s="792">
        <f>IF(VLOOKUP($E48,'BDD'!$A$2:$N$567,MATCH($H$23,'BDD'!$A$1:$P$1,0),FALSE)=J$24,J$24,"")</f>
      </c>
      <c r="K48" t="s" s="792">
        <f>IF(VLOOKUP($E48,'BDD'!$A$2:$N$567,MATCH($H$23,'BDD'!$A$1:$P$1,0),FALSE)=K$24,K$24,"")</f>
      </c>
      <c r="L48" t="s" s="783">
        <f>IF(VLOOKUP($E48,'BDD'!$A$2:$N$567,MATCH($H$23,'BDD'!$A$1:$P$1,0),FALSE)=L$24,L$24,"")</f>
      </c>
      <c r="M48" s="794">
        <f>IF(N48="Exigences partiellement respectées",1,IF(N48="Exigences respectées",2,0))</f>
        <v>0</v>
      </c>
      <c r="N48" t="s" s="780">
        <f>VLOOKUP(VLOOKUP(E48,'BDD'!$A$2:$P$550,15,FALSE),'Suppl'!$D$64:$E$68,2,FALSE)</f>
        <v>1751</v>
      </c>
      <c r="O48" s="795"/>
      <c r="P48" s="796"/>
      <c r="Q48" s="796"/>
      <c r="R48" s="796"/>
      <c r="S48" s="797">
        <f>IF(N48='Suppl'!$E$65,0,IF(N48='Suppl'!$E$66,1/2/(_xlfn.COUNTIFS($D1:$D100,D48,$N1:$N100,"Exigences"&amp;"*",G1:G100,"&lt;&gt;0")+_xlfn.COUNTIFS($D1:$D100,D48,$N1:$N100,"Non"&amp;"*",G1:G100,"&lt;&gt;0")),IF(N48='Suppl'!$E$67,1/(_xlfn.COUNTIFS($D1:$D100,D48,$N1:$N100,"Exigences"&amp;"*",G1:G100,"&lt;&gt;0")+_xlfn.COUNTIFS($D1:$D100,D48,$N1:$N100,"Non"&amp;"*",G1:G100,"&lt;&gt;0")),0)))</f>
        <v>0</v>
      </c>
      <c r="T48" s="797"/>
      <c r="U48" s="797"/>
      <c r="V48" s="798"/>
      <c r="W48" s="789">
        <f>_xlfn.IFERROR(IF(N48='Suppl'!$E$65,0,IF(N48='Suppl'!$E$66,1/2/(_xlfn.COUNTIFS($N1:$N100,"Exigences"&amp;"*")+_xlfn.COUNTIFS($N1:$N100,"Non"&amp;"*")),IF(N48='Suppl'!$E$67,1/(_xlfn.COUNTIFS($N1:$N100,"Exigences"&amp;"*")+_xlfn.COUNTIFS($N1:$N100,"Non"&amp;"*")),0))),0)</f>
        <v>0</v>
      </c>
      <c r="X48" s="586"/>
      <c r="Y48" s="586"/>
      <c r="Z48" s="586"/>
      <c r="AA48" s="586"/>
      <c r="AB48" s="586"/>
      <c r="AC48" s="586"/>
      <c r="AD48" s="586"/>
      <c r="AE48" s="586"/>
      <c r="AF48" s="586"/>
      <c r="AG48" s="586"/>
      <c r="AH48" s="1040"/>
      <c r="AI48" s="585"/>
    </row>
    <row r="49" ht="30" customHeight="1">
      <c r="A49" s="1039"/>
      <c r="B49" s="753"/>
      <c r="C49" t="s" s="754">
        <f>IF(LEFT(RIGHT($B$1,2),1)=" ",RIGHT($B$1,1),RIGHT($B$1,2))</f>
        <v>260</v>
      </c>
      <c r="D49" s="755">
        <f>IF(LEFT(F49,5)="Bonne",D47+1,D48)</f>
        <v>4</v>
      </c>
      <c r="E49" t="s" s="778">
        <f>C49&amp;D49&amp;RIGHT(F49,1)</f>
        <v>2442</v>
      </c>
      <c r="F49" t="s" s="790">
        <v>1776</v>
      </c>
      <c r="G49" t="s" s="791">
        <f>VLOOKUP(E49,'BDD'!$A$2:$N$567,MATCH(G$24,'BDD'!$A$1:$P$1,0),FALSE)</f>
        <v>1390</v>
      </c>
      <c r="H49" t="s" s="799">
        <f>IF(VLOOKUP($E49,'BDD'!$A$2:$N$567,MATCH($H$23,'BDD'!$A$1:$P$1,0),FALSE)=H$24,H$24,"")</f>
      </c>
      <c r="I49" t="s" s="792">
        <f>IF(VLOOKUP($E49,'BDD'!$A$2:$N$567,MATCH($H$23,'BDD'!$A$1:$P$1,0),FALSE)=I$24,I$24,"")</f>
        <v>1969</v>
      </c>
      <c r="J49" t="s" s="792">
        <f>IF(VLOOKUP($E49,'BDD'!$A$2:$N$567,MATCH($H$23,'BDD'!$A$1:$P$1,0),FALSE)=J$24,J$24,"")</f>
      </c>
      <c r="K49" t="s" s="792">
        <f>IF(VLOOKUP($E49,'BDD'!$A$2:$N$567,MATCH($H$23,'BDD'!$A$1:$P$1,0),FALSE)=K$24,K$24,"")</f>
      </c>
      <c r="L49" t="s" s="783">
        <f>IF(VLOOKUP($E49,'BDD'!$A$2:$N$567,MATCH($H$23,'BDD'!$A$1:$P$1,0),FALSE)=L$24,L$24,"")</f>
      </c>
      <c r="M49" s="794">
        <f>IF(N49="Exigences partiellement respectées",1,IF(N49="Exigences respectées",2,0))</f>
        <v>0</v>
      </c>
      <c r="N49" t="s" s="791">
        <f>VLOOKUP(VLOOKUP(E49,'BDD'!$A$2:$P$550,15,FALSE),'Suppl'!$D$64:$E$68,2,FALSE)</f>
        <v>1751</v>
      </c>
      <c r="O49" s="795"/>
      <c r="P49" s="796"/>
      <c r="Q49" s="796"/>
      <c r="R49" s="796"/>
      <c r="S49" s="797">
        <f>IF(N49='Suppl'!$E$65,0,IF(N49='Suppl'!$E$66,1/2/(_xlfn.COUNTIFS($D1:$D100,D49,$N1:$N100,"Exigences"&amp;"*",G1:G100,"&lt;&gt;0")+_xlfn.COUNTIFS($D1:$D100,D49,$N1:$N100,"Non"&amp;"*",G1:G100,"&lt;&gt;0")),IF(N49='Suppl'!$E$67,1/(_xlfn.COUNTIFS($D1:$D100,D49,$N1:$N100,"Exigences"&amp;"*",G1:G100,"&lt;&gt;0")+_xlfn.COUNTIFS($D1:$D100,D49,$N1:$N100,"Non"&amp;"*",G1:G100,"&lt;&gt;0")),0)))</f>
        <v>0</v>
      </c>
      <c r="T49" s="797"/>
      <c r="U49" s="797"/>
      <c r="V49" s="798"/>
      <c r="W49" s="789">
        <f>_xlfn.IFERROR(IF(N49='Suppl'!$E$65,0,IF(N49='Suppl'!$E$66,1/2/(_xlfn.COUNTIFS($N1:$N100,"Exigences"&amp;"*")+_xlfn.COUNTIFS($N1:$N100,"Non"&amp;"*")),IF(N49='Suppl'!$E$67,1/(_xlfn.COUNTIFS($N1:$N100,"Exigences"&amp;"*")+_xlfn.COUNTIFS($N1:$N100,"Non"&amp;"*")),0))),0)</f>
        <v>0</v>
      </c>
      <c r="X49" s="586"/>
      <c r="Y49" s="586"/>
      <c r="Z49" s="586"/>
      <c r="AA49" s="586"/>
      <c r="AB49" s="586"/>
      <c r="AC49" s="586"/>
      <c r="AD49" s="586"/>
      <c r="AE49" s="586"/>
      <c r="AF49" s="586"/>
      <c r="AG49" s="586"/>
      <c r="AH49" s="1040"/>
      <c r="AI49" s="585"/>
    </row>
    <row r="50" ht="30" customHeight="1">
      <c r="A50" s="1039"/>
      <c r="B50" s="753"/>
      <c r="C50" t="s" s="754">
        <f>IF(LEFT(RIGHT($B$1,2),1)=" ",RIGHT($B$1,1),RIGHT($B$1,2))</f>
        <v>260</v>
      </c>
      <c r="D50" s="755">
        <f>IF(LEFT(F50,5)="Bonne",D48+1,D49)</f>
        <v>4</v>
      </c>
      <c r="E50" t="s" s="778">
        <f>C50&amp;D50&amp;RIGHT(F50,1)</f>
        <v>2446</v>
      </c>
      <c r="F50" t="s" s="779">
        <v>1778</v>
      </c>
      <c r="G50" t="s" s="780">
        <f>VLOOKUP(E50,'BDD'!$A$2:$N$567,MATCH(G$24,'BDD'!$A$1:$P$1,0),FALSE)</f>
        <v>1393</v>
      </c>
      <c r="H50" t="s" s="799">
        <f>IF(VLOOKUP($E50,'BDD'!$A$2:$N$567,MATCH($H$23,'BDD'!$A$1:$P$1,0),FALSE)=H$24,H$24,"")</f>
      </c>
      <c r="I50" t="s" s="792">
        <f>IF(VLOOKUP($E50,'BDD'!$A$2:$N$567,MATCH($H$23,'BDD'!$A$1:$P$1,0),FALSE)=I$24,I$24,"")</f>
        <v>1969</v>
      </c>
      <c r="J50" t="s" s="792">
        <f>IF(VLOOKUP($E50,'BDD'!$A$2:$N$567,MATCH($H$23,'BDD'!$A$1:$P$1,0),FALSE)=J$24,J$24,"")</f>
      </c>
      <c r="K50" t="s" s="792">
        <f>IF(VLOOKUP($E50,'BDD'!$A$2:$N$567,MATCH($H$23,'BDD'!$A$1:$P$1,0),FALSE)=K$24,K$24,"")</f>
      </c>
      <c r="L50" t="s" s="783">
        <f>IF(VLOOKUP($E50,'BDD'!$A$2:$N$567,MATCH($H$23,'BDD'!$A$1:$P$1,0),FALSE)=L$24,L$24,"")</f>
      </c>
      <c r="M50" s="800">
        <f>IF(N50="Exigences partiellement respectées",1,IF(N50="Exigences respectées",2,0))</f>
        <v>0</v>
      </c>
      <c r="N50" t="s" s="780">
        <f>VLOOKUP(VLOOKUP(E50,'BDD'!$A$2:$P$550,15,FALSE),'Suppl'!$D$64:$E$68,2,FALSE)</f>
        <v>1751</v>
      </c>
      <c r="O50" s="801"/>
      <c r="P50" s="802"/>
      <c r="Q50" s="802"/>
      <c r="R50" s="802"/>
      <c r="S50" s="803">
        <f>IF(N50='Suppl'!$E$65,0,IF(N50='Suppl'!$E$66,1/2/(_xlfn.COUNTIFS($D1:$D100,D50,$N1:$N100,"Exigences"&amp;"*",G1:G100,"&lt;&gt;0")+_xlfn.COUNTIFS($D1:$D100,D50,$N1:$N100,"Non"&amp;"*",G1:G100,"&lt;&gt;0")),IF(N50='Suppl'!$E$67,1/(_xlfn.COUNTIFS($D1:$D100,D50,$N1:$N100,"Exigences"&amp;"*",G1:G100,"&lt;&gt;0")+_xlfn.COUNTIFS($D1:$D100,D50,$N1:$N100,"Non"&amp;"*",G1:G100,"&lt;&gt;0")),0)))</f>
        <v>0</v>
      </c>
      <c r="T50" s="803"/>
      <c r="U50" s="803"/>
      <c r="V50" s="804"/>
      <c r="W50" s="789">
        <f>_xlfn.IFERROR(IF(N50='Suppl'!$E$65,0,IF(N50='Suppl'!$E$66,1/2/(_xlfn.COUNTIFS($N1:$N100,"Exigences"&amp;"*")+_xlfn.COUNTIFS($N1:$N100,"Non"&amp;"*")),IF(N50='Suppl'!$E$67,1/(_xlfn.COUNTIFS($N1:$N100,"Exigences"&amp;"*")+_xlfn.COUNTIFS($N1:$N100,"Non"&amp;"*")),0))),0)</f>
        <v>0</v>
      </c>
      <c r="X50" s="586"/>
      <c r="Y50" s="586"/>
      <c r="Z50" s="586"/>
      <c r="AA50" s="586"/>
      <c r="AB50" s="586"/>
      <c r="AC50" s="586"/>
      <c r="AD50" s="586"/>
      <c r="AE50" s="586"/>
      <c r="AF50" s="586"/>
      <c r="AG50" s="586"/>
      <c r="AH50" s="1040"/>
      <c r="AI50" s="585"/>
    </row>
    <row r="51" ht="30" customHeight="1">
      <c r="A51" s="1039"/>
      <c r="B51" s="753"/>
      <c r="C51" t="s" s="754">
        <f>IF(LEFT(RIGHT($B$1,2),1)=" ",RIGHT($B$1,1),RIGHT($B$1,2))</f>
        <v>260</v>
      </c>
      <c r="D51" s="755">
        <f>IF(LEFT(F51,5)="Bonne",D49+1,D50)</f>
        <v>5</v>
      </c>
      <c r="E51" t="s" s="778">
        <f>C51&amp;D51&amp;RIGHT(F51,1)</f>
        <v>2459</v>
      </c>
      <c r="F51" t="s" s="757">
        <v>1814</v>
      </c>
      <c r="G51" t="s" s="758">
        <f>VLOOKUP(E53,'BDD'!$A$2:$N$567,6,FALSE)</f>
        <v>1397</v>
      </c>
      <c r="H51" s="759"/>
      <c r="I51" s="760"/>
      <c r="J51" s="760"/>
      <c r="K51" s="760"/>
      <c r="L51" s="761"/>
      <c r="M51" s="762"/>
      <c r="N51" s="763"/>
      <c r="O51" s="764">
        <v>0</v>
      </c>
      <c r="P51" s="764"/>
      <c r="Q51" s="764"/>
      <c r="R51" s="764"/>
      <c r="S51" s="765">
        <f>_xlfn.SUMIFS(S1:S100,$D1:$D100,D51,$N1:$N100,"Exigences"&amp;"*")</f>
      </c>
      <c r="T51" s="765"/>
      <c r="U51" s="765"/>
      <c r="V51" s="766"/>
      <c r="W51" s="789">
        <f>_xlfn.IFERROR(IF(N51='Suppl'!$E$65,0,IF(N51='Suppl'!$E$66,1/2/(_xlfn.COUNTIFS($N1:$N100,"Exigences"&amp;"*")+_xlfn.COUNTIFS($N1:$N100,"Non"&amp;"*")),IF(N51='Suppl'!$E$67,1/(_xlfn.COUNTIFS($N1:$N100,"Exigences"&amp;"*")+_xlfn.COUNTIFS($N1:$N100,"Non"&amp;"*")),0))),0)</f>
        <v>0</v>
      </c>
      <c r="X51" s="586"/>
      <c r="Y51" s="586"/>
      <c r="Z51" s="586"/>
      <c r="AA51" s="586"/>
      <c r="AB51" s="586"/>
      <c r="AC51" s="586"/>
      <c r="AD51" s="586"/>
      <c r="AE51" s="586"/>
      <c r="AF51" s="586"/>
      <c r="AG51" s="586"/>
      <c r="AH51" s="1040"/>
      <c r="AI51" s="585"/>
    </row>
    <row r="52" ht="30" customHeight="1">
      <c r="A52" s="1039"/>
      <c r="B52" s="753"/>
      <c r="C52" t="s" s="754">
        <f>IF(LEFT(RIGHT($B$1,2),1)=" ",RIGHT($B$1,1),RIGHT($B$1,2))</f>
        <v>260</v>
      </c>
      <c r="D52" s="755">
        <f>IF(LEFT(F52,5)="Bonne",D50+1,D51)</f>
        <v>5</v>
      </c>
      <c r="E52" t="s" s="778">
        <f>C52&amp;D52&amp;RIGHT(F52,1)</f>
        <v>2460</v>
      </c>
      <c r="F52" t="s" s="769">
        <v>1835</v>
      </c>
      <c r="G52" t="s" s="770">
        <f>VLOOKUP(E54,'BDD'!$A$2:$N$567,7,FALSE)</f>
        <v>2461</v>
      </c>
      <c r="H52" s="771"/>
      <c r="I52" s="771"/>
      <c r="J52" s="771"/>
      <c r="K52" s="771"/>
      <c r="L52" s="772"/>
      <c r="M52" s="773"/>
      <c r="N52" s="774"/>
      <c r="O52" s="775"/>
      <c r="P52" s="775"/>
      <c r="Q52" s="775"/>
      <c r="R52" s="775"/>
      <c r="S52" s="776"/>
      <c r="T52" s="776"/>
      <c r="U52" s="776"/>
      <c r="V52" s="777"/>
      <c r="W52" s="789">
        <f>_xlfn.IFERROR(IF(N52='Suppl'!$E$65,0,IF(N52='Suppl'!$E$66,1/2/(_xlfn.COUNTIFS($N1:$N100,"Exigences"&amp;"*")+_xlfn.COUNTIFS($N1:$N100,"Non"&amp;"*")),IF(N52='Suppl'!$E$67,1/(_xlfn.COUNTIFS($N1:$N100,"Exigences"&amp;"*")+_xlfn.COUNTIFS($N1:$N100,"Non"&amp;"*")),0))),0)</f>
        <v>0</v>
      </c>
      <c r="X52" s="586"/>
      <c r="Y52" s="586"/>
      <c r="Z52" s="586"/>
      <c r="AA52" s="586"/>
      <c r="AB52" s="586"/>
      <c r="AC52" s="586"/>
      <c r="AD52" s="586"/>
      <c r="AE52" s="586"/>
      <c r="AF52" s="586"/>
      <c r="AG52" s="586"/>
      <c r="AH52" s="1040"/>
      <c r="AI52" s="585"/>
    </row>
    <row r="53" ht="30" customHeight="1">
      <c r="A53" s="1039"/>
      <c r="B53" s="753"/>
      <c r="C53" t="s" s="754">
        <f>IF(LEFT(RIGHT($B$1,2),1)=" ",RIGHT($B$1,1),RIGHT($B$1,2))</f>
        <v>260</v>
      </c>
      <c r="D53" s="755">
        <f>IF(LEFT(F53,5)="Bonne",D51+1,D52)</f>
        <v>5</v>
      </c>
      <c r="E53" t="s" s="778">
        <f>C53&amp;D53&amp;RIGHT(F53,1)</f>
        <v>2460</v>
      </c>
      <c r="F53" t="s" s="779">
        <v>1769</v>
      </c>
      <c r="G53" t="s" s="780">
        <f>VLOOKUP(E53,'BDD'!$A$2:$N$567,MATCH(G$24,'BDD'!$A$1:$P$1,0),FALSE)</f>
        <v>1399</v>
      </c>
      <c r="H53" t="s" s="799">
        <f>IF(VLOOKUP($E53,'BDD'!$A$2:$N$567,MATCH($H$23,'BDD'!$A$1:$P$1,0),FALSE)=H$24,H$24,"")</f>
        <v>1966</v>
      </c>
      <c r="I53" t="s" s="792">
        <f>IF(VLOOKUP($E53,'BDD'!$A$2:$N$567,MATCH($H$23,'BDD'!$A$1:$P$1,0),FALSE)=I$24,I$24,"")</f>
      </c>
      <c r="J53" t="s" s="792">
        <f>IF(VLOOKUP($E53,'BDD'!$A$2:$N$567,MATCH($H$23,'BDD'!$A$1:$P$1,0),FALSE)=J$24,J$24,"")</f>
      </c>
      <c r="K53" t="s" s="792">
        <f>IF(VLOOKUP($E53,'BDD'!$A$2:$N$567,MATCH($H$23,'BDD'!$A$1:$P$1,0),FALSE)=K$24,K$24,"")</f>
      </c>
      <c r="L53" t="s" s="783">
        <f>IF(VLOOKUP($E53,'BDD'!$A$2:$N$567,MATCH($H$23,'BDD'!$A$1:$P$1,0),FALSE)=L$24,L$24,"")</f>
      </c>
      <c r="M53" s="784">
        <f>IF(N53="Exigences partiellement respectées",1,IF(N53="Exigences respectées",2,0))</f>
        <v>0</v>
      </c>
      <c r="N53" t="s" s="780">
        <f>VLOOKUP(VLOOKUP(E53,'BDD'!$A$2:$P$550,15,FALSE),'Suppl'!$D$64:$E$68,2,FALSE)</f>
        <v>1751</v>
      </c>
      <c r="O53" s="785"/>
      <c r="P53" s="786"/>
      <c r="Q53" s="786"/>
      <c r="R53" s="786"/>
      <c r="S53" s="787">
        <f>IF(N53='Suppl'!$E$65,0,IF(N53='Suppl'!$E$66,1/2/(_xlfn.COUNTIFS($D1:$D100,D53,$N1:$N100,"Exigences"&amp;"*",G1:G100,"&lt;&gt;0")+_xlfn.COUNTIFS($D1:$D100,D53,$N1:$N100,"Non"&amp;"*",G1:G100,"&lt;&gt;0")),IF(N53='Suppl'!$E$67,1/(_xlfn.COUNTIFS($D1:$D100,D53,$N1:$N100,"Exigences"&amp;"*",G1:G100,"&lt;&gt;0")+_xlfn.COUNTIFS($D1:$D100,D53,$N1:$N100,"Non"&amp;"*",G1:G100,"&lt;&gt;0")),0)))</f>
        <v>0</v>
      </c>
      <c r="T53" s="787"/>
      <c r="U53" s="787"/>
      <c r="V53" s="788"/>
      <c r="W53" s="789">
        <f>_xlfn.IFERROR(IF(N53='Suppl'!$E$65,0,IF(N53='Suppl'!$E$66,1/2/(_xlfn.COUNTIFS($N1:$N100,"Exigences"&amp;"*")+_xlfn.COUNTIFS($N1:$N100,"Non"&amp;"*")),IF(N53='Suppl'!$E$67,1/(_xlfn.COUNTIFS($N1:$N100,"Exigences"&amp;"*")+_xlfn.COUNTIFS($N1:$N100,"Non"&amp;"*")),0))),0)</f>
        <v>0</v>
      </c>
      <c r="X53" s="586"/>
      <c r="Y53" s="586"/>
      <c r="Z53" s="586"/>
      <c r="AA53" s="586"/>
      <c r="AB53" s="586"/>
      <c r="AC53" s="586"/>
      <c r="AD53" s="586"/>
      <c r="AE53" s="586"/>
      <c r="AF53" s="586"/>
      <c r="AG53" s="586"/>
      <c r="AH53" s="1040"/>
      <c r="AI53" s="585"/>
    </row>
    <row r="54" ht="30" customHeight="1">
      <c r="A54" s="1039"/>
      <c r="B54" s="753"/>
      <c r="C54" t="s" s="754">
        <f>IF(LEFT(RIGHT($B$1,2),1)=" ",RIGHT($B$1,1),RIGHT($B$1,2))</f>
        <v>260</v>
      </c>
      <c r="D54" s="755">
        <f>IF(LEFT(F54,5)="Bonne",D52+1,D53)</f>
        <v>5</v>
      </c>
      <c r="E54" t="s" s="778">
        <f>C54&amp;D54&amp;RIGHT(F54,1)</f>
        <v>2462</v>
      </c>
      <c r="F54" t="s" s="790">
        <v>1837</v>
      </c>
      <c r="G54" t="s" s="791">
        <f>VLOOKUP(E54,'BDD'!$A$2:$N$567,MATCH(G$24,'BDD'!$A$1:$P$1,0),FALSE)</f>
        <v>1402</v>
      </c>
      <c r="H54" t="s" s="799">
        <f>IF(VLOOKUP($E54,'BDD'!$A$2:$N$567,MATCH($H$23,'BDD'!$A$1:$P$1,0),FALSE)=H$24,H$24,"")</f>
        <v>1966</v>
      </c>
      <c r="I54" t="s" s="792">
        <f>IF(VLOOKUP($E54,'BDD'!$A$2:$N$567,MATCH($H$23,'BDD'!$A$1:$P$1,0),FALSE)=I$24,I$24,"")</f>
      </c>
      <c r="J54" t="s" s="792">
        <f>IF(VLOOKUP($E54,'BDD'!$A$2:$N$567,MATCH($H$23,'BDD'!$A$1:$P$1,0),FALSE)=J$24,J$24,"")</f>
      </c>
      <c r="K54" t="s" s="792">
        <f>IF(VLOOKUP($E54,'BDD'!$A$2:$N$567,MATCH($H$23,'BDD'!$A$1:$P$1,0),FALSE)=K$24,K$24,"")</f>
      </c>
      <c r="L54" t="s" s="783">
        <f>IF(VLOOKUP($E54,'BDD'!$A$2:$N$567,MATCH($H$23,'BDD'!$A$1:$P$1,0),FALSE)=L$24,L$24,"")</f>
      </c>
      <c r="M54" s="794">
        <f>IF(N54="Exigences partiellement respectées",1,IF(N54="Exigences respectées",2,0))</f>
        <v>0</v>
      </c>
      <c r="N54" t="s" s="791">
        <f>VLOOKUP(VLOOKUP(E54,'BDD'!$A$2:$P$550,15,FALSE),'Suppl'!$D$64:$E$68,2,FALSE)</f>
        <v>1751</v>
      </c>
      <c r="O54" s="795"/>
      <c r="P54" s="796"/>
      <c r="Q54" s="796"/>
      <c r="R54" s="796"/>
      <c r="S54" s="797">
        <f>IF(N54='Suppl'!$E$65,0,IF(N54='Suppl'!$E$66,1/2/(_xlfn.COUNTIFS($D1:$D100,D54,$N1:$N100,"Exigences"&amp;"*",G1:G100,"&lt;&gt;0")+_xlfn.COUNTIFS($D1:$D100,D54,$N1:$N100,"Non"&amp;"*",G1:G100,"&lt;&gt;0")),IF(N54='Suppl'!$E$67,1/(_xlfn.COUNTIFS($D1:$D100,D54,$N1:$N100,"Exigences"&amp;"*",G1:G100,"&lt;&gt;0")+_xlfn.COUNTIFS($D1:$D100,D54,$N1:$N100,"Non"&amp;"*",G1:G100,"&lt;&gt;0")),0)))</f>
        <v>0</v>
      </c>
      <c r="T54" s="797"/>
      <c r="U54" s="797"/>
      <c r="V54" s="798"/>
      <c r="W54" s="789">
        <f>_xlfn.IFERROR(IF(N54='Suppl'!$E$65,0,IF(N54='Suppl'!$E$66,1/2/(_xlfn.COUNTIFS($N1:$N100,"Exigences"&amp;"*")+_xlfn.COUNTIFS($N1:$N100,"Non"&amp;"*")),IF(N54='Suppl'!$E$67,1/(_xlfn.COUNTIFS($N1:$N100,"Exigences"&amp;"*")+_xlfn.COUNTIFS($N1:$N100,"Non"&amp;"*")),0))),0)</f>
        <v>0</v>
      </c>
      <c r="X54" s="586"/>
      <c r="Y54" s="586"/>
      <c r="Z54" s="586"/>
      <c r="AA54" s="586"/>
      <c r="AB54" s="586"/>
      <c r="AC54" s="586"/>
      <c r="AD54" s="586"/>
      <c r="AE54" s="586"/>
      <c r="AF54" s="586"/>
      <c r="AG54" s="586"/>
      <c r="AH54" s="1040"/>
      <c r="AI54" s="585"/>
    </row>
    <row r="55" ht="30" customHeight="1">
      <c r="A55" s="1039"/>
      <c r="B55" s="753"/>
      <c r="C55" t="s" s="754">
        <f>IF(LEFT(RIGHT($B$1,2),1)=" ",RIGHT($B$1,1),RIGHT($B$1,2))</f>
        <v>260</v>
      </c>
      <c r="D55" s="755">
        <f>IF(LEFT(F55,5)="Bonne",D53+1,D54)</f>
        <v>5</v>
      </c>
      <c r="E55" t="s" s="778">
        <f>C55&amp;D55&amp;RIGHT(F55,1)</f>
        <v>2463</v>
      </c>
      <c r="F55" t="s" s="779">
        <v>1774</v>
      </c>
      <c r="G55" t="s" s="780">
        <f>VLOOKUP(E55,'BDD'!$A$2:$N$567,MATCH(G$24,'BDD'!$A$1:$P$1,0),FALSE)</f>
        <v>1405</v>
      </c>
      <c r="H55" t="s" s="799">
        <f>IF(VLOOKUP($E55,'BDD'!$A$2:$N$567,MATCH($H$23,'BDD'!$A$1:$P$1,0),FALSE)=H$24,H$24,"")</f>
      </c>
      <c r="I55" t="s" s="792">
        <f>IF(VLOOKUP($E55,'BDD'!$A$2:$N$567,MATCH($H$23,'BDD'!$A$1:$P$1,0),FALSE)=I$24,I$24,"")</f>
        <v>1969</v>
      </c>
      <c r="J55" t="s" s="792">
        <f>IF(VLOOKUP($E55,'BDD'!$A$2:$N$567,MATCH($H$23,'BDD'!$A$1:$P$1,0),FALSE)=J$24,J$24,"")</f>
      </c>
      <c r="K55" t="s" s="792">
        <f>IF(VLOOKUP($E55,'BDD'!$A$2:$N$567,MATCH($H$23,'BDD'!$A$1:$P$1,0),FALSE)=K$24,K$24,"")</f>
      </c>
      <c r="L55" t="s" s="783">
        <f>IF(VLOOKUP($E55,'BDD'!$A$2:$N$567,MATCH($H$23,'BDD'!$A$1:$P$1,0),FALSE)=L$24,L$24,"")</f>
      </c>
      <c r="M55" s="794">
        <f>IF(N55="Exigences partiellement respectées",1,IF(N55="Exigences respectées",2,0))</f>
        <v>0</v>
      </c>
      <c r="N55" t="s" s="780">
        <f>VLOOKUP(VLOOKUP(E55,'BDD'!$A$2:$P$550,15,FALSE),'Suppl'!$D$64:$E$68,2,FALSE)</f>
        <v>1751</v>
      </c>
      <c r="O55" s="795"/>
      <c r="P55" s="796"/>
      <c r="Q55" s="796"/>
      <c r="R55" s="796"/>
      <c r="S55" s="797">
        <f>IF(N55='Suppl'!$E$65,0,IF(N55='Suppl'!$E$66,1/2/(_xlfn.COUNTIFS($D1:$D100,D55,$N1:$N100,"Exigences"&amp;"*",G1:G100,"&lt;&gt;0")+_xlfn.COUNTIFS($D1:$D100,D55,$N1:$N100,"Non"&amp;"*",G1:G100,"&lt;&gt;0")),IF(N55='Suppl'!$E$67,1/(_xlfn.COUNTIFS($D1:$D100,D55,$N1:$N100,"Exigences"&amp;"*",G1:G100,"&lt;&gt;0")+_xlfn.COUNTIFS($D1:$D100,D55,$N1:$N100,"Non"&amp;"*",G1:G100,"&lt;&gt;0")),0)))</f>
        <v>0</v>
      </c>
      <c r="T55" s="797"/>
      <c r="U55" s="797"/>
      <c r="V55" s="798"/>
      <c r="W55" s="789">
        <f>_xlfn.IFERROR(IF(N55='Suppl'!$E$65,0,IF(N55='Suppl'!$E$66,1/2/(_xlfn.COUNTIFS($N1:$N100,"Exigences"&amp;"*")+_xlfn.COUNTIFS($N1:$N100,"Non"&amp;"*")),IF(N55='Suppl'!$E$67,1/(_xlfn.COUNTIFS($N1:$N100,"Exigences"&amp;"*")+_xlfn.COUNTIFS($N1:$N100,"Non"&amp;"*")),0))),0)</f>
        <v>0</v>
      </c>
      <c r="X55" s="586"/>
      <c r="Y55" s="586"/>
      <c r="Z55" s="586"/>
      <c r="AA55" s="586"/>
      <c r="AB55" s="586"/>
      <c r="AC55" s="586"/>
      <c r="AD55" s="586"/>
      <c r="AE55" s="586"/>
      <c r="AF55" s="586"/>
      <c r="AG55" s="586"/>
      <c r="AH55" s="1040"/>
      <c r="AI55" s="585"/>
    </row>
    <row r="56" ht="30" customHeight="1">
      <c r="A56" s="1039"/>
      <c r="B56" s="753"/>
      <c r="C56" t="s" s="754">
        <f>IF(LEFT(RIGHT($B$1,2),1)=" ",RIGHT($B$1,1),RIGHT($B$1,2))</f>
        <v>260</v>
      </c>
      <c r="D56" s="755">
        <f>IF(LEFT(F56,5)="Bonne",D54+1,D55)</f>
        <v>5</v>
      </c>
      <c r="E56" t="s" s="778">
        <f>C56&amp;D56&amp;RIGHT(F56,1)</f>
        <v>2464</v>
      </c>
      <c r="F56" t="s" s="790">
        <v>1776</v>
      </c>
      <c r="G56" t="s" s="791">
        <f>VLOOKUP(E56,'BDD'!$A$2:$N$567,MATCH(G$24,'BDD'!$A$1:$P$1,0),FALSE)</f>
        <v>1408</v>
      </c>
      <c r="H56" t="s" s="799">
        <f>IF(VLOOKUP($E56,'BDD'!$A$2:$N$567,MATCH($H$23,'BDD'!$A$1:$P$1,0),FALSE)=H$24,H$24,"")</f>
      </c>
      <c r="I56" t="s" s="792">
        <f>IF(VLOOKUP($E56,'BDD'!$A$2:$N$567,MATCH($H$23,'BDD'!$A$1:$P$1,0),FALSE)=I$24,I$24,"")</f>
      </c>
      <c r="J56" t="s" s="792">
        <f>IF(VLOOKUP($E56,'BDD'!$A$2:$N$567,MATCH($H$23,'BDD'!$A$1:$P$1,0),FALSE)=J$24,J$24,"")</f>
        <v>1967</v>
      </c>
      <c r="K56" t="s" s="792">
        <f>IF(VLOOKUP($E56,'BDD'!$A$2:$N$567,MATCH($H$23,'BDD'!$A$1:$P$1,0),FALSE)=K$24,K$24,"")</f>
      </c>
      <c r="L56" t="s" s="783">
        <f>IF(VLOOKUP($E56,'BDD'!$A$2:$N$567,MATCH($H$23,'BDD'!$A$1:$P$1,0),FALSE)=L$24,L$24,"")</f>
      </c>
      <c r="M56" s="794">
        <f>IF(N56="Exigences partiellement respectées",1,IF(N56="Exigences respectées",2,0))</f>
        <v>0</v>
      </c>
      <c r="N56" t="s" s="791">
        <f>VLOOKUP(VLOOKUP(E56,'BDD'!$A$2:$P$550,15,FALSE),'Suppl'!$D$64:$E$68,2,FALSE)</f>
        <v>1751</v>
      </c>
      <c r="O56" s="795"/>
      <c r="P56" s="796"/>
      <c r="Q56" s="796"/>
      <c r="R56" s="796"/>
      <c r="S56" s="797">
        <f>IF(N56='Suppl'!$E$65,0,IF(N56='Suppl'!$E$66,1/2/(_xlfn.COUNTIFS($D1:$D100,D56,$N1:$N100,"Exigences"&amp;"*",G1:G100,"&lt;&gt;0")+_xlfn.COUNTIFS($D1:$D100,D56,$N1:$N100,"Non"&amp;"*",G1:G100,"&lt;&gt;0")),IF(N56='Suppl'!$E$67,1/(_xlfn.COUNTIFS($D1:$D100,D56,$N1:$N100,"Exigences"&amp;"*",G1:G100,"&lt;&gt;0")+_xlfn.COUNTIFS($D1:$D100,D56,$N1:$N100,"Non"&amp;"*",G1:G100,"&lt;&gt;0")),0)))</f>
        <v>0</v>
      </c>
      <c r="T56" s="797"/>
      <c r="U56" s="797"/>
      <c r="V56" s="798"/>
      <c r="W56" s="789">
        <f>_xlfn.IFERROR(IF(N56='Suppl'!$E$65,0,IF(N56='Suppl'!$E$66,1/2/(_xlfn.COUNTIFS($N1:$N100,"Exigences"&amp;"*")+_xlfn.COUNTIFS($N1:$N100,"Non"&amp;"*")),IF(N56='Suppl'!$E$67,1/(_xlfn.COUNTIFS($N1:$N100,"Exigences"&amp;"*")+_xlfn.COUNTIFS($N1:$N100,"Non"&amp;"*")),0))),0)</f>
        <v>0</v>
      </c>
      <c r="X56" s="586"/>
      <c r="Y56" s="586"/>
      <c r="Z56" s="586"/>
      <c r="AA56" s="586"/>
      <c r="AB56" s="586"/>
      <c r="AC56" s="586"/>
      <c r="AD56" s="586"/>
      <c r="AE56" s="586"/>
      <c r="AF56" s="586"/>
      <c r="AG56" s="586"/>
      <c r="AH56" s="1040"/>
      <c r="AI56" s="585"/>
    </row>
    <row r="57" ht="30" customHeight="1">
      <c r="A57" s="1039"/>
      <c r="B57" s="753"/>
      <c r="C57" t="s" s="754">
        <f>IF(LEFT(RIGHT($B$1,2),1)=" ",RIGHT($B$1,1),RIGHT($B$1,2))</f>
        <v>260</v>
      </c>
      <c r="D57" s="755">
        <f>IF(LEFT(F57,5)="Bonne",D55+1,D56)</f>
        <v>5</v>
      </c>
      <c r="E57" t="s" s="778">
        <f>C57&amp;D57&amp;RIGHT(F57,1)</f>
        <v>2459</v>
      </c>
      <c r="F57" t="s" s="779">
        <v>1778</v>
      </c>
      <c r="G57" t="s" s="780">
        <f>VLOOKUP(E57,'BDD'!$A$2:$N$567,MATCH(G$24,'BDD'!$A$1:$P$1,0),FALSE)</f>
        <v>1411</v>
      </c>
      <c r="H57" t="s" s="799">
        <f>IF(VLOOKUP($E57,'BDD'!$A$2:$N$567,MATCH($H$23,'BDD'!$A$1:$P$1,0),FALSE)=H$24,H$24,"")</f>
      </c>
      <c r="I57" t="s" s="792">
        <f>IF(VLOOKUP($E57,'BDD'!$A$2:$N$567,MATCH($H$23,'BDD'!$A$1:$P$1,0),FALSE)=I$24,I$24,"")</f>
      </c>
      <c r="J57" t="s" s="792">
        <f>IF(VLOOKUP($E57,'BDD'!$A$2:$N$567,MATCH($H$23,'BDD'!$A$1:$P$1,0),FALSE)=J$24,J$24,"")</f>
      </c>
      <c r="K57" t="s" s="792">
        <f>IF(VLOOKUP($E57,'BDD'!$A$2:$N$567,MATCH($H$23,'BDD'!$A$1:$P$1,0),FALSE)=K$24,K$24,"")</f>
        <v>1968</v>
      </c>
      <c r="L57" t="s" s="783">
        <f>IF(VLOOKUP($E57,'BDD'!$A$2:$N$567,MATCH($H$23,'BDD'!$A$1:$P$1,0),FALSE)=L$24,L$24,"")</f>
      </c>
      <c r="M57" s="794">
        <f>IF(N57="Exigences partiellement respectées",1,IF(N57="Exigences respectées",2,0))</f>
        <v>0</v>
      </c>
      <c r="N57" t="s" s="780">
        <f>VLOOKUP(VLOOKUP(E57,'BDD'!$A$2:$P$550,15,FALSE),'Suppl'!$D$64:$E$68,2,FALSE)</f>
        <v>1751</v>
      </c>
      <c r="O57" s="795"/>
      <c r="P57" s="796"/>
      <c r="Q57" s="796"/>
      <c r="R57" s="796"/>
      <c r="S57" s="797">
        <f>IF(N57='Suppl'!$E$65,0,IF(N57='Suppl'!$E$66,1/2/(_xlfn.COUNTIFS($D1:$D100,D57,$N1:$N100,"Exigences"&amp;"*",G1:G100,"&lt;&gt;0")+_xlfn.COUNTIFS($D1:$D100,D57,$N1:$N100,"Non"&amp;"*",G1:G100,"&lt;&gt;0")),IF(N57='Suppl'!$E$67,1/(_xlfn.COUNTIFS($D1:$D100,D57,$N1:$N100,"Exigences"&amp;"*",G1:G100,"&lt;&gt;0")+_xlfn.COUNTIFS($D1:$D100,D57,$N1:$N100,"Non"&amp;"*",G1:G100,"&lt;&gt;0")),0)))</f>
        <v>0</v>
      </c>
      <c r="T57" s="797"/>
      <c r="U57" s="797"/>
      <c r="V57" s="798"/>
      <c r="W57" s="789">
        <f>_xlfn.IFERROR(IF(N57='Suppl'!$E$65,0,IF(N57='Suppl'!$E$66,1/2/(_xlfn.COUNTIFS($N1:$N100,"Exigences"&amp;"*")+_xlfn.COUNTIFS($N1:$N100,"Non"&amp;"*")),IF(N57='Suppl'!$E$67,1/(_xlfn.COUNTIFS($N1:$N100,"Exigences"&amp;"*")+_xlfn.COUNTIFS($N1:$N100,"Non"&amp;"*")),0))),0)</f>
        <v>0</v>
      </c>
      <c r="X57" s="586"/>
      <c r="Y57" s="586"/>
      <c r="Z57" s="586"/>
      <c r="AA57" s="586"/>
      <c r="AB57" s="586"/>
      <c r="AC57" s="586"/>
      <c r="AD57" s="586"/>
      <c r="AE57" s="586"/>
      <c r="AF57" s="586"/>
      <c r="AG57" s="586"/>
      <c r="AH57" s="1040"/>
      <c r="AI57" s="585"/>
    </row>
    <row r="58" ht="30" customHeight="1">
      <c r="A58" s="1039"/>
      <c r="B58" s="753"/>
      <c r="C58" t="s" s="754">
        <f>IF(LEFT(RIGHT($B$1,2),1)=" ",RIGHT($B$1,1),RIGHT($B$1,2))</f>
        <v>260</v>
      </c>
      <c r="D58" s="755">
        <f>IF(LEFT(F58,5)="Bonne",D56+1,D57)</f>
        <v>5</v>
      </c>
      <c r="E58" t="s" s="778">
        <f>C58&amp;D58&amp;RIGHT(F58,1)</f>
        <v>2465</v>
      </c>
      <c r="F58" t="s" s="790">
        <v>1780</v>
      </c>
      <c r="G58" t="s" s="791">
        <f>VLOOKUP(E58,'BDD'!$A$2:$N$567,MATCH(G$24,'BDD'!$A$1:$P$1,0),FALSE)</f>
        <v>1414</v>
      </c>
      <c r="H58" t="s" s="799">
        <f>IF(VLOOKUP($E58,'BDD'!$A$2:$N$567,MATCH($H$23,'BDD'!$A$1:$P$1,0),FALSE)=H$24,H$24,"")</f>
      </c>
      <c r="I58" t="s" s="792">
        <f>IF(VLOOKUP($E58,'BDD'!$A$2:$N$567,MATCH($H$23,'BDD'!$A$1:$P$1,0),FALSE)=I$24,I$24,"")</f>
      </c>
      <c r="J58" t="s" s="792">
        <f>IF(VLOOKUP($E58,'BDD'!$A$2:$N$567,MATCH($H$23,'BDD'!$A$1:$P$1,0),FALSE)=J$24,J$24,"")</f>
        <v>1967</v>
      </c>
      <c r="K58" t="s" s="792">
        <f>IF(VLOOKUP($E58,'BDD'!$A$2:$N$567,MATCH($H$23,'BDD'!$A$1:$P$1,0),FALSE)=K$24,K$24,"")</f>
      </c>
      <c r="L58" t="s" s="783">
        <f>IF(VLOOKUP($E58,'BDD'!$A$2:$N$567,MATCH($H$23,'BDD'!$A$1:$P$1,0),FALSE)=L$24,L$24,"")</f>
      </c>
      <c r="M58" s="794">
        <f>IF(N58="Exigences partiellement respectées",1,IF(N58="Exigences respectées",2,0))</f>
        <v>0</v>
      </c>
      <c r="N58" t="s" s="980">
        <f>VLOOKUP(VLOOKUP(E58,'BDD'!$A$2:$P$550,15,FALSE),'Suppl'!$D$64:$E$68,2,FALSE)</f>
        <v>1751</v>
      </c>
      <c r="O58" s="795"/>
      <c r="P58" s="796"/>
      <c r="Q58" s="796"/>
      <c r="R58" s="796"/>
      <c r="S58" s="797">
        <f>IF(N58='Suppl'!$E$65,0,IF(N58='Suppl'!$E$66,1/2/(_xlfn.COUNTIFS($D1:$D100,D58,$N1:$N100,"Exigences"&amp;"*",G1:G100,"&lt;&gt;0")+_xlfn.COUNTIFS($D1:$D100,D58,$N1:$N100,"Non"&amp;"*",G1:G100,"&lt;&gt;0")),IF(N58='Suppl'!$E$67,1/(_xlfn.COUNTIFS($D1:$D100,D58,$N1:$N100,"Exigences"&amp;"*",G1:G100,"&lt;&gt;0")+_xlfn.COUNTIFS($D1:$D100,D58,$N1:$N100,"Non"&amp;"*",G1:G100,"&lt;&gt;0")),0)))</f>
        <v>0</v>
      </c>
      <c r="T58" s="797"/>
      <c r="U58" s="797"/>
      <c r="V58" s="798"/>
      <c r="W58" s="789">
        <f>_xlfn.IFERROR(IF(N58='Suppl'!$E$65,0,IF(N58='Suppl'!$E$66,1/2/(_xlfn.COUNTIFS($N1:$N100,"Exigences"&amp;"*")+_xlfn.COUNTIFS($N1:$N100,"Non"&amp;"*")),IF(N58='Suppl'!$E$67,1/(_xlfn.COUNTIFS($N1:$N100,"Exigences"&amp;"*")+_xlfn.COUNTIFS($N1:$N100,"Non"&amp;"*")),0))),0)</f>
        <v>0</v>
      </c>
      <c r="X58" s="586"/>
      <c r="Y58" s="586"/>
      <c r="Z58" s="586"/>
      <c r="AA58" s="586"/>
      <c r="AB58" s="586"/>
      <c r="AC58" s="586"/>
      <c r="AD58" s="586"/>
      <c r="AE58" s="586"/>
      <c r="AF58" s="586"/>
      <c r="AG58" s="586"/>
      <c r="AH58" s="1040"/>
      <c r="AI58" s="585"/>
    </row>
    <row r="59" ht="41.4" customHeight="1">
      <c r="A59" s="1039"/>
      <c r="B59" s="753"/>
      <c r="C59" t="s" s="754">
        <f>IF(LEFT(RIGHT($B$1,2),1)=" ",RIGHT($B$1,1),RIGHT($B$1,2))</f>
        <v>260</v>
      </c>
      <c r="D59" s="755">
        <f>IF(LEFT(F59,5)="Bonne",D57+1,D58)</f>
        <v>5</v>
      </c>
      <c r="E59" t="s" s="778">
        <f>C59&amp;D59&amp;RIGHT(F59,1)</f>
        <v>2466</v>
      </c>
      <c r="F59" t="s" s="779">
        <v>1782</v>
      </c>
      <c r="G59" t="s" s="780">
        <f>VLOOKUP(E59,'BDD'!$A$2:$N$567,MATCH(G$24,'BDD'!$A$1:$P$1,0),FALSE)</f>
        <v>1417</v>
      </c>
      <c r="H59" t="s" s="799">
        <f>IF(VLOOKUP($E59,'BDD'!$A$2:$N$567,MATCH($H$23,'BDD'!$A$1:$P$1,0),FALSE)=H$24,H$24,"")</f>
      </c>
      <c r="I59" t="s" s="792">
        <f>IF(VLOOKUP($E59,'BDD'!$A$2:$N$567,MATCH($H$23,'BDD'!$A$1:$P$1,0),FALSE)=I$24,I$24,"")</f>
        <v>1969</v>
      </c>
      <c r="J59" t="s" s="792">
        <f>IF(VLOOKUP($E59,'BDD'!$A$2:$N$567,MATCH($H$23,'BDD'!$A$1:$P$1,0),FALSE)=J$24,J$24,"")</f>
      </c>
      <c r="K59" t="s" s="792">
        <f>IF(VLOOKUP($E59,'BDD'!$A$2:$N$567,MATCH($H$23,'BDD'!$A$1:$P$1,0),FALSE)=K$24,K$24,"")</f>
      </c>
      <c r="L59" t="s" s="783">
        <f>IF(VLOOKUP($E59,'BDD'!$A$2:$N$567,MATCH($H$23,'BDD'!$A$1:$P$1,0),FALSE)=L$24,L$24,"")</f>
      </c>
      <c r="M59" s="800">
        <f>IF(N59="Exigences partiellement respectées",1,IF(N59="Exigences respectées",2,0))</f>
        <v>0</v>
      </c>
      <c r="N59" t="s" s="780">
        <f>VLOOKUP(VLOOKUP(E59,'BDD'!$A$2:$P$550,15,FALSE),'Suppl'!$D$64:$E$68,2,FALSE)</f>
        <v>1751</v>
      </c>
      <c r="O59" s="801"/>
      <c r="P59" s="802"/>
      <c r="Q59" s="802"/>
      <c r="R59" s="802"/>
      <c r="S59" s="803">
        <f>IF(N59='Suppl'!$E$65,0,IF(N59='Suppl'!$E$66,1/2/(_xlfn.COUNTIFS($D1:$D100,D59,$N1:$N100,"Exigences"&amp;"*",G1:G100,"&lt;&gt;0")+_xlfn.COUNTIFS($D1:$D100,D59,$N1:$N100,"Non"&amp;"*",G1:G100,"&lt;&gt;0")),IF(N59='Suppl'!$E$67,1/(_xlfn.COUNTIFS($D1:$D100,D59,$N1:$N100,"Exigences"&amp;"*",G1:G100,"&lt;&gt;0")+_xlfn.COUNTIFS($D1:$D100,D59,$N1:$N100,"Non"&amp;"*",G1:G100,"&lt;&gt;0")),0)))</f>
        <v>0</v>
      </c>
      <c r="T59" s="803"/>
      <c r="U59" s="803"/>
      <c r="V59" s="804"/>
      <c r="W59" s="789">
        <f>_xlfn.IFERROR(IF(N59='Suppl'!$E$65,0,IF(N59='Suppl'!$E$66,1/2/(_xlfn.COUNTIFS($N1:$N100,"Exigences"&amp;"*")+_xlfn.COUNTIFS($N1:$N100,"Non"&amp;"*")),IF(N59='Suppl'!$E$67,1/(_xlfn.COUNTIFS($N1:$N100,"Exigences"&amp;"*")+_xlfn.COUNTIFS($N1:$N100,"Non"&amp;"*")),0))),0)</f>
        <v>0</v>
      </c>
      <c r="X59" s="586"/>
      <c r="Y59" s="586"/>
      <c r="Z59" s="586"/>
      <c r="AA59" s="586"/>
      <c r="AB59" s="586"/>
      <c r="AC59" s="586"/>
      <c r="AD59" s="586"/>
      <c r="AE59" s="586"/>
      <c r="AF59" s="586"/>
      <c r="AG59" s="586"/>
      <c r="AH59" s="1040"/>
      <c r="AI59" s="585"/>
    </row>
    <row r="60" ht="30" customHeight="1">
      <c r="A60" s="1039"/>
      <c r="B60" s="753"/>
      <c r="C60" t="s" s="754">
        <f>IF(LEFT(RIGHT($B$1,2),1)=" ",RIGHT($B$1,1),RIGHT($B$1,2))</f>
        <v>260</v>
      </c>
      <c r="D60" s="755">
        <f>IF(LEFT(F60,5)="Bonne",D58+1,D59)</f>
        <v>6</v>
      </c>
      <c r="E60" t="s" s="778">
        <f>C60&amp;D60&amp;RIGHT(F60,1)</f>
        <v>2467</v>
      </c>
      <c r="F60" t="s" s="757">
        <v>1887</v>
      </c>
      <c r="G60" t="s" s="758">
        <f>VLOOKUP(E62,'BDD'!$A$2:$N$567,6,FALSE)</f>
        <v>1419</v>
      </c>
      <c r="H60" s="759"/>
      <c r="I60" s="760"/>
      <c r="J60" s="760"/>
      <c r="K60" s="760"/>
      <c r="L60" s="761"/>
      <c r="M60" s="762"/>
      <c r="N60" s="763"/>
      <c r="O60" s="764">
        <v>0</v>
      </c>
      <c r="P60" s="764"/>
      <c r="Q60" s="764"/>
      <c r="R60" s="764"/>
      <c r="S60" s="765">
        <f>_xlfn.SUMIFS(S1:S100,$D1:$D100,D60,$N1:$N100,"Exigences"&amp;"*")</f>
      </c>
      <c r="T60" s="765"/>
      <c r="U60" s="765"/>
      <c r="V60" s="766"/>
      <c r="W60" s="789">
        <f>_xlfn.IFERROR(IF(N60='Suppl'!$E$65,0,IF(N60='Suppl'!$E$66,1/2/(_xlfn.COUNTIFS($N1:$N100,"Exigences"&amp;"*")+_xlfn.COUNTIFS($N1:$N100,"Non"&amp;"*")),IF(N60='Suppl'!$E$67,1/(_xlfn.COUNTIFS($N1:$N100,"Exigences"&amp;"*")+_xlfn.COUNTIFS($N1:$N100,"Non"&amp;"*")),0))),0)</f>
        <v>0</v>
      </c>
      <c r="X60" s="586"/>
      <c r="Y60" s="586"/>
      <c r="Z60" s="586"/>
      <c r="AA60" s="586"/>
      <c r="AB60" s="586"/>
      <c r="AC60" s="586"/>
      <c r="AD60" s="586"/>
      <c r="AE60" s="586"/>
      <c r="AF60" s="586"/>
      <c r="AG60" s="586"/>
      <c r="AH60" s="1040"/>
      <c r="AI60" s="585"/>
    </row>
    <row r="61" ht="30" customHeight="1">
      <c r="A61" s="1039"/>
      <c r="B61" s="753"/>
      <c r="C61" t="s" s="754">
        <f>IF(LEFT(RIGHT($B$1,2),1)=" ",RIGHT($B$1,1),RIGHT($B$1,2))</f>
        <v>260</v>
      </c>
      <c r="D61" s="755">
        <f>IF(LEFT(F61,5)="Bonne",D59+1,D60)</f>
        <v>6</v>
      </c>
      <c r="E61" t="s" s="778">
        <f>C61&amp;D61&amp;RIGHT(F61,1)</f>
        <v>2468</v>
      </c>
      <c r="F61" t="s" s="769">
        <v>1835</v>
      </c>
      <c r="G61" t="s" s="770">
        <f>VLOOKUP(E63,'BDD'!$A$2:$N$567,7,FALSE)</f>
        <v>2469</v>
      </c>
      <c r="H61" s="771"/>
      <c r="I61" s="771"/>
      <c r="J61" s="771"/>
      <c r="K61" s="771"/>
      <c r="L61" s="772"/>
      <c r="M61" s="773"/>
      <c r="N61" s="774"/>
      <c r="O61" s="775"/>
      <c r="P61" s="775"/>
      <c r="Q61" s="775"/>
      <c r="R61" s="775"/>
      <c r="S61" s="776"/>
      <c r="T61" s="776"/>
      <c r="U61" s="776"/>
      <c r="V61" s="777"/>
      <c r="W61" s="789">
        <f>_xlfn.IFERROR(IF(N61='Suppl'!$E$65,0,IF(N61='Suppl'!$E$66,1/2/(_xlfn.COUNTIFS($N1:$N100,"Exigences"&amp;"*")+_xlfn.COUNTIFS($N1:$N100,"Non"&amp;"*")),IF(N61='Suppl'!$E$67,1/(_xlfn.COUNTIFS($N1:$N100,"Exigences"&amp;"*")+_xlfn.COUNTIFS($N1:$N100,"Non"&amp;"*")),0))),0)</f>
        <v>0</v>
      </c>
      <c r="X61" s="586"/>
      <c r="Y61" s="586"/>
      <c r="Z61" s="586"/>
      <c r="AA61" s="586"/>
      <c r="AB61" s="586"/>
      <c r="AC61" s="586"/>
      <c r="AD61" s="586"/>
      <c r="AE61" s="586"/>
      <c r="AF61" s="586"/>
      <c r="AG61" s="586"/>
      <c r="AH61" s="1040"/>
      <c r="AI61" s="585"/>
    </row>
    <row r="62" ht="30" customHeight="1">
      <c r="A62" s="1039"/>
      <c r="B62" s="753"/>
      <c r="C62" t="s" s="754">
        <f>IF(LEFT(RIGHT($B$1,2),1)=" ",RIGHT($B$1,1),RIGHT($B$1,2))</f>
        <v>260</v>
      </c>
      <c r="D62" s="755">
        <f>IF(LEFT(F62,5)="Bonne",D60+1,D61)</f>
        <v>6</v>
      </c>
      <c r="E62" t="s" s="778">
        <f>C62&amp;D62&amp;RIGHT(F62,1)</f>
        <v>2468</v>
      </c>
      <c r="F62" t="s" s="779">
        <v>1769</v>
      </c>
      <c r="G62" t="s" s="780">
        <f>VLOOKUP(E62,'BDD'!$A$2:$N$567,MATCH(G$24,'BDD'!$A$1:$P$1,0),FALSE)</f>
        <v>1421</v>
      </c>
      <c r="H62" t="s" s="799">
        <f>IF(VLOOKUP($E62,'BDD'!$A$2:$N$567,MATCH($H$23,'BDD'!$A$1:$P$1,0),FALSE)=H$24,H$24,"")</f>
      </c>
      <c r="I62" t="s" s="792">
        <f>IF(VLOOKUP($E62,'BDD'!$A$2:$N$567,MATCH($H$23,'BDD'!$A$1:$P$1,0),FALSE)=I$24,I$24,"")</f>
        <v>1969</v>
      </c>
      <c r="J62" t="s" s="792">
        <f>IF(VLOOKUP($E62,'BDD'!$A$2:$N$567,MATCH($H$23,'BDD'!$A$1:$P$1,0),FALSE)=J$24,J$24,"")</f>
      </c>
      <c r="K62" t="s" s="792">
        <f>IF(VLOOKUP($E62,'BDD'!$A$2:$N$567,MATCH($H$23,'BDD'!$A$1:$P$1,0),FALSE)=K$24,K$24,"")</f>
      </c>
      <c r="L62" t="s" s="783">
        <f>IF(VLOOKUP($E62,'BDD'!$A$2:$N$567,MATCH($H$23,'BDD'!$A$1:$P$1,0),FALSE)=L$24,L$24,"")</f>
      </c>
      <c r="M62" s="784">
        <f>IF(N62="Exigences partiellement respectées",1,IF(N62="Exigences respectées",2,0))</f>
        <v>0</v>
      </c>
      <c r="N62" t="s" s="780">
        <f>VLOOKUP(VLOOKUP(E62,'BDD'!$A$2:$P$550,15,FALSE),'Suppl'!$D$64:$E$68,2,FALSE)</f>
        <v>1751</v>
      </c>
      <c r="O62" s="785"/>
      <c r="P62" s="786"/>
      <c r="Q62" s="786"/>
      <c r="R62" s="786"/>
      <c r="S62" s="787">
        <f>IF(N62='Suppl'!$E$65,0,IF(N62='Suppl'!$E$66,1/2/(_xlfn.COUNTIFS($D1:$D100,D62,$N1:$N100,"Exigences"&amp;"*",G1:G100,"&lt;&gt;0")+_xlfn.COUNTIFS($D1:$D100,D62,$N1:$N100,"Non"&amp;"*",G1:G100,"&lt;&gt;0")),IF(N62='Suppl'!$E$67,1/(_xlfn.COUNTIFS($D1:$D100,D62,$N1:$N100,"Exigences"&amp;"*",G1:G100,"&lt;&gt;0")+_xlfn.COUNTIFS($D1:$D100,D62,$N1:$N100,"Non"&amp;"*",G1:G100,"&lt;&gt;0")),0)))</f>
        <v>0</v>
      </c>
      <c r="T62" s="787"/>
      <c r="U62" s="787"/>
      <c r="V62" s="788"/>
      <c r="W62" s="789">
        <f>_xlfn.IFERROR(IF(N62='Suppl'!$E$65,0,IF(N62='Suppl'!$E$66,1/2/(_xlfn.COUNTIFS($N1:$N100,"Exigences"&amp;"*")+_xlfn.COUNTIFS($N1:$N100,"Non"&amp;"*")),IF(N62='Suppl'!$E$67,1/(_xlfn.COUNTIFS($N1:$N100,"Exigences"&amp;"*")+_xlfn.COUNTIFS($N1:$N100,"Non"&amp;"*")),0))),0)</f>
        <v>0</v>
      </c>
      <c r="X62" s="586"/>
      <c r="Y62" s="586"/>
      <c r="Z62" s="586"/>
      <c r="AA62" s="586"/>
      <c r="AB62" s="586"/>
      <c r="AC62" s="586"/>
      <c r="AD62" s="586"/>
      <c r="AE62" s="586"/>
      <c r="AF62" s="586"/>
      <c r="AG62" s="586"/>
      <c r="AH62" s="1040"/>
      <c r="AI62" s="585"/>
    </row>
    <row r="63" ht="30" customHeight="1">
      <c r="A63" s="1039"/>
      <c r="B63" s="753"/>
      <c r="C63" t="s" s="754">
        <f>IF(LEFT(RIGHT($B$1,2),1)=" ",RIGHT($B$1,1),RIGHT($B$1,2))</f>
        <v>260</v>
      </c>
      <c r="D63" s="755">
        <f>IF(LEFT(F63,5)="Bonne",D61+1,D62)</f>
        <v>6</v>
      </c>
      <c r="E63" t="s" s="778">
        <f>C63&amp;D63&amp;RIGHT(F63,1)</f>
        <v>2470</v>
      </c>
      <c r="F63" t="s" s="790">
        <v>1837</v>
      </c>
      <c r="G63" t="s" s="791">
        <f>VLOOKUP(E63,'BDD'!$A$2:$N$567,MATCH(G$24,'BDD'!$A$1:$P$1,0),FALSE)</f>
        <v>1424</v>
      </c>
      <c r="H63" t="s" s="799">
        <f>IF(VLOOKUP($E63,'BDD'!$A$2:$N$567,MATCH($H$23,'BDD'!$A$1:$P$1,0),FALSE)=H$24,H$24,"")</f>
        <v>1966</v>
      </c>
      <c r="I63" t="s" s="792">
        <f>IF(VLOOKUP($E63,'BDD'!$A$2:$N$567,MATCH($H$23,'BDD'!$A$1:$P$1,0),FALSE)=I$24,I$24,"")</f>
      </c>
      <c r="J63" t="s" s="792">
        <f>IF(VLOOKUP($E63,'BDD'!$A$2:$N$567,MATCH($H$23,'BDD'!$A$1:$P$1,0),FALSE)=J$24,J$24,"")</f>
      </c>
      <c r="K63" t="s" s="792">
        <f>IF(VLOOKUP($E63,'BDD'!$A$2:$N$567,MATCH($H$23,'BDD'!$A$1:$P$1,0),FALSE)=K$24,K$24,"")</f>
      </c>
      <c r="L63" t="s" s="783">
        <f>IF(VLOOKUP($E63,'BDD'!$A$2:$N$567,MATCH($H$23,'BDD'!$A$1:$P$1,0),FALSE)=L$24,L$24,"")</f>
      </c>
      <c r="M63" s="794">
        <f>IF(N63="Exigences partiellement respectées",1,IF(N63="Exigences respectées",2,0))</f>
        <v>0</v>
      </c>
      <c r="N63" t="s" s="791">
        <f>VLOOKUP(VLOOKUP(E63,'BDD'!$A$2:$P$550,15,FALSE),'Suppl'!$D$64:$E$68,2,FALSE)</f>
        <v>1751</v>
      </c>
      <c r="O63" s="795"/>
      <c r="P63" s="796"/>
      <c r="Q63" s="796"/>
      <c r="R63" s="796"/>
      <c r="S63" s="797">
        <f>IF(N63='Suppl'!$E$65,0,IF(N63='Suppl'!$E$66,1/2/(_xlfn.COUNTIFS($D1:$D100,D63,$N1:$N100,"Exigences"&amp;"*",G1:G100,"&lt;&gt;0")+_xlfn.COUNTIFS($D1:$D100,D63,$N1:$N100,"Non"&amp;"*",G1:G100,"&lt;&gt;0")),IF(N63='Suppl'!$E$67,1/(_xlfn.COUNTIFS($D1:$D100,D63,$N1:$N100,"Exigences"&amp;"*",G1:G100,"&lt;&gt;0")+_xlfn.COUNTIFS($D1:$D100,D63,$N1:$N100,"Non"&amp;"*",G1:G100,"&lt;&gt;0")),0)))</f>
        <v>0</v>
      </c>
      <c r="T63" s="797"/>
      <c r="U63" s="797"/>
      <c r="V63" s="798"/>
      <c r="W63" s="789">
        <f>_xlfn.IFERROR(IF(N63='Suppl'!$E$65,0,IF(N63='Suppl'!$E$66,1/2/(_xlfn.COUNTIFS($N1:$N100,"Exigences"&amp;"*")+_xlfn.COUNTIFS($N1:$N100,"Non"&amp;"*")),IF(N63='Suppl'!$E$67,1/(_xlfn.COUNTIFS($N1:$N100,"Exigences"&amp;"*")+_xlfn.COUNTIFS($N1:$N100,"Non"&amp;"*")),0))),0)</f>
        <v>0</v>
      </c>
      <c r="X63" s="586"/>
      <c r="Y63" s="586"/>
      <c r="Z63" s="586"/>
      <c r="AA63" s="586"/>
      <c r="AB63" s="586"/>
      <c r="AC63" s="586"/>
      <c r="AD63" s="586"/>
      <c r="AE63" s="586"/>
      <c r="AF63" s="586"/>
      <c r="AG63" s="586"/>
      <c r="AH63" s="1040"/>
      <c r="AI63" s="585"/>
    </row>
    <row r="64" ht="30" customHeight="1">
      <c r="A64" s="1039"/>
      <c r="B64" s="753"/>
      <c r="C64" t="s" s="754">
        <f>IF(LEFT(RIGHT($B$1,2),1)=" ",RIGHT($B$1,1),RIGHT($B$1,2))</f>
        <v>260</v>
      </c>
      <c r="D64" s="755">
        <f>IF(LEFT(F64,5)="Bonne",D62+1,D63)</f>
        <v>6</v>
      </c>
      <c r="E64" t="s" s="778">
        <f>C64&amp;D64&amp;RIGHT(F64,1)</f>
        <v>2471</v>
      </c>
      <c r="F64" t="s" s="779">
        <v>1774</v>
      </c>
      <c r="G64" t="s" s="780">
        <f>VLOOKUP(E64,'BDD'!$A$2:$N$567,MATCH(G$24,'BDD'!$A$1:$P$1,0),FALSE)</f>
        <v>1427</v>
      </c>
      <c r="H64" t="s" s="799">
        <f>IF(VLOOKUP($E64,'BDD'!$A$2:$N$567,MATCH($H$23,'BDD'!$A$1:$P$1,0),FALSE)=H$24,H$24,"")</f>
      </c>
      <c r="I64" t="s" s="792">
        <f>IF(VLOOKUP($E64,'BDD'!$A$2:$N$567,MATCH($H$23,'BDD'!$A$1:$P$1,0),FALSE)=I$24,I$24,"")</f>
      </c>
      <c r="J64" t="s" s="792">
        <f>IF(VLOOKUP($E64,'BDD'!$A$2:$N$567,MATCH($H$23,'BDD'!$A$1:$P$1,0),FALSE)=J$24,J$24,"")</f>
        <v>1967</v>
      </c>
      <c r="K64" t="s" s="792">
        <f>IF(VLOOKUP($E64,'BDD'!$A$2:$N$567,MATCH($H$23,'BDD'!$A$1:$P$1,0),FALSE)=K$24,K$24,"")</f>
      </c>
      <c r="L64" t="s" s="783">
        <f>IF(VLOOKUP($E64,'BDD'!$A$2:$N$567,MATCH($H$23,'BDD'!$A$1:$P$1,0),FALSE)=L$24,L$24,"")</f>
      </c>
      <c r="M64" s="794">
        <f>IF(N64="Exigences partiellement respectées",1,IF(N64="Exigences respectées",2,0))</f>
        <v>0</v>
      </c>
      <c r="N64" t="s" s="780">
        <f>VLOOKUP(VLOOKUP(E64,'BDD'!$A$2:$P$550,15,FALSE),'Suppl'!$D$64:$E$68,2,FALSE)</f>
        <v>1751</v>
      </c>
      <c r="O64" s="795"/>
      <c r="P64" s="796"/>
      <c r="Q64" s="796"/>
      <c r="R64" s="796"/>
      <c r="S64" s="797">
        <f>IF(N64='Suppl'!$E$65,0,IF(N64='Suppl'!$E$66,1/2/(_xlfn.COUNTIFS($D1:$D100,D64,$N1:$N100,"Exigences"&amp;"*",G1:G100,"&lt;&gt;0")+_xlfn.COUNTIFS($D1:$D100,D64,$N1:$N100,"Non"&amp;"*",G1:G100,"&lt;&gt;0")),IF(N64='Suppl'!$E$67,1/(_xlfn.COUNTIFS($D1:$D100,D64,$N1:$N100,"Exigences"&amp;"*",G1:G100,"&lt;&gt;0")+_xlfn.COUNTIFS($D1:$D100,D64,$N1:$N100,"Non"&amp;"*",G1:G100,"&lt;&gt;0")),0)))</f>
        <v>0</v>
      </c>
      <c r="T64" s="797"/>
      <c r="U64" s="797"/>
      <c r="V64" s="798"/>
      <c r="W64" s="789">
        <f>_xlfn.IFERROR(IF(N64='Suppl'!$E$65,0,IF(N64='Suppl'!$E$66,1/2/(_xlfn.COUNTIFS($N1:$N100,"Exigences"&amp;"*")+_xlfn.COUNTIFS($N1:$N100,"Non"&amp;"*")),IF(N64='Suppl'!$E$67,1/(_xlfn.COUNTIFS($N1:$N100,"Exigences"&amp;"*")+_xlfn.COUNTIFS($N1:$N100,"Non"&amp;"*")),0))),0)</f>
        <v>0</v>
      </c>
      <c r="X64" s="586"/>
      <c r="Y64" s="586"/>
      <c r="Z64" s="586"/>
      <c r="AA64" s="586"/>
      <c r="AB64" s="586"/>
      <c r="AC64" s="586"/>
      <c r="AD64" s="586"/>
      <c r="AE64" s="586"/>
      <c r="AF64" s="586"/>
      <c r="AG64" s="586"/>
      <c r="AH64" s="1040"/>
      <c r="AI64" s="585"/>
    </row>
    <row r="65" ht="30" customHeight="1">
      <c r="A65" s="1039"/>
      <c r="B65" s="753"/>
      <c r="C65" t="s" s="754">
        <f>IF(LEFT(RIGHT($B$1,2),1)=" ",RIGHT($B$1,1),RIGHT($B$1,2))</f>
        <v>260</v>
      </c>
      <c r="D65" s="755">
        <f>IF(LEFT(F65,5)="Bonne",D63+1,D64)</f>
        <v>6</v>
      </c>
      <c r="E65" t="s" s="778">
        <f>C65&amp;D65&amp;RIGHT(F65,1)</f>
        <v>2472</v>
      </c>
      <c r="F65" t="s" s="790">
        <v>1776</v>
      </c>
      <c r="G65" t="s" s="791">
        <f>VLOOKUP(E65,'BDD'!$A$2:$N$567,MATCH(G$24,'BDD'!$A$1:$P$1,0),FALSE)</f>
        <v>1430</v>
      </c>
      <c r="H65" t="s" s="799">
        <f>IF(VLOOKUP($E65,'BDD'!$A$2:$N$567,MATCH($H$23,'BDD'!$A$1:$P$1,0),FALSE)=H$24,H$24,"")</f>
      </c>
      <c r="I65" t="s" s="792">
        <f>IF(VLOOKUP($E65,'BDD'!$A$2:$N$567,MATCH($H$23,'BDD'!$A$1:$P$1,0),FALSE)=I$24,I$24,"")</f>
      </c>
      <c r="J65" t="s" s="792">
        <f>IF(VLOOKUP($E65,'BDD'!$A$2:$N$567,MATCH($H$23,'BDD'!$A$1:$P$1,0),FALSE)=J$24,J$24,"")</f>
        <v>1967</v>
      </c>
      <c r="K65" t="s" s="792">
        <f>IF(VLOOKUP($E65,'BDD'!$A$2:$N$567,MATCH($H$23,'BDD'!$A$1:$P$1,0),FALSE)=K$24,K$24,"")</f>
      </c>
      <c r="L65" t="s" s="783">
        <f>IF(VLOOKUP($E65,'BDD'!$A$2:$N$567,MATCH($H$23,'BDD'!$A$1:$P$1,0),FALSE)=L$24,L$24,"")</f>
      </c>
      <c r="M65" s="800">
        <f>IF(N65="Exigences partiellement respectées",1,IF(N65="Exigences respectées",2,0))</f>
        <v>0</v>
      </c>
      <c r="N65" t="s" s="791">
        <f>VLOOKUP(VLOOKUP(E65,'BDD'!$A$2:$P$550,15,FALSE),'Suppl'!$D$64:$E$68,2,FALSE)</f>
        <v>1751</v>
      </c>
      <c r="O65" s="801"/>
      <c r="P65" s="802"/>
      <c r="Q65" s="802"/>
      <c r="R65" s="802"/>
      <c r="S65" s="803">
        <f>IF(N65='Suppl'!$E$65,0,IF(N65='Suppl'!$E$66,1/2/(_xlfn.COUNTIFS($D1:$D100,D65,$N1:$N100,"Exigences"&amp;"*",G1:G100,"&lt;&gt;0")+_xlfn.COUNTIFS($D1:$D100,D65,$N1:$N100,"Non"&amp;"*",G1:G100,"&lt;&gt;0")),IF(N65='Suppl'!$E$67,1/(_xlfn.COUNTIFS($D1:$D100,D65,$N1:$N100,"Exigences"&amp;"*",G1:G100,"&lt;&gt;0")+_xlfn.COUNTIFS($D1:$D100,D65,$N1:$N100,"Non"&amp;"*",G1:G100,"&lt;&gt;0")),0)))</f>
        <v>0</v>
      </c>
      <c r="T65" s="803"/>
      <c r="U65" s="803"/>
      <c r="V65" s="804"/>
      <c r="W65" s="789">
        <f>_xlfn.IFERROR(IF(N65='Suppl'!$E$65,0,IF(N65='Suppl'!$E$66,1/2/(_xlfn.COUNTIFS($N1:$N100,"Exigences"&amp;"*")+_xlfn.COUNTIFS($N1:$N100,"Non"&amp;"*")),IF(N65='Suppl'!$E$67,1/(_xlfn.COUNTIFS($N1:$N100,"Exigences"&amp;"*")+_xlfn.COUNTIFS($N1:$N100,"Non"&amp;"*")),0))),0)</f>
        <v>0</v>
      </c>
      <c r="X65" s="586"/>
      <c r="Y65" s="586"/>
      <c r="Z65" s="586"/>
      <c r="AA65" s="586"/>
      <c r="AB65" s="586"/>
      <c r="AC65" s="586"/>
      <c r="AD65" s="586"/>
      <c r="AE65" s="586"/>
      <c r="AF65" s="586"/>
      <c r="AG65" s="586"/>
      <c r="AH65" s="1040"/>
      <c r="AI65" s="585"/>
    </row>
    <row r="66" ht="30" customHeight="1">
      <c r="A66" s="1039"/>
      <c r="B66" s="753"/>
      <c r="C66" t="s" s="754">
        <f>IF(LEFT(RIGHT($B$1,2),1)=" ",RIGHT($B$1,1),RIGHT($B$1,2))</f>
        <v>260</v>
      </c>
      <c r="D66" s="755">
        <f>IF(LEFT(F66,5)="Bonne",D64+1,D65)</f>
        <v>7</v>
      </c>
      <c r="E66" t="s" s="778">
        <f>C66&amp;D66&amp;RIGHT(F66,1)</f>
        <v>2473</v>
      </c>
      <c r="F66" t="s" s="757">
        <v>1888</v>
      </c>
      <c r="G66" t="s" s="758">
        <f>VLOOKUP(E68,'BDD'!$A$2:$N$567,6,FALSE)</f>
        <v>1435</v>
      </c>
      <c r="H66" s="759"/>
      <c r="I66" s="760"/>
      <c r="J66" s="760"/>
      <c r="K66" s="760"/>
      <c r="L66" s="761"/>
      <c r="M66" s="762"/>
      <c r="N66" s="763"/>
      <c r="O66" s="764">
        <v>0</v>
      </c>
      <c r="P66" s="764"/>
      <c r="Q66" s="764"/>
      <c r="R66" s="764"/>
      <c r="S66" s="765">
        <f>_xlfn.SUMIFS(S1:S100,$D1:$D100,D66,$N1:$N100,"Exigences"&amp;"*")</f>
      </c>
      <c r="T66" s="765"/>
      <c r="U66" s="765"/>
      <c r="V66" s="766"/>
      <c r="W66" s="789">
        <f>_xlfn.IFERROR(IF(N66='Suppl'!$E$65,0,IF(N66='Suppl'!$E$66,1/2/(_xlfn.COUNTIFS($N1:$N100,"Exigences"&amp;"*")+_xlfn.COUNTIFS($N1:$N100,"Non"&amp;"*")),IF(N66='Suppl'!$E$67,1/(_xlfn.COUNTIFS($N1:$N100,"Exigences"&amp;"*")+_xlfn.COUNTIFS($N1:$N100,"Non"&amp;"*")),0))),0)</f>
        <v>0</v>
      </c>
      <c r="X66" s="586"/>
      <c r="Y66" s="586"/>
      <c r="Z66" s="586"/>
      <c r="AA66" s="586"/>
      <c r="AB66" s="586"/>
      <c r="AC66" s="586"/>
      <c r="AD66" s="586"/>
      <c r="AE66" s="586"/>
      <c r="AF66" s="586"/>
      <c r="AG66" s="586"/>
      <c r="AH66" s="1040"/>
      <c r="AI66" s="585"/>
    </row>
    <row r="67" ht="30" customHeight="1">
      <c r="A67" s="1039"/>
      <c r="B67" s="753"/>
      <c r="C67" t="s" s="754">
        <f>IF(LEFT(RIGHT($B$1,2),1)=" ",RIGHT($B$1,1),RIGHT($B$1,2))</f>
        <v>260</v>
      </c>
      <c r="D67" s="755">
        <f>IF(LEFT(F67,5)="Bonne",D65+1,D66)</f>
        <v>7</v>
      </c>
      <c r="E67" t="s" s="778">
        <f>C67&amp;D67&amp;RIGHT(F67,1)</f>
        <v>2474</v>
      </c>
      <c r="F67" t="s" s="769">
        <v>1835</v>
      </c>
      <c r="G67" t="s" s="770">
        <f>VLOOKUP(E69,'BDD'!$A$2:$N$567,7,FALSE)</f>
        <v>2475</v>
      </c>
      <c r="H67" s="771"/>
      <c r="I67" s="771"/>
      <c r="J67" s="771"/>
      <c r="K67" s="771"/>
      <c r="L67" s="772"/>
      <c r="M67" s="773"/>
      <c r="N67" s="774"/>
      <c r="O67" s="775"/>
      <c r="P67" s="775"/>
      <c r="Q67" s="775"/>
      <c r="R67" s="775"/>
      <c r="S67" s="776"/>
      <c r="T67" s="776"/>
      <c r="U67" s="776"/>
      <c r="V67" s="777"/>
      <c r="W67" s="789">
        <f>_xlfn.IFERROR(IF(N67='Suppl'!$E$65,0,IF(N67='Suppl'!$E$66,1/2/(_xlfn.COUNTIFS($N1:$N100,"Exigences"&amp;"*")+_xlfn.COUNTIFS($N1:$N100,"Non"&amp;"*")),IF(N67='Suppl'!$E$67,1/(_xlfn.COUNTIFS($N1:$N100,"Exigences"&amp;"*")+_xlfn.COUNTIFS($N1:$N100,"Non"&amp;"*")),0))),0)</f>
        <v>0</v>
      </c>
      <c r="X67" s="586"/>
      <c r="Y67" s="586"/>
      <c r="Z67" s="586"/>
      <c r="AA67" s="586"/>
      <c r="AB67" s="586"/>
      <c r="AC67" s="586"/>
      <c r="AD67" s="586"/>
      <c r="AE67" s="586"/>
      <c r="AF67" s="586"/>
      <c r="AG67" s="586"/>
      <c r="AH67" s="1040"/>
      <c r="AI67" s="585"/>
    </row>
    <row r="68" ht="30" customHeight="1">
      <c r="A68" s="1039"/>
      <c r="B68" s="753"/>
      <c r="C68" t="s" s="754">
        <f>IF(LEFT(RIGHT($B$1,2),1)=" ",RIGHT($B$1,1),RIGHT($B$1,2))</f>
        <v>260</v>
      </c>
      <c r="D68" s="755">
        <f>IF(LEFT(F68,5)="Bonne",D66+1,D67)</f>
        <v>7</v>
      </c>
      <c r="E68" t="s" s="778">
        <f>C68&amp;D68&amp;RIGHT(F68,1)</f>
        <v>2474</v>
      </c>
      <c r="F68" t="s" s="779">
        <v>1769</v>
      </c>
      <c r="G68" t="s" s="780">
        <f>VLOOKUP(E68,'BDD'!$A$2:$N$567,MATCH(G$24,'BDD'!$A$1:$P$1,0),FALSE)</f>
        <v>1438</v>
      </c>
      <c r="H68" t="s" s="799">
        <f>IF(VLOOKUP($E68,'BDD'!$A$2:$N$567,MATCH($H$23,'BDD'!$A$1:$P$1,0),FALSE)=H$24,H$24,"")</f>
        <v>1966</v>
      </c>
      <c r="I68" t="s" s="792">
        <f>IF(VLOOKUP($E68,'BDD'!$A$2:$N$567,MATCH($H$23,'BDD'!$A$1:$P$1,0),FALSE)=I$24,I$24,"")</f>
      </c>
      <c r="J68" t="s" s="792">
        <f>IF(VLOOKUP($E68,'BDD'!$A$2:$N$567,MATCH($H$23,'BDD'!$A$1:$P$1,0),FALSE)=J$24,J$24,"")</f>
      </c>
      <c r="K68" t="s" s="792">
        <f>IF(VLOOKUP($E68,'BDD'!$A$2:$N$567,MATCH($H$23,'BDD'!$A$1:$P$1,0),FALSE)=K$24,K$24,"")</f>
      </c>
      <c r="L68" t="s" s="783">
        <f>IF(VLOOKUP($E68,'BDD'!$A$2:$N$567,MATCH($H$23,'BDD'!$A$1:$P$1,0),FALSE)=L$24,L$24,"")</f>
      </c>
      <c r="M68" s="784">
        <f>IF(N68="Exigences partiellement respectées",1,IF(N68="Exigences respectées",2,0))</f>
        <v>0</v>
      </c>
      <c r="N68" t="s" s="780">
        <f>VLOOKUP(VLOOKUP(E68,'BDD'!$A$2:$P$550,15,FALSE),'Suppl'!$D$64:$E$68,2,FALSE)</f>
        <v>1751</v>
      </c>
      <c r="O68" s="785"/>
      <c r="P68" s="786"/>
      <c r="Q68" s="786"/>
      <c r="R68" s="786"/>
      <c r="S68" s="787">
        <f>IF(N68='Suppl'!$E$65,0,IF(N68='Suppl'!$E$66,1/2/(_xlfn.COUNTIFS($D1:$D100,D68,$N1:$N100,"Exigences"&amp;"*",G1:G100,"&lt;&gt;0")+_xlfn.COUNTIFS($D1:$D100,D68,$N1:$N100,"Non"&amp;"*",G1:G100,"&lt;&gt;0")),IF(N68='Suppl'!$E$67,1/(_xlfn.COUNTIFS($D1:$D100,D68,$N1:$N100,"Exigences"&amp;"*",G1:G100,"&lt;&gt;0")+_xlfn.COUNTIFS($D1:$D100,D68,$N1:$N100,"Non"&amp;"*",G1:G100,"&lt;&gt;0")),0)))</f>
        <v>0</v>
      </c>
      <c r="T68" s="787"/>
      <c r="U68" s="787"/>
      <c r="V68" s="788"/>
      <c r="W68" s="789">
        <f>_xlfn.IFERROR(IF(N68='Suppl'!$E$65,0,IF(N68='Suppl'!$E$66,1/2/(_xlfn.COUNTIFS($N1:$N100,"Exigences"&amp;"*")+_xlfn.COUNTIFS($N1:$N100,"Non"&amp;"*")),IF(N68='Suppl'!$E$67,1/(_xlfn.COUNTIFS($N1:$N100,"Exigences"&amp;"*")+_xlfn.COUNTIFS($N1:$N100,"Non"&amp;"*")),0))),0)</f>
        <v>0</v>
      </c>
      <c r="X68" s="586"/>
      <c r="Y68" s="586"/>
      <c r="Z68" s="586"/>
      <c r="AA68" s="586"/>
      <c r="AB68" s="586"/>
      <c r="AC68" s="586"/>
      <c r="AD68" s="586"/>
      <c r="AE68" s="586"/>
      <c r="AF68" s="586"/>
      <c r="AG68" s="586"/>
      <c r="AH68" s="1040"/>
      <c r="AI68" s="585"/>
    </row>
    <row r="69" ht="41.4" customHeight="1">
      <c r="A69" s="1039"/>
      <c r="B69" s="753"/>
      <c r="C69" t="s" s="754">
        <f>IF(LEFT(RIGHT($B$1,2),1)=" ",RIGHT($B$1,1),RIGHT($B$1,2))</f>
        <v>260</v>
      </c>
      <c r="D69" s="755">
        <f>IF(LEFT(F69,5)="Bonne",D67+1,D68)</f>
        <v>7</v>
      </c>
      <c r="E69" t="s" s="778">
        <f>C69&amp;D69&amp;RIGHT(F69,1)</f>
        <v>2476</v>
      </c>
      <c r="F69" t="s" s="790">
        <v>1837</v>
      </c>
      <c r="G69" t="s" s="791">
        <f>VLOOKUP(E69,'BDD'!$A$2:$N$567,MATCH(G$24,'BDD'!$A$1:$P$1,0),FALSE)</f>
        <v>1441</v>
      </c>
      <c r="H69" t="s" s="799">
        <f>IF(VLOOKUP($E69,'BDD'!$A$2:$N$567,MATCH($H$23,'BDD'!$A$1:$P$1,0),FALSE)=H$24,H$24,"")</f>
      </c>
      <c r="I69" t="s" s="792">
        <f>IF(VLOOKUP($E69,'BDD'!$A$2:$N$567,MATCH($H$23,'BDD'!$A$1:$P$1,0),FALSE)=I$24,I$24,"")</f>
      </c>
      <c r="J69" t="s" s="792">
        <f>IF(VLOOKUP($E69,'BDD'!$A$2:$N$567,MATCH($H$23,'BDD'!$A$1:$P$1,0),FALSE)=J$24,J$24,"")</f>
        <v>1967</v>
      </c>
      <c r="K69" t="s" s="792">
        <f>IF(VLOOKUP($E69,'BDD'!$A$2:$N$567,MATCH($H$23,'BDD'!$A$1:$P$1,0),FALSE)=K$24,K$24,"")</f>
      </c>
      <c r="L69" t="s" s="783">
        <f>IF(VLOOKUP($E69,'BDD'!$A$2:$N$567,MATCH($H$23,'BDD'!$A$1:$P$1,0),FALSE)=L$24,L$24,"")</f>
      </c>
      <c r="M69" s="794">
        <f>IF(N69="Exigences partiellement respectées",1,IF(N69="Exigences respectées",2,0))</f>
        <v>0</v>
      </c>
      <c r="N69" t="s" s="791">
        <f>VLOOKUP(VLOOKUP(E69,'BDD'!$A$2:$P$550,15,FALSE),'Suppl'!$D$64:$E$68,2,FALSE)</f>
        <v>1751</v>
      </c>
      <c r="O69" s="795"/>
      <c r="P69" s="796"/>
      <c r="Q69" s="796"/>
      <c r="R69" s="796"/>
      <c r="S69" s="797">
        <f>IF(N69='Suppl'!$E$65,0,IF(N69='Suppl'!$E$66,1/2/(_xlfn.COUNTIFS($D1:$D100,D69,$N1:$N100,"Exigences"&amp;"*",G1:G100,"&lt;&gt;0")+_xlfn.COUNTIFS($D1:$D100,D69,$N1:$N100,"Non"&amp;"*",G1:G100,"&lt;&gt;0")),IF(N69='Suppl'!$E$67,1/(_xlfn.COUNTIFS($D1:$D100,D69,$N1:$N100,"Exigences"&amp;"*",G1:G100,"&lt;&gt;0")+_xlfn.COUNTIFS($D1:$D100,D69,$N1:$N100,"Non"&amp;"*",G1:G100,"&lt;&gt;0")),0)))</f>
        <v>0</v>
      </c>
      <c r="T69" s="797"/>
      <c r="U69" s="797"/>
      <c r="V69" s="798"/>
      <c r="W69" s="789">
        <f>_xlfn.IFERROR(IF(N69='Suppl'!$E$65,0,IF(N69='Suppl'!$E$66,1/2/(_xlfn.COUNTIFS($N1:$N100,"Exigences"&amp;"*")+_xlfn.COUNTIFS($N1:$N100,"Non"&amp;"*")),IF(N69='Suppl'!$E$67,1/(_xlfn.COUNTIFS($N1:$N100,"Exigences"&amp;"*")+_xlfn.COUNTIFS($N1:$N100,"Non"&amp;"*")),0))),0)</f>
        <v>0</v>
      </c>
      <c r="X69" s="586"/>
      <c r="Y69" s="586"/>
      <c r="Z69" s="586"/>
      <c r="AA69" s="586"/>
      <c r="AB69" s="586"/>
      <c r="AC69" s="586"/>
      <c r="AD69" s="586"/>
      <c r="AE69" s="586"/>
      <c r="AF69" s="586"/>
      <c r="AG69" s="586"/>
      <c r="AH69" s="1040"/>
      <c r="AI69" s="585"/>
    </row>
    <row r="70" ht="30" customHeight="1">
      <c r="A70" s="1039"/>
      <c r="B70" s="753"/>
      <c r="C70" t="s" s="754">
        <f>IF(LEFT(RIGHT($B$1,2),1)=" ",RIGHT($B$1,1),RIGHT($B$1,2))</f>
        <v>260</v>
      </c>
      <c r="D70" s="755">
        <f>IF(LEFT(F70,5)="Bonne",D68+1,D69)</f>
        <v>7</v>
      </c>
      <c r="E70" t="s" s="778">
        <f>C70&amp;D70&amp;RIGHT(F70,1)</f>
        <v>2477</v>
      </c>
      <c r="F70" t="s" s="779">
        <v>1774</v>
      </c>
      <c r="G70" t="s" s="780">
        <f>VLOOKUP(E70,'BDD'!$A$2:$N$567,MATCH(G$24,'BDD'!$A$1:$P$1,0),FALSE)</f>
        <v>1444</v>
      </c>
      <c r="H70" t="s" s="799">
        <f>IF(VLOOKUP($E70,'BDD'!$A$2:$N$567,MATCH($H$23,'BDD'!$A$1:$P$1,0),FALSE)=H$24,H$24,"")</f>
        <v>1966</v>
      </c>
      <c r="I70" t="s" s="792">
        <f>IF(VLOOKUP($E70,'BDD'!$A$2:$N$567,MATCH($H$23,'BDD'!$A$1:$P$1,0),FALSE)=I$24,I$24,"")</f>
      </c>
      <c r="J70" t="s" s="792">
        <f>IF(VLOOKUP($E70,'BDD'!$A$2:$N$567,MATCH($H$23,'BDD'!$A$1:$P$1,0),FALSE)=J$24,J$24,"")</f>
      </c>
      <c r="K70" t="s" s="792">
        <f>IF(VLOOKUP($E70,'BDD'!$A$2:$N$567,MATCH($H$23,'BDD'!$A$1:$P$1,0),FALSE)=K$24,K$24,"")</f>
      </c>
      <c r="L70" t="s" s="783">
        <f>IF(VLOOKUP($E70,'BDD'!$A$2:$N$567,MATCH($H$23,'BDD'!$A$1:$P$1,0),FALSE)=L$24,L$24,"")</f>
      </c>
      <c r="M70" s="794">
        <f>IF(N70="Exigences partiellement respectées",1,IF(N70="Exigences respectées",2,0))</f>
        <v>0</v>
      </c>
      <c r="N70" t="s" s="780">
        <f>VLOOKUP(VLOOKUP(E70,'BDD'!$A$2:$P$550,15,FALSE),'Suppl'!$D$64:$E$68,2,FALSE)</f>
        <v>1751</v>
      </c>
      <c r="O70" s="795"/>
      <c r="P70" s="796"/>
      <c r="Q70" s="796"/>
      <c r="R70" s="796"/>
      <c r="S70" s="797">
        <f>IF(N70='Suppl'!$E$65,0,IF(N70='Suppl'!$E$66,1/2/(_xlfn.COUNTIFS($D1:$D100,D70,$N1:$N100,"Exigences"&amp;"*",G1:G100,"&lt;&gt;0")+_xlfn.COUNTIFS($D1:$D100,D70,$N1:$N100,"Non"&amp;"*",G1:G100,"&lt;&gt;0")),IF(N70='Suppl'!$E$67,1/(_xlfn.COUNTIFS($D1:$D100,D70,$N1:$N100,"Exigences"&amp;"*",G1:G100,"&lt;&gt;0")+_xlfn.COUNTIFS($D1:$D100,D70,$N1:$N100,"Non"&amp;"*",G1:G100,"&lt;&gt;0")),0)))</f>
        <v>0</v>
      </c>
      <c r="T70" s="797"/>
      <c r="U70" s="797"/>
      <c r="V70" s="798"/>
      <c r="W70" s="789">
        <f>_xlfn.IFERROR(IF(N70='Suppl'!$E$65,0,IF(N70='Suppl'!$E$66,1/2/(_xlfn.COUNTIFS($N1:$N100,"Exigences"&amp;"*")+_xlfn.COUNTIFS($N1:$N100,"Non"&amp;"*")),IF(N70='Suppl'!$E$67,1/(_xlfn.COUNTIFS($N1:$N100,"Exigences"&amp;"*")+_xlfn.COUNTIFS($N1:$N100,"Non"&amp;"*")),0))),0)</f>
        <v>0</v>
      </c>
      <c r="X70" s="586"/>
      <c r="Y70" s="586"/>
      <c r="Z70" s="586"/>
      <c r="AA70" s="586"/>
      <c r="AB70" s="586"/>
      <c r="AC70" s="586"/>
      <c r="AD70" s="586"/>
      <c r="AE70" s="586"/>
      <c r="AF70" s="586"/>
      <c r="AG70" s="586"/>
      <c r="AH70" s="1040"/>
      <c r="AI70" s="585"/>
    </row>
    <row r="71" ht="30" customHeight="1">
      <c r="A71" s="1039"/>
      <c r="B71" s="753"/>
      <c r="C71" t="s" s="754">
        <f>IF(LEFT(RIGHT($B$1,2),1)=" ",RIGHT($B$1,1),RIGHT($B$1,2))</f>
        <v>260</v>
      </c>
      <c r="D71" s="755">
        <f>IF(LEFT(F71,5)="Bonne",D69+1,D70)</f>
        <v>7</v>
      </c>
      <c r="E71" t="s" s="778">
        <f>C71&amp;D71&amp;RIGHT(F71,1)</f>
        <v>2478</v>
      </c>
      <c r="F71" t="s" s="790">
        <v>1776</v>
      </c>
      <c r="G71" t="s" s="791">
        <f>VLOOKUP(E71,'BDD'!$A$2:$N$567,MATCH(G$24,'BDD'!$A$1:$P$1,0),FALSE)</f>
        <v>1447</v>
      </c>
      <c r="H71" t="s" s="799">
        <f>IF(VLOOKUP($E71,'BDD'!$A$2:$N$567,MATCH($H$23,'BDD'!$A$1:$P$1,0),FALSE)=H$24,H$24,"")</f>
        <v>1966</v>
      </c>
      <c r="I71" t="s" s="792">
        <f>IF(VLOOKUP($E71,'BDD'!$A$2:$N$567,MATCH($H$23,'BDD'!$A$1:$P$1,0),FALSE)=I$24,I$24,"")</f>
      </c>
      <c r="J71" t="s" s="792">
        <f>IF(VLOOKUP($E71,'BDD'!$A$2:$N$567,MATCH($H$23,'BDD'!$A$1:$P$1,0),FALSE)=J$24,J$24,"")</f>
      </c>
      <c r="K71" t="s" s="792">
        <f>IF(VLOOKUP($E71,'BDD'!$A$2:$N$567,MATCH($H$23,'BDD'!$A$1:$P$1,0),FALSE)=K$24,K$24,"")</f>
      </c>
      <c r="L71" t="s" s="783">
        <f>IF(VLOOKUP($E71,'BDD'!$A$2:$N$567,MATCH($H$23,'BDD'!$A$1:$P$1,0),FALSE)=L$24,L$24,"")</f>
      </c>
      <c r="M71" s="794">
        <f>IF(N71="Exigences partiellement respectées",1,IF(N71="Exigences respectées",2,0))</f>
        <v>0</v>
      </c>
      <c r="N71" t="s" s="791">
        <f>VLOOKUP(VLOOKUP(E71,'BDD'!$A$2:$P$550,15,FALSE),'Suppl'!$D$64:$E$68,2,FALSE)</f>
        <v>1751</v>
      </c>
      <c r="O71" s="795"/>
      <c r="P71" s="796"/>
      <c r="Q71" s="796"/>
      <c r="R71" s="796"/>
      <c r="S71" s="797">
        <f>IF(N71='Suppl'!$E$65,0,IF(N71='Suppl'!$E$66,1/2/(_xlfn.COUNTIFS($D1:$D100,D71,$N1:$N100,"Exigences"&amp;"*",G1:G100,"&lt;&gt;0")+_xlfn.COUNTIFS($D1:$D100,D71,$N1:$N100,"Non"&amp;"*",G1:G100,"&lt;&gt;0")),IF(N71='Suppl'!$E$67,1/(_xlfn.COUNTIFS($D1:$D100,D71,$N1:$N100,"Exigences"&amp;"*",G1:G100,"&lt;&gt;0")+_xlfn.COUNTIFS($D1:$D100,D71,$N1:$N100,"Non"&amp;"*",G1:G100,"&lt;&gt;0")),0)))</f>
        <v>0</v>
      </c>
      <c r="T71" s="797"/>
      <c r="U71" s="797"/>
      <c r="V71" s="798"/>
      <c r="W71" s="789">
        <f>_xlfn.IFERROR(IF(N71='Suppl'!$E$65,0,IF(N71='Suppl'!$E$66,1/2/(_xlfn.COUNTIFS($N1:$N100,"Exigences"&amp;"*")+_xlfn.COUNTIFS($N1:$N100,"Non"&amp;"*")),IF(N71='Suppl'!$E$67,1/(_xlfn.COUNTIFS($N1:$N100,"Exigences"&amp;"*")+_xlfn.COUNTIFS($N1:$N100,"Non"&amp;"*")),0))),0)</f>
        <v>0</v>
      </c>
      <c r="X71" s="586"/>
      <c r="Y71" s="586"/>
      <c r="Z71" s="586"/>
      <c r="AA71" s="586"/>
      <c r="AB71" s="586"/>
      <c r="AC71" s="586"/>
      <c r="AD71" s="586"/>
      <c r="AE71" s="586"/>
      <c r="AF71" s="586"/>
      <c r="AG71" s="586"/>
      <c r="AH71" s="1040"/>
      <c r="AI71" s="585"/>
    </row>
    <row r="72" ht="30" customHeight="1">
      <c r="A72" s="1039"/>
      <c r="B72" s="753"/>
      <c r="C72" t="s" s="754">
        <f>IF(LEFT(RIGHT($B$1,2),1)=" ",RIGHT($B$1,1),RIGHT($B$1,2))</f>
        <v>260</v>
      </c>
      <c r="D72" s="755">
        <f>IF(LEFT(F72,5)="Bonne",D70+1,D71)</f>
        <v>7</v>
      </c>
      <c r="E72" t="s" s="778">
        <f>C72&amp;D72&amp;RIGHT(F72,1)</f>
        <v>2479</v>
      </c>
      <c r="F72" t="s" s="779">
        <v>1778</v>
      </c>
      <c r="G72" t="s" s="780">
        <f>VLOOKUP(E72,'BDD'!$A$2:$N$567,MATCH(G$24,'BDD'!$A$1:$P$1,0),FALSE)</f>
        <v>1450</v>
      </c>
      <c r="H72" t="s" s="799">
        <f>IF(VLOOKUP($E72,'BDD'!$A$2:$N$567,MATCH($H$23,'BDD'!$A$1:$P$1,0),FALSE)=H$24,H$24,"")</f>
      </c>
      <c r="I72" t="s" s="792">
        <f>IF(VLOOKUP($E72,'BDD'!$A$2:$N$567,MATCH($H$23,'BDD'!$A$1:$P$1,0),FALSE)=I$24,I$24,"")</f>
        <v>1969</v>
      </c>
      <c r="J72" t="s" s="792">
        <f>IF(VLOOKUP($E72,'BDD'!$A$2:$N$567,MATCH($H$23,'BDD'!$A$1:$P$1,0),FALSE)=J$24,J$24,"")</f>
      </c>
      <c r="K72" t="s" s="792">
        <f>IF(VLOOKUP($E72,'BDD'!$A$2:$N$567,MATCH($H$23,'BDD'!$A$1:$P$1,0),FALSE)=K$24,K$24,"")</f>
      </c>
      <c r="L72" t="s" s="783">
        <f>IF(VLOOKUP($E72,'BDD'!$A$2:$N$567,MATCH($H$23,'BDD'!$A$1:$P$1,0),FALSE)=L$24,L$24,"")</f>
      </c>
      <c r="M72" s="794">
        <f>IF(N72="Exigences partiellement respectées",1,IF(N72="Exigences respectées",2,0))</f>
        <v>0</v>
      </c>
      <c r="N72" t="s" s="780">
        <f>VLOOKUP(VLOOKUP(E72,'BDD'!$A$2:$P$550,15,FALSE),'Suppl'!$D$64:$E$68,2,FALSE)</f>
        <v>1751</v>
      </c>
      <c r="O72" s="863"/>
      <c r="P72" s="864"/>
      <c r="Q72" s="864"/>
      <c r="R72" s="864"/>
      <c r="S72" s="815">
        <f>IF(N72='Suppl'!$E$65,0,IF(N72='Suppl'!$E$66,1/2/(_xlfn.COUNTIFS($D1:$D100,D72,$N1:$N100,"Exigences"&amp;"*",G1:G100,"&lt;&gt;0")+_xlfn.COUNTIFS($D1:$D100,D72,$N1:$N100,"Non"&amp;"*",G1:G100,"&lt;&gt;0")),IF(N72='Suppl'!$E$67,1/(_xlfn.COUNTIFS($D1:$D100,D72,$N1:$N100,"Exigences"&amp;"*",G1:G100,"&lt;&gt;0")+_xlfn.COUNTIFS($D1:$D100,D72,$N1:$N100,"Non"&amp;"*",G1:G100,"&lt;&gt;0")),0)))</f>
        <v>0</v>
      </c>
      <c r="T72" s="815"/>
      <c r="U72" s="815"/>
      <c r="V72" s="816"/>
      <c r="W72" s="789">
        <f>_xlfn.IFERROR(IF(N72='Suppl'!$E$65,0,IF(N72='Suppl'!$E$66,1/2/(_xlfn.COUNTIFS($N1:$N100,"Exigences"&amp;"*")+_xlfn.COUNTIFS($N1:$N100,"Non"&amp;"*")),IF(N72='Suppl'!$E$67,1/(_xlfn.COUNTIFS($N1:$N100,"Exigences"&amp;"*")+_xlfn.COUNTIFS($N1:$N100,"Non"&amp;"*")),0))),0)</f>
        <v>0</v>
      </c>
      <c r="X72" s="586"/>
      <c r="Y72" s="586"/>
      <c r="Z72" s="586"/>
      <c r="AA72" s="586"/>
      <c r="AB72" s="586"/>
      <c r="AC72" s="586"/>
      <c r="AD72" s="586"/>
      <c r="AE72" s="586"/>
      <c r="AF72" s="586"/>
      <c r="AG72" s="586"/>
      <c r="AH72" s="1040"/>
      <c r="AI72" s="585"/>
    </row>
    <row r="73" ht="30" customHeight="1">
      <c r="A73" s="1039"/>
      <c r="B73" s="586"/>
      <c r="C73" s="586"/>
      <c r="D73" s="587"/>
      <c r="E73" s="587"/>
      <c r="F73" s="817"/>
      <c r="G73" s="818"/>
      <c r="H73" s="818"/>
      <c r="I73" s="818"/>
      <c r="J73" s="818"/>
      <c r="K73" s="818"/>
      <c r="L73" s="818"/>
      <c r="M73" s="102"/>
      <c r="N73" s="817"/>
      <c r="O73" s="819"/>
      <c r="P73" s="819"/>
      <c r="Q73" s="819"/>
      <c r="R73" s="819"/>
      <c r="S73" s="819"/>
      <c r="T73" s="819"/>
      <c r="U73" s="819"/>
      <c r="V73" s="819"/>
      <c r="W73" s="588"/>
      <c r="X73" s="586"/>
      <c r="Y73" s="586"/>
      <c r="Z73" s="586"/>
      <c r="AA73" s="586"/>
      <c r="AB73" s="586"/>
      <c r="AC73" s="586"/>
      <c r="AD73" s="586"/>
      <c r="AE73" s="586"/>
      <c r="AF73" s="586"/>
      <c r="AG73" s="586"/>
      <c r="AH73" s="1040"/>
      <c r="AI73" s="585"/>
    </row>
    <row r="74" ht="30" customHeight="1">
      <c r="A74" t="s" s="1137">
        <v>171</v>
      </c>
      <c r="B74" s="1040"/>
      <c r="C74" s="1040"/>
      <c r="D74" s="1040"/>
      <c r="E74" s="1040"/>
      <c r="F74" s="1040"/>
      <c r="G74" s="1076"/>
      <c r="H74" s="1076"/>
      <c r="I74" s="1076"/>
      <c r="J74" s="1076"/>
      <c r="K74" s="1076"/>
      <c r="L74" s="1076"/>
      <c r="M74" s="1076"/>
      <c r="N74" s="1040"/>
      <c r="O74" s="1040"/>
      <c r="P74" s="1040"/>
      <c r="Q74" s="1040"/>
      <c r="R74" s="1040"/>
      <c r="S74" s="1040"/>
      <c r="T74" s="1040"/>
      <c r="U74" s="1040"/>
      <c r="V74" s="1040"/>
      <c r="W74" s="1138"/>
      <c r="X74" s="1040"/>
      <c r="Y74" s="1040"/>
      <c r="Z74" s="1040"/>
      <c r="AA74" s="1040"/>
      <c r="AB74" s="1040"/>
      <c r="AC74" s="1040"/>
      <c r="AD74" s="1040"/>
      <c r="AE74" s="1040"/>
      <c r="AF74" s="1040"/>
      <c r="AG74" s="1040"/>
      <c r="AH74" t="s" s="1139">
        <v>171</v>
      </c>
      <c r="AI74" s="585"/>
    </row>
    <row r="75" ht="14.4" customHeight="1">
      <c r="A75" s="822"/>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823"/>
    </row>
    <row r="76" ht="14.4" customHeight="1">
      <c r="A76" s="822"/>
      <c r="B76" s="25"/>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823"/>
    </row>
    <row r="77" ht="14.4" customHeight="1">
      <c r="A77" s="822"/>
      <c r="B77" s="25"/>
      <c r="C77" s="25"/>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823"/>
    </row>
    <row r="78" ht="14.4" customHeight="1">
      <c r="A78" s="822"/>
      <c r="B78" s="25"/>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823"/>
    </row>
    <row r="79" ht="14.4" customHeight="1">
      <c r="A79" s="822"/>
      <c r="B79" s="25"/>
      <c r="C79" s="25"/>
      <c r="D79" s="25"/>
      <c r="E79" s="25"/>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823"/>
    </row>
    <row r="80" ht="14.4" customHeight="1">
      <c r="A80" s="822"/>
      <c r="B80" s="25"/>
      <c r="C80" s="25"/>
      <c r="D80" s="25"/>
      <c r="E80" s="25"/>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823"/>
    </row>
    <row r="81" ht="14.4" customHeight="1">
      <c r="A81" s="822"/>
      <c r="B81" s="25"/>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823"/>
    </row>
    <row r="82" ht="14.4" customHeight="1">
      <c r="A82" s="822"/>
      <c r="B82" s="25"/>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823"/>
    </row>
    <row r="83" ht="14.4" customHeight="1">
      <c r="A83" s="822"/>
      <c r="B83" s="25"/>
      <c r="C83" s="25"/>
      <c r="D83" s="25"/>
      <c r="E83" s="25"/>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c r="AH83" s="25"/>
      <c r="AI83" s="823"/>
    </row>
    <row r="84" ht="14.4" customHeight="1">
      <c r="A84" s="822"/>
      <c r="B84" s="25"/>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823"/>
    </row>
    <row r="85" ht="14.4" customHeight="1">
      <c r="A85" s="822"/>
      <c r="B85" s="25"/>
      <c r="C85" s="25"/>
      <c r="D85" s="25"/>
      <c r="E85" s="25"/>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823"/>
    </row>
    <row r="86" ht="14.4" customHeight="1">
      <c r="A86" s="822"/>
      <c r="B86" s="25"/>
      <c r="C86" s="25"/>
      <c r="D86" s="25"/>
      <c r="E86" s="25"/>
      <c r="F86" s="2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823"/>
    </row>
    <row r="87" ht="14.4" customHeight="1">
      <c r="A87" s="822"/>
      <c r="B87" s="25"/>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823"/>
    </row>
    <row r="88" ht="14.4" customHeight="1">
      <c r="A88" s="822"/>
      <c r="B88" s="25"/>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823"/>
    </row>
    <row r="89" ht="14.4" customHeight="1">
      <c r="A89" s="822"/>
      <c r="B89" s="25"/>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823"/>
    </row>
    <row r="90" ht="14.4" customHeight="1">
      <c r="A90" s="822"/>
      <c r="B90" s="25"/>
      <c r="C90" s="25"/>
      <c r="D90" s="25"/>
      <c r="E90" s="25"/>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823"/>
    </row>
    <row r="91" ht="14.4" customHeight="1">
      <c r="A91" s="822"/>
      <c r="B91" s="25"/>
      <c r="C91" s="25"/>
      <c r="D91" s="25"/>
      <c r="E91" s="25"/>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823"/>
    </row>
    <row r="92" ht="14.4" customHeight="1">
      <c r="A92" s="822"/>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823"/>
    </row>
    <row r="93" ht="14.4" customHeight="1">
      <c r="A93" s="822"/>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823"/>
    </row>
    <row r="94" ht="14.4" customHeight="1">
      <c r="A94" s="822"/>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823"/>
    </row>
    <row r="95" ht="14.4" customHeight="1">
      <c r="A95" s="822"/>
      <c r="B95" s="25"/>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823"/>
    </row>
    <row r="96" ht="14.4" customHeight="1">
      <c r="A96" s="822"/>
      <c r="B96" s="25"/>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823"/>
    </row>
    <row r="97" ht="14.4" customHeight="1">
      <c r="A97" s="822"/>
      <c r="B97" s="25"/>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823"/>
    </row>
    <row r="98" ht="14.4" customHeight="1">
      <c r="A98" s="822"/>
      <c r="B98" s="25"/>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823"/>
    </row>
    <row r="99" ht="14.4" customHeight="1">
      <c r="A99" s="822"/>
      <c r="B99" s="25"/>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823"/>
    </row>
    <row r="100" ht="14.4" customHeight="1">
      <c r="A100" s="824"/>
      <c r="B100" s="825"/>
      <c r="C100" s="825"/>
      <c r="D100" s="825"/>
      <c r="E100" s="825"/>
      <c r="F100" s="825"/>
      <c r="G100" s="825"/>
      <c r="H100" s="825"/>
      <c r="I100" s="825"/>
      <c r="J100" s="825"/>
      <c r="K100" s="825"/>
      <c r="L100" s="825"/>
      <c r="M100" s="825"/>
      <c r="N100" s="825"/>
      <c r="O100" s="825"/>
      <c r="P100" s="825"/>
      <c r="Q100" s="825"/>
      <c r="R100" s="825"/>
      <c r="S100" s="825"/>
      <c r="T100" s="825"/>
      <c r="U100" s="825"/>
      <c r="V100" s="825"/>
      <c r="W100" s="825"/>
      <c r="X100" s="825"/>
      <c r="Y100" s="825"/>
      <c r="Z100" s="825"/>
      <c r="AA100" s="825"/>
      <c r="AB100" s="825"/>
      <c r="AC100" s="825"/>
      <c r="AD100" s="825"/>
      <c r="AE100" s="825"/>
      <c r="AF100" s="825"/>
      <c r="AG100" s="825"/>
      <c r="AH100" s="825"/>
      <c r="AI100" s="826"/>
    </row>
  </sheetData>
  <mergeCells count="89">
    <mergeCell ref="G38:N38"/>
    <mergeCell ref="O71:R71"/>
    <mergeCell ref="S71:V71"/>
    <mergeCell ref="O72:R72"/>
    <mergeCell ref="S72:V72"/>
    <mergeCell ref="O68:R68"/>
    <mergeCell ref="S68:V68"/>
    <mergeCell ref="O69:R69"/>
    <mergeCell ref="S69:V69"/>
    <mergeCell ref="O70:R70"/>
    <mergeCell ref="S70:V70"/>
    <mergeCell ref="O64:R64"/>
    <mergeCell ref="S64:V64"/>
    <mergeCell ref="O65:R65"/>
    <mergeCell ref="S65:V65"/>
    <mergeCell ref="O66:R67"/>
    <mergeCell ref="O59:R59"/>
    <mergeCell ref="S59:V59"/>
    <mergeCell ref="S66:V67"/>
    <mergeCell ref="O62:R62"/>
    <mergeCell ref="S62:V62"/>
    <mergeCell ref="O63:R63"/>
    <mergeCell ref="S63:V63"/>
    <mergeCell ref="O51:R52"/>
    <mergeCell ref="S51:V52"/>
    <mergeCell ref="O53:R53"/>
    <mergeCell ref="S53:V53"/>
    <mergeCell ref="O60:R61"/>
    <mergeCell ref="S60:V61"/>
    <mergeCell ref="O54:R54"/>
    <mergeCell ref="S54:V54"/>
    <mergeCell ref="O55:R55"/>
    <mergeCell ref="S55:V55"/>
    <mergeCell ref="O56:R56"/>
    <mergeCell ref="S56:V56"/>
    <mergeCell ref="O57:R57"/>
    <mergeCell ref="S57:V57"/>
    <mergeCell ref="O58:R58"/>
    <mergeCell ref="S58:V58"/>
    <mergeCell ref="O49:R49"/>
    <mergeCell ref="S49:V49"/>
    <mergeCell ref="O50:R50"/>
    <mergeCell ref="S50:V50"/>
    <mergeCell ref="O46:R46"/>
    <mergeCell ref="S46:V46"/>
    <mergeCell ref="O47:R47"/>
    <mergeCell ref="S47:V47"/>
    <mergeCell ref="O48:R48"/>
    <mergeCell ref="S48:V48"/>
    <mergeCell ref="O44:R45"/>
    <mergeCell ref="S44:V45"/>
    <mergeCell ref="O41:R41"/>
    <mergeCell ref="S41:V41"/>
    <mergeCell ref="O42:R42"/>
    <mergeCell ref="S42:V42"/>
    <mergeCell ref="O43:R43"/>
    <mergeCell ref="S43:V43"/>
    <mergeCell ref="O39:R39"/>
    <mergeCell ref="S39:V39"/>
    <mergeCell ref="O40:R40"/>
    <mergeCell ref="S40:V40"/>
    <mergeCell ref="O35:R35"/>
    <mergeCell ref="S35:V35"/>
    <mergeCell ref="O36:R36"/>
    <mergeCell ref="S36:V36"/>
    <mergeCell ref="O29:R30"/>
    <mergeCell ref="S29:V30"/>
    <mergeCell ref="O31:R31"/>
    <mergeCell ref="S31:V31"/>
    <mergeCell ref="O37:R38"/>
    <mergeCell ref="S37:V38"/>
    <mergeCell ref="O32:R32"/>
    <mergeCell ref="S32:V32"/>
    <mergeCell ref="O33:R33"/>
    <mergeCell ref="S33:V33"/>
    <mergeCell ref="O34:R34"/>
    <mergeCell ref="S34:V34"/>
    <mergeCell ref="O25:R26"/>
    <mergeCell ref="S25:V26"/>
    <mergeCell ref="O27:R27"/>
    <mergeCell ref="S27:V27"/>
    <mergeCell ref="O28:R28"/>
    <mergeCell ref="S28:V28"/>
    <mergeCell ref="AD7:AD10"/>
    <mergeCell ref="O21:R21"/>
    <mergeCell ref="O22:R22"/>
    <mergeCell ref="O24:R24"/>
    <mergeCell ref="S24:V24"/>
    <mergeCell ref="O20:R20"/>
  </mergeCells>
  <conditionalFormatting sqref="O8:U17">
    <cfRule type="cellIs" dxfId="33" priority="1" operator="equal" stopIfTrue="1">
      <formula>3</formula>
    </cfRule>
    <cfRule type="cellIs" dxfId="34" priority="2" operator="equal" stopIfTrue="1">
      <formula>2</formula>
    </cfRule>
    <cfRule type="cellIs" dxfId="35" priority="3" operator="equal" stopIfTrue="1">
      <formula>1</formula>
    </cfRule>
  </conditionalFormatting>
  <dataValidations count="1">
    <dataValidation type="list" allowBlank="1" showInputMessage="1" showErrorMessage="1" sqref="W8:W14 W17">
      <formula1>"Exigences non respectées,Exigences partiellement respectées,Exigences respectées,Non évalué,N/A"</formula1>
    </dataValidation>
  </dataValidations>
  <pageMargins left="0.7" right="0.7" top="0.75" bottom="0.75" header="0.3" footer="0.3"/>
  <pageSetup firstPageNumber="1" fitToHeight="1" fitToWidth="1" scale="100" useFirstPageNumber="0" orientation="portrait" pageOrder="downThenOver"/>
  <headerFooter>
    <oddFooter>&amp;C&amp;"Helvetica Neue,Regular"&amp;12&amp;K000000&amp;P</oddFooter>
  </headerFooter>
  <drawing r:id="rId1"/>
</worksheet>
</file>

<file path=xl/worksheets/sheet3.xml><?xml version="1.0" encoding="utf-8"?>
<worksheet xmlns:r="http://schemas.openxmlformats.org/officeDocument/2006/relationships" xmlns="http://schemas.openxmlformats.org/spreadsheetml/2006/main">
  <dimension ref="A1:E10"/>
  <sheetViews>
    <sheetView workbookViewId="0" showGridLines="0" defaultGridColor="1"/>
  </sheetViews>
  <sheetFormatPr defaultColWidth="10.8333" defaultRowHeight="14.4" customHeight="1" outlineLevelRow="0" outlineLevelCol="0"/>
  <cols>
    <col min="1" max="5" width="10.8516" style="37" customWidth="1"/>
    <col min="6" max="16384" width="10.8516" style="37" customWidth="1"/>
  </cols>
  <sheetData>
    <row r="1" ht="13.55" customHeight="1">
      <c r="A1" s="38"/>
      <c r="B1" s="38"/>
      <c r="C1" s="38"/>
      <c r="D1" s="38"/>
      <c r="E1" s="38"/>
    </row>
    <row r="2" ht="13.55" customHeight="1">
      <c r="A2" s="38"/>
      <c r="B2" s="38"/>
      <c r="C2" s="38"/>
      <c r="D2" s="38"/>
      <c r="E2" s="38"/>
    </row>
    <row r="3" ht="13.55" customHeight="1">
      <c r="A3" s="38"/>
      <c r="B3" s="38"/>
      <c r="C3" s="38"/>
      <c r="D3" s="38"/>
      <c r="E3" s="38"/>
    </row>
    <row r="4" ht="13.55" customHeight="1">
      <c r="A4" s="38"/>
      <c r="B4" s="38"/>
      <c r="C4" s="38"/>
      <c r="D4" s="38"/>
      <c r="E4" s="38"/>
    </row>
    <row r="5" ht="13.55" customHeight="1">
      <c r="A5" s="38"/>
      <c r="B5" s="38"/>
      <c r="C5" s="38"/>
      <c r="D5" s="38"/>
      <c r="E5" s="38"/>
    </row>
    <row r="6" ht="13.55" customHeight="1">
      <c r="A6" s="38"/>
      <c r="B6" s="38"/>
      <c r="C6" s="38"/>
      <c r="D6" s="38"/>
      <c r="E6" s="38"/>
    </row>
    <row r="7" ht="13.55" customHeight="1">
      <c r="A7" s="38"/>
      <c r="B7" s="38"/>
      <c r="C7" s="38"/>
      <c r="D7" s="38"/>
      <c r="E7" s="38"/>
    </row>
    <row r="8" ht="13.55" customHeight="1">
      <c r="A8" s="38"/>
      <c r="B8" s="38"/>
      <c r="C8" s="38"/>
      <c r="D8" s="38"/>
      <c r="E8" s="38"/>
    </row>
    <row r="9" ht="13.55" customHeight="1">
      <c r="A9" s="38"/>
      <c r="B9" s="38"/>
      <c r="C9" s="38"/>
      <c r="D9" s="38"/>
      <c r="E9" s="38"/>
    </row>
    <row r="10" ht="13.55" customHeight="1">
      <c r="A10" s="38"/>
      <c r="B10" s="38"/>
      <c r="C10" s="38"/>
      <c r="D10" s="38"/>
      <c r="E10" s="38"/>
    </row>
  </sheetData>
  <pageMargins left="0.7" right="0.7" top="0.75" bottom="0.75" header="0.3" footer="0.3"/>
  <pageSetup firstPageNumber="1" fitToHeight="1" fitToWidth="1" scale="100" useFirstPageNumber="0" orientation="portrait" pageOrder="downThenOver"/>
  <headerFooter>
    <oddFooter>&amp;C&amp;"Helvetica Neue,Regular"&amp;12&amp;K000000&amp;P</oddFooter>
  </headerFooter>
</worksheet>
</file>

<file path=xl/worksheets/sheet30.xml><?xml version="1.0" encoding="utf-8"?>
<worksheet xmlns:r="http://schemas.openxmlformats.org/officeDocument/2006/relationships" xmlns="http://schemas.openxmlformats.org/spreadsheetml/2006/main">
  <dimension ref="A1:P118"/>
  <sheetViews>
    <sheetView workbookViewId="0" showGridLines="0" defaultGridColor="1"/>
  </sheetViews>
  <sheetFormatPr defaultColWidth="10.8333" defaultRowHeight="14.4" customHeight="1" outlineLevelRow="0" outlineLevelCol="0"/>
  <cols>
    <col min="1" max="1" width="2.85156" style="1146" customWidth="1"/>
    <col min="2" max="2" width="4" style="1146" customWidth="1"/>
    <col min="3" max="5" hidden="1" width="10.8333" style="1146" customWidth="1"/>
    <col min="6" max="6" width="10.8516" style="1146" customWidth="1"/>
    <col min="7" max="7" width="36.1719" style="1146" customWidth="1"/>
    <col min="8" max="8" width="28.5" style="1146" customWidth="1"/>
    <col min="9" max="9" width="17.6719" style="1146" customWidth="1"/>
    <col min="10" max="10" width="66.8516" style="1146" customWidth="1"/>
    <col min="11" max="11" width="80.8516" style="1146" customWidth="1"/>
    <col min="12" max="12" width="10.8516" style="1146" customWidth="1"/>
    <col min="13" max="13" width="28" style="1146" customWidth="1"/>
    <col min="14" max="14" width="16.5" style="1146" customWidth="1"/>
    <col min="15" max="16" width="4" style="1146" customWidth="1"/>
    <col min="17" max="16384" width="10.8516" style="1146" customWidth="1"/>
  </cols>
  <sheetData>
    <row r="1" ht="45" customHeight="1">
      <c r="A1" s="1032"/>
      <c r="B1" t="s" s="1033">
        <v>2480</v>
      </c>
      <c r="C1" s="1034"/>
      <c r="D1" s="1034"/>
      <c r="E1" s="1034"/>
      <c r="F1" s="1034"/>
      <c r="G1" s="1035"/>
      <c r="H1" s="1036"/>
      <c r="I1" s="1036"/>
      <c r="J1" t="s" s="1037">
        <f>VLOOKUP($E$12,'BDD'!$A$2:$N$567,3,FALSE)</f>
        <v>235</v>
      </c>
      <c r="K1" s="1036"/>
      <c r="L1" s="1035"/>
      <c r="M1" s="1035"/>
      <c r="N1" s="1035"/>
      <c r="O1" s="1035"/>
      <c r="P1" s="1038"/>
    </row>
    <row r="2" ht="45" customHeight="1">
      <c r="A2" s="1039"/>
      <c r="B2" s="1040"/>
      <c r="C2" s="1040"/>
      <c r="D2" s="1040"/>
      <c r="E2" s="1040"/>
      <c r="F2" s="1040"/>
      <c r="G2" s="1040"/>
      <c r="H2" s="1040"/>
      <c r="I2" s="1040"/>
      <c r="J2" t="s" s="1041">
        <f>VLOOKUP($E$12,'BDD'!$A$2:$N$567,4,FALSE)</f>
        <v>1545</v>
      </c>
      <c r="K2" s="1040"/>
      <c r="L2" s="1040"/>
      <c r="M2" s="1040"/>
      <c r="N2" s="1040"/>
      <c r="O2" s="1040"/>
      <c r="P2" s="1042"/>
    </row>
    <row r="3" ht="18" customHeight="1">
      <c r="A3" s="1039"/>
      <c r="B3" s="61"/>
      <c r="C3" s="61"/>
      <c r="D3" s="61"/>
      <c r="E3" s="61"/>
      <c r="F3" s="61"/>
      <c r="G3" t="s" s="508">
        <f>IF('Suppl'!B64=2,"Le vecteur n'est pas utilisé","")</f>
      </c>
      <c r="H3" s="509"/>
      <c r="I3" s="509"/>
      <c r="J3" s="509"/>
      <c r="K3" s="509"/>
      <c r="L3" s="510"/>
      <c r="M3" s="61"/>
      <c r="N3" s="61"/>
      <c r="O3" s="61"/>
      <c r="P3" s="1042"/>
    </row>
    <row r="4" ht="14.4" customHeight="1">
      <c r="A4" s="1039"/>
      <c r="B4" s="61"/>
      <c r="C4" s="61"/>
      <c r="D4" s="61"/>
      <c r="E4" s="61"/>
      <c r="F4" s="61"/>
      <c r="G4" s="61"/>
      <c r="H4" s="61"/>
      <c r="I4" s="61"/>
      <c r="J4" s="61"/>
      <c r="K4" s="61"/>
      <c r="L4" s="61"/>
      <c r="M4" s="61"/>
      <c r="N4" s="61"/>
      <c r="O4" s="61"/>
      <c r="P4" s="1042"/>
    </row>
    <row r="5" ht="25.8" customHeight="1">
      <c r="A5" s="1043"/>
      <c r="B5" s="512"/>
      <c r="C5" t="s" s="513">
        <f>IF(LEFT(RIGHT($B$1,2),1)=" ",RIGHT($B$1,1),RIGHT($B$1,2))</f>
        <v>267</v>
      </c>
      <c r="D5" s="514">
        <f>IF(LEFT(F5,14)="Bonne pratique",D4+1,D4)</f>
        <v>1</v>
      </c>
      <c r="E5" s="515"/>
      <c r="F5" t="s" s="516">
        <v>1762</v>
      </c>
      <c r="G5" s="517"/>
      <c r="H5" s="518"/>
      <c r="I5" s="519"/>
      <c r="J5" t="s" s="520">
        <f>VLOOKUP(E12,'BDD'!$A$2:$N$567,6,FALSE)</f>
        <v>1546</v>
      </c>
      <c r="K5" s="521"/>
      <c r="L5" s="517"/>
      <c r="M5" s="517"/>
      <c r="N5" s="517"/>
      <c r="O5" s="512"/>
      <c r="P5" s="1044"/>
    </row>
    <row r="6" ht="14.4" customHeight="1">
      <c r="A6" s="1039"/>
      <c r="B6" s="61"/>
      <c r="C6" t="s" s="513">
        <f>IF(LEFT(RIGHT($B$1,2),1)=" ",RIGHT($B$1,1),RIGHT($B$1,2))</f>
        <v>267</v>
      </c>
      <c r="D6" s="514">
        <f>IF(LEFT(F6,14)="Bonne pratique",D5+1,D5)</f>
        <v>1</v>
      </c>
      <c r="E6" s="61"/>
      <c r="F6" s="61"/>
      <c r="G6" s="61"/>
      <c r="H6" s="61"/>
      <c r="I6" s="61"/>
      <c r="J6" s="61"/>
      <c r="K6" s="61"/>
      <c r="L6" s="61"/>
      <c r="M6" s="61"/>
      <c r="N6" s="61"/>
      <c r="O6" s="61"/>
      <c r="P6" s="1042"/>
    </row>
    <row r="7" ht="23.4" customHeight="1">
      <c r="A7" s="1045"/>
      <c r="B7" s="524"/>
      <c r="C7" t="s" s="513">
        <f>IF(LEFT(RIGHT($B$1,2),1)=" ",RIGHT($B$1,1),RIGHT($B$1,2))</f>
        <v>267</v>
      </c>
      <c r="D7" s="514">
        <f>IF(LEFT(F7,14)="Bonne pratique",D6+1,D6)</f>
        <v>1</v>
      </c>
      <c r="E7" s="524"/>
      <c r="F7" s="524"/>
      <c r="G7" s="524"/>
      <c r="H7" s="524"/>
      <c r="I7" s="525"/>
      <c r="J7" t="s" s="526">
        <v>2481</v>
      </c>
      <c r="K7" s="525"/>
      <c r="L7" s="524"/>
      <c r="M7" s="524"/>
      <c r="N7" s="524"/>
      <c r="O7" s="524"/>
      <c r="P7" s="1046"/>
    </row>
    <row r="8" ht="18" customHeight="1">
      <c r="A8" s="1039"/>
      <c r="B8" s="61"/>
      <c r="C8" t="s" s="513">
        <f>IF(LEFT(RIGHT($B$1,2),1)=" ",RIGHT($B$1,1),RIGHT($B$1,2))</f>
        <v>267</v>
      </c>
      <c r="D8" s="514">
        <f>IF(LEFT(F8,14)="Bonne pratique",D7+1,D7)</f>
        <v>1</v>
      </c>
      <c r="E8" s="61"/>
      <c r="F8" s="61"/>
      <c r="G8" s="61"/>
      <c r="H8" s="61"/>
      <c r="I8" s="61"/>
      <c r="J8" t="s" s="526">
        <v>2482</v>
      </c>
      <c r="K8" s="61"/>
      <c r="L8" s="61"/>
      <c r="M8" s="529"/>
      <c r="N8" s="529"/>
      <c r="O8" s="61"/>
      <c r="P8" s="1042"/>
    </row>
    <row r="9" ht="14.4" customHeight="1">
      <c r="A9" s="1039"/>
      <c r="B9" s="61"/>
      <c r="C9" t="s" s="513">
        <f>IF(LEFT(RIGHT($B$1,2),1)=" ",RIGHT($B$1,1),RIGHT($B$1,2))</f>
        <v>267</v>
      </c>
      <c r="D9" s="514">
        <f>IF(LEFT(F9,14)="Bonne pratique",D8+1,D8)</f>
        <v>1</v>
      </c>
      <c r="E9" s="61"/>
      <c r="F9" s="61"/>
      <c r="G9" s="530"/>
      <c r="H9" s="530"/>
      <c r="I9" s="530"/>
      <c r="J9" s="530"/>
      <c r="K9" s="530"/>
      <c r="L9" s="531"/>
      <c r="M9" t="s" s="532">
        <v>1763</v>
      </c>
      <c r="N9" s="533"/>
      <c r="O9" s="534"/>
      <c r="P9" s="1042"/>
    </row>
    <row r="10" ht="33" customHeight="1">
      <c r="A10" s="1039"/>
      <c r="B10" s="61"/>
      <c r="C10" t="s" s="513">
        <f>IF(LEFT(RIGHT($B$1,2),1)=" ",RIGHT($B$1,1),RIGHT($B$1,2))</f>
        <v>267</v>
      </c>
      <c r="D10" s="514">
        <f>IF(LEFT(F10,14)="Bonne pratique",D9+1,D9)</f>
        <v>1</v>
      </c>
      <c r="E10" s="61"/>
      <c r="F10" s="535"/>
      <c r="G10" t="s" s="536">
        <v>244</v>
      </c>
      <c r="H10" t="s" s="536">
        <v>1764</v>
      </c>
      <c r="I10" t="s" s="537">
        <v>245</v>
      </c>
      <c r="J10" t="s" s="536">
        <v>1765</v>
      </c>
      <c r="K10" t="s" s="536">
        <v>246</v>
      </c>
      <c r="L10" s="538"/>
      <c r="M10" t="s" s="539">
        <v>1766</v>
      </c>
      <c r="N10" t="s" s="540">
        <v>1767</v>
      </c>
      <c r="O10" s="534"/>
      <c r="P10" s="1042"/>
    </row>
    <row r="11" ht="14.4" customHeight="1">
      <c r="A11" s="1039"/>
      <c r="B11" s="61"/>
      <c r="C11" t="s" s="513">
        <f>IF(LEFT(RIGHT($B$1,2),1)=" ",RIGHT($B$1,1),RIGHT($B$1,2))</f>
        <v>267</v>
      </c>
      <c r="D11" s="514">
        <f>IF(LEFT(F11,14)="Bonne pratique",D10+1,D10)</f>
        <v>1</v>
      </c>
      <c r="E11" s="61"/>
      <c r="F11" s="529"/>
      <c r="G11" s="541"/>
      <c r="H11" s="541"/>
      <c r="I11" s="541"/>
      <c r="J11" s="541"/>
      <c r="K11" s="541"/>
      <c r="L11" s="61"/>
      <c r="M11" s="541"/>
      <c r="N11" s="541"/>
      <c r="O11" s="61"/>
      <c r="P11" s="1042"/>
    </row>
    <row r="12" ht="130.05" customHeight="1">
      <c r="A12" s="1039"/>
      <c r="B12" s="542"/>
      <c r="C12" t="s" s="543">
        <f>IF(LEFT(RIGHT($B$1,2),1)=" ",RIGHT($B$1,1),RIGHT($B$1,2))</f>
        <v>267</v>
      </c>
      <c r="D12" s="544">
        <f>IF(LEFT(F12,14)="Bonne pratique",D11+1,D11)</f>
        <v>1</v>
      </c>
      <c r="E12" t="s" s="545">
        <f>C12&amp;D12&amp;RIGHT(F12,1)</f>
        <v>2483</v>
      </c>
      <c r="F12" t="s" s="546">
        <v>1769</v>
      </c>
      <c r="G12" t="s" s="547">
        <f>_xlfn.IFERROR(IF(VLOOKUP($E12,'BDD'!$A$1:$S$567,MATCH(G$10,'BDD'!$A$1:$P$1,0),FALSE)=0,"",VLOOKUP($E12,'BDD'!$A$1:$S$567,MATCH(G$10,'BDD'!$A$1:$P$1,0),FALSE)),"")</f>
        <v>2484</v>
      </c>
      <c r="H12" t="s" s="548">
        <f>IF(VLOOKUP(E12,'BDD'!$A$1:$S$567,15,FALSE)=0,"Critère non évalué","")</f>
        <v>1770</v>
      </c>
      <c r="I12" t="s" s="546">
        <f>_xlfn.IFERROR(IF(VLOOKUP($E12,'BDD'!$A$1:$S$567,MATCH(I$10,'BDD'!$A$1:$P$1,0),FALSE)=0,"",VLOOKUP($E12,'BDD'!$A$1:$S$567,MATCH(I$10,'BDD'!$A$1:$P$1,0),FALSE)),"")</f>
        <v>283</v>
      </c>
      <c r="J12" s="549"/>
      <c r="K12" t="s" s="547">
        <f>_xlfn.IFERROR(IF(VLOOKUP($E12,'BDD'!$A$1:$S$567,MATCH(K$10,'BDD'!$A$1:$P$1,0),FALSE)=0,"",VLOOKUP($E12,'BDD'!$A$1:$S$567,MATCH(K$10,'BDD'!$A$1:$P$1,0),FALSE)),"")</f>
      </c>
      <c r="L12" s="550"/>
      <c r="M12" s="551"/>
      <c r="N12" s="551"/>
      <c r="O12" s="534"/>
      <c r="P12" s="1042"/>
    </row>
    <row r="13" ht="130.05" customHeight="1">
      <c r="A13" s="1039"/>
      <c r="B13" s="542"/>
      <c r="C13" t="s" s="543">
        <f>IF(LEFT(RIGHT($B$1,2),1)=" ",RIGHT($B$1,1),RIGHT($B$1,2))</f>
        <v>267</v>
      </c>
      <c r="D13" s="544">
        <f>IF(LEFT(F13,14)="Bonne pratique",D12+1,D12)</f>
        <v>1</v>
      </c>
      <c r="E13" t="s" s="545">
        <f>C13&amp;D13&amp;RIGHT(F13,1)</f>
        <v>2485</v>
      </c>
      <c r="F13" t="s" s="552">
        <v>1772</v>
      </c>
      <c r="G13" t="s" s="540">
        <f>_xlfn.IFERROR(IF(VLOOKUP($E13,'BDD'!$A$1:$S$567,MATCH(G$10,'BDD'!$A$1:$P$1,0),FALSE)=0,"",VLOOKUP($E13,'BDD'!$A$1:$S$567,MATCH(G$10,'BDD'!$A$1:$P$1,0),FALSE)),"")</f>
        <v>1553</v>
      </c>
      <c r="H13" t="s" s="553">
        <f>IF(VLOOKUP(E13,'BDD'!$A$1:$S$567,15,FALSE)=0,"Critère non évalué","")</f>
        <v>1770</v>
      </c>
      <c r="I13" t="s" s="552">
        <f>_xlfn.IFERROR(IF(VLOOKUP($E13,'BDD'!$A$1:$S$567,MATCH(I$10,'BDD'!$A$1:$P$1,0),FALSE)=0,"",VLOOKUP($E13,'BDD'!$A$1:$S$567,MATCH(I$10,'BDD'!$A$1:$P$1,0),FALSE)),"")</f>
        <v>263</v>
      </c>
      <c r="J13" s="554"/>
      <c r="K13" t="s" s="540">
        <f>_xlfn.IFERROR(IF(VLOOKUP($E13,'BDD'!$A$1:$S$567,MATCH(K$10,'BDD'!$A$1:$P$1,0),FALSE)=0,"",VLOOKUP($E13,'BDD'!$A$1:$S$567,MATCH(K$10,'BDD'!$A$1:$P$1,0),FALSE)),"")</f>
      </c>
      <c r="L13" s="550"/>
      <c r="M13" s="555"/>
      <c r="N13" s="555"/>
      <c r="O13" s="534"/>
      <c r="P13" s="1042"/>
    </row>
    <row r="14" ht="130.05" customHeight="1">
      <c r="A14" s="1039"/>
      <c r="B14" s="542"/>
      <c r="C14" t="s" s="543">
        <f>IF(LEFT(RIGHT($B$1,2),1)=" ",RIGHT($B$1,1),RIGHT($B$1,2))</f>
        <v>267</v>
      </c>
      <c r="D14" s="544">
        <f>IF(LEFT(F14,14)="Bonne pratique",D13+1,D13)</f>
        <v>1</v>
      </c>
      <c r="E14" t="s" s="545">
        <f>C14&amp;D14&amp;RIGHT(F14,1)</f>
        <v>2486</v>
      </c>
      <c r="F14" t="s" s="546">
        <v>1774</v>
      </c>
      <c r="G14" t="s" s="547">
        <f>_xlfn.IFERROR(IF(VLOOKUP($E14,'BDD'!$A$1:$S$567,MATCH(G$10,'BDD'!$A$1:$P$1,0),FALSE)=0,"",VLOOKUP($E14,'BDD'!$A$1:$S$567,MATCH(G$10,'BDD'!$A$1:$P$1,0),FALSE)),"")</f>
        <v>1558</v>
      </c>
      <c r="H14" t="s" s="548">
        <f>IF(VLOOKUP(E14,'BDD'!$A$1:$S$567,15,FALSE)=0,"Critère non évalué","")</f>
        <v>1770</v>
      </c>
      <c r="I14" t="s" s="546">
        <f>_xlfn.IFERROR(IF(VLOOKUP($E14,'BDD'!$A$1:$S$567,MATCH(I$10,'BDD'!$A$1:$P$1,0),FALSE)=0,"",VLOOKUP($E14,'BDD'!$A$1:$S$567,MATCH(I$10,'BDD'!$A$1:$P$1,0),FALSE)),"")</f>
        <v>271</v>
      </c>
      <c r="J14" s="549"/>
      <c r="K14" t="s" s="547">
        <f>_xlfn.IFERROR(IF(VLOOKUP($E14,'BDD'!$A$1:$S$567,MATCH(K$10,'BDD'!$A$1:$P$1,0),FALSE)=0,"",VLOOKUP($E14,'BDD'!$A$1:$S$567,MATCH(K$10,'BDD'!$A$1:$P$1,0),FALSE)),"")</f>
      </c>
      <c r="L14" s="550"/>
      <c r="M14" s="551"/>
      <c r="N14" s="551"/>
      <c r="O14" s="534"/>
      <c r="P14" s="1042"/>
    </row>
    <row r="15" ht="130.05" customHeight="1">
      <c r="A15" s="1039"/>
      <c r="B15" s="542"/>
      <c r="C15" t="s" s="543">
        <f>IF(LEFT(RIGHT($B$1,2),1)=" ",RIGHT($B$1,1),RIGHT($B$1,2))</f>
        <v>267</v>
      </c>
      <c r="D15" s="544">
        <f>IF(LEFT(F15,14)="Bonne pratique",D14+1,D14)</f>
        <v>1</v>
      </c>
      <c r="E15" t="s" s="545">
        <f>C15&amp;D15&amp;RIGHT(F15,1)</f>
        <v>2487</v>
      </c>
      <c r="F15" t="s" s="552">
        <v>1776</v>
      </c>
      <c r="G15" t="s" s="540">
        <f>_xlfn.IFERROR(IF(VLOOKUP($E15,'BDD'!$A$1:$S$567,MATCH(G$10,'BDD'!$A$1:$P$1,0),FALSE)=0,"",VLOOKUP($E15,'BDD'!$A$1:$S$567,MATCH(G$10,'BDD'!$A$1:$P$1,0),FALSE)),"")</f>
        <v>1562</v>
      </c>
      <c r="H15" t="s" s="553">
        <f>IF(VLOOKUP(E15,'BDD'!$A$1:$S$567,15,FALSE)=0,"Critère non évalué","")</f>
        <v>1770</v>
      </c>
      <c r="I15" t="s" s="552">
        <f>_xlfn.IFERROR(IF(VLOOKUP($E15,'BDD'!$A$1:$S$567,MATCH(I$10,'BDD'!$A$1:$P$1,0),FALSE)=0,"",VLOOKUP($E15,'BDD'!$A$1:$S$567,MATCH(I$10,'BDD'!$A$1:$P$1,0),FALSE)),"")</f>
        <v>271</v>
      </c>
      <c r="J15" s="556"/>
      <c r="K15" t="s" s="540">
        <f>_xlfn.IFERROR(IF(VLOOKUP($E15,'BDD'!$A$1:$S$567,MATCH(K$10,'BDD'!$A$1:$P$1,0),FALSE)=0,"",VLOOKUP($E15,'BDD'!$A$1:$S$567,MATCH(K$10,'BDD'!$A$1:$P$1,0),FALSE)),"")</f>
      </c>
      <c r="L15" s="550"/>
      <c r="M15" s="555"/>
      <c r="N15" s="555"/>
      <c r="O15" s="534"/>
      <c r="P15" s="1042"/>
    </row>
    <row r="16" ht="130.05" customHeight="1">
      <c r="A16" s="1039"/>
      <c r="B16" s="542"/>
      <c r="C16" t="s" s="543">
        <f>IF(LEFT(RIGHT($B$1,2),1)=" ",RIGHT($B$1,1),RIGHT($B$1,2))</f>
        <v>267</v>
      </c>
      <c r="D16" s="544">
        <f>IF(LEFT(F16,14)="Bonne pratique",D15+1,D15)</f>
        <v>1</v>
      </c>
      <c r="E16" t="s" s="545">
        <f>C16&amp;D16&amp;RIGHT(F16,1)</f>
        <v>2488</v>
      </c>
      <c r="F16" t="s" s="546">
        <v>1778</v>
      </c>
      <c r="G16" t="s" s="547">
        <f>_xlfn.IFERROR(IF(VLOOKUP($E16,'BDD'!$A$1:$S$567,MATCH(G$10,'BDD'!$A$1:$P$1,0),FALSE)=0,"",VLOOKUP($E16,'BDD'!$A$1:$S$567,MATCH(G$10,'BDD'!$A$1:$P$1,0),FALSE)),"")</f>
        <v>1566</v>
      </c>
      <c r="H16" t="s" s="548">
        <f>IF(VLOOKUP(E16,'BDD'!$A$1:$S$567,15,FALSE)=0,"Critère non évalué","")</f>
        <v>1770</v>
      </c>
      <c r="I16" t="s" s="546">
        <f>_xlfn.IFERROR(IF(VLOOKUP($E16,'BDD'!$A$1:$S$567,MATCH(I$10,'BDD'!$A$1:$P$1,0),FALSE)=0,"",VLOOKUP($E16,'BDD'!$A$1:$S$567,MATCH(I$10,'BDD'!$A$1:$P$1,0),FALSE)),"")</f>
        <v>291</v>
      </c>
      <c r="J16" s="549"/>
      <c r="K16" t="s" s="547">
        <f>_xlfn.IFERROR(IF(VLOOKUP($E16,'BDD'!$A$1:$S$567,MATCH(K$10,'BDD'!$A$1:$P$1,0),FALSE)=0,"",VLOOKUP($E16,'BDD'!$A$1:$S$567,MATCH(K$10,'BDD'!$A$1:$P$1,0),FALSE)),"")</f>
      </c>
      <c r="L16" s="550"/>
      <c r="M16" s="557"/>
      <c r="N16" s="557"/>
      <c r="O16" s="534"/>
      <c r="P16" s="1042"/>
    </row>
    <row r="17" ht="130.05" customHeight="1">
      <c r="A17" s="1039"/>
      <c r="B17" s="542"/>
      <c r="C17" t="s" s="543">
        <f>IF(LEFT(RIGHT($B$1,2),1)=" ",RIGHT($B$1,1),RIGHT($B$1,2))</f>
        <v>267</v>
      </c>
      <c r="D17" s="544">
        <f>IF(LEFT(F17,14)="Bonne pratique",D16+1,D16)</f>
        <v>1</v>
      </c>
      <c r="E17" t="s" s="545">
        <f>C17&amp;D17&amp;RIGHT(F17,1)</f>
        <v>2489</v>
      </c>
      <c r="F17" t="s" s="552">
        <v>1780</v>
      </c>
      <c r="G17" t="s" s="540">
        <f>_xlfn.IFERROR(IF(VLOOKUP($E17,'BDD'!$A$1:$S$567,MATCH(G$10,'BDD'!$A$1:$P$1,0),FALSE)=0,"",VLOOKUP($E17,'BDD'!$A$1:$S$567,MATCH(G$10,'BDD'!$A$1:$P$1,0),FALSE)),"")</f>
        <v>1569</v>
      </c>
      <c r="H17" t="s" s="553">
        <f>IF(VLOOKUP(E17,'BDD'!$A$1:$S$567,15,FALSE)=0,"Critère non évalué","")</f>
        <v>1770</v>
      </c>
      <c r="I17" t="s" s="552">
        <f>_xlfn.IFERROR(IF(VLOOKUP($E17,'BDD'!$A$1:$S$567,MATCH(I$10,'BDD'!$A$1:$P$1,0),FALSE)=0,"",VLOOKUP($E17,'BDD'!$A$1:$S$567,MATCH(I$10,'BDD'!$A$1:$P$1,0),FALSE)),"")</f>
        <v>256</v>
      </c>
      <c r="J17" s="554"/>
      <c r="K17" t="s" s="540">
        <f>_xlfn.IFERROR(IF(VLOOKUP($E17,'BDD'!$A$1:$S$567,MATCH(K$10,'BDD'!$A$1:$P$1,0),FALSE)=0,"",VLOOKUP($E17,'BDD'!$A$1:$S$567,MATCH(K$10,'BDD'!$A$1:$P$1,0),FALSE)),"")</f>
      </c>
      <c r="L17" s="550"/>
      <c r="M17" s="555"/>
      <c r="N17" s="555"/>
      <c r="O17" s="534"/>
      <c r="P17" s="1042"/>
    </row>
    <row r="18" ht="130.05" customHeight="1">
      <c r="A18" s="1039"/>
      <c r="B18" s="542"/>
      <c r="C18" t="s" s="543">
        <f>IF(LEFT(RIGHT($B$1,2),1)=" ",RIGHT($B$1,1),RIGHT($B$1,2))</f>
        <v>267</v>
      </c>
      <c r="D18" s="544">
        <f>IF(LEFT(F18,14)="Bonne pratique",D17+1,D17)</f>
        <v>1</v>
      </c>
      <c r="E18" t="s" s="545">
        <f>C18&amp;D18&amp;RIGHT(F18,1)</f>
        <v>2490</v>
      </c>
      <c r="F18" t="s" s="546">
        <v>1782</v>
      </c>
      <c r="G18" t="s" s="547">
        <f>_xlfn.IFERROR(IF(VLOOKUP($E18,'BDD'!$A$1:$S$567,MATCH(G$10,'BDD'!$A$1:$P$1,0),FALSE)=0,"",VLOOKUP($E18,'BDD'!$A$1:$S$567,MATCH(G$10,'BDD'!$A$1:$P$1,0),FALSE)),"")</f>
        <v>1571</v>
      </c>
      <c r="H18" t="s" s="548">
        <f>IF(VLOOKUP(E18,'BDD'!$A$1:$S$567,15,FALSE)=0,"Critère non évalué","")</f>
        <v>1770</v>
      </c>
      <c r="I18" t="s" s="546">
        <f>_xlfn.IFERROR(IF(VLOOKUP($E18,'BDD'!$A$1:$S$567,MATCH(I$10,'BDD'!$A$1:$P$1,0),FALSE)=0,"",VLOOKUP($E18,'BDD'!$A$1:$S$567,MATCH(I$10,'BDD'!$A$1:$P$1,0),FALSE)),"")</f>
        <v>283</v>
      </c>
      <c r="J18" s="549"/>
      <c r="K18" t="s" s="547">
        <f>_xlfn.IFERROR(IF(VLOOKUP($E18,'BDD'!$A$1:$S$567,MATCH(K$10,'BDD'!$A$1:$P$1,0),FALSE)=0,"",VLOOKUP($E18,'BDD'!$A$1:$S$567,MATCH(K$10,'BDD'!$A$1:$P$1,0),FALSE)),"")</f>
      </c>
      <c r="L18" s="550"/>
      <c r="M18" s="557"/>
      <c r="N18" s="557"/>
      <c r="O18" s="534"/>
      <c r="P18" s="1042"/>
    </row>
    <row r="19" ht="130.05" customHeight="1">
      <c r="A19" s="1039"/>
      <c r="B19" s="542"/>
      <c r="C19" t="s" s="543">
        <f>IF(LEFT(RIGHT($B$1,2),1)=" ",RIGHT($B$1,1),RIGHT($B$1,2))</f>
        <v>267</v>
      </c>
      <c r="D19" s="544">
        <f>IF(LEFT(F19,14)="Bonne pratique",D18+1,D18)</f>
        <v>1</v>
      </c>
      <c r="E19" t="s" s="545">
        <f>C19&amp;D19&amp;RIGHT(F19,1)</f>
        <v>2491</v>
      </c>
      <c r="F19" t="s" s="552">
        <v>2492</v>
      </c>
      <c r="G19" t="s" s="540">
        <f>_xlfn.IFERROR(IF(VLOOKUP($E19,'BDD'!$A$1:$S$567,MATCH(G$10,'BDD'!$A$1:$P$1,0),FALSE)=0,"",VLOOKUP($E19,'BDD'!$A$1:$S$567,MATCH(G$10,'BDD'!$A$1:$P$1,0),FALSE)),"")</f>
        <v>1573</v>
      </c>
      <c r="H19" t="s" s="553">
        <f>IF(VLOOKUP(E19,'BDD'!$A$1:$S$567,15,FALSE)=0,"Critère non évalué","")</f>
        <v>1770</v>
      </c>
      <c r="I19" t="s" s="552">
        <f>_xlfn.IFERROR(IF(VLOOKUP($E19,'BDD'!$A$1:$S$567,MATCH(I$10,'BDD'!$A$1:$P$1,0),FALSE)=0,"",VLOOKUP($E19,'BDD'!$A$1:$S$567,MATCH(I$10,'BDD'!$A$1:$P$1,0),FALSE)),"")</f>
        <v>263</v>
      </c>
      <c r="J19" s="554"/>
      <c r="K19" t="s" s="540">
        <f>_xlfn.IFERROR(IF(VLOOKUP($E19,'BDD'!$A$1:$S$567,MATCH(K$10,'BDD'!$A$1:$P$1,0),FALSE)=0,"",VLOOKUP($E19,'BDD'!$A$1:$S$567,MATCH(K$10,'BDD'!$A$1:$P$1,0),FALSE)),"")</f>
      </c>
      <c r="L19" s="550"/>
      <c r="M19" s="555"/>
      <c r="N19" s="555"/>
      <c r="O19" s="534"/>
      <c r="P19" s="1042"/>
    </row>
    <row r="20" ht="15" customHeight="1">
      <c r="A20" s="1039"/>
      <c r="B20" s="61"/>
      <c r="C20" t="s" s="513">
        <f>IF(LEFT(RIGHT($B$1,2),1)=" ",RIGHT($B$1,1),RIGHT($B$1,2))</f>
        <v>267</v>
      </c>
      <c r="D20" s="514">
        <f>IF(LEFT(F20,14)="Bonne pratique",D19+1,D19)</f>
        <v>1</v>
      </c>
      <c r="E20" t="s" s="558">
        <f>C20&amp;D20&amp;RIGHT(F20,1)</f>
        <v>1789</v>
      </c>
      <c r="F20" s="559"/>
      <c r="G20" s="559"/>
      <c r="H20" s="559"/>
      <c r="I20" s="559"/>
      <c r="J20" s="559"/>
      <c r="K20" s="559"/>
      <c r="L20" s="61"/>
      <c r="M20" s="559"/>
      <c r="N20" s="559"/>
      <c r="O20" s="61"/>
      <c r="P20" s="1042"/>
    </row>
    <row r="21" ht="30" customHeight="1">
      <c r="A21" s="1043"/>
      <c r="B21" s="512"/>
      <c r="C21" t="s" s="513">
        <f>IF(LEFT(RIGHT($B$1,2),1)=" ",RIGHT($B$1,1),RIGHT($B$1,2))</f>
        <v>267</v>
      </c>
      <c r="D21" s="514">
        <f>IF(LEFT(F21,14)="Bonne pratique",D20+1,D20)</f>
        <v>2</v>
      </c>
      <c r="E21" t="s" s="558">
        <f>C21&amp;D21&amp;RIGHT(F21,1)</f>
        <v>2493</v>
      </c>
      <c r="F21" t="s" s="516">
        <v>1785</v>
      </c>
      <c r="G21" s="517"/>
      <c r="H21" s="518"/>
      <c r="I21" s="519"/>
      <c r="J21" t="s" s="520">
        <f>VLOOKUP(E28,'BDD'!$A$2:$N$567,6,FALSE)</f>
        <v>343</v>
      </c>
      <c r="K21" s="521"/>
      <c r="L21" s="517"/>
      <c r="M21" s="517"/>
      <c r="N21" s="517"/>
      <c r="O21" s="512"/>
      <c r="P21" s="1044"/>
    </row>
    <row r="22" ht="15" customHeight="1">
      <c r="A22" s="1039"/>
      <c r="B22" s="61"/>
      <c r="C22" t="s" s="513">
        <f>IF(LEFT(RIGHT($B$1,2),1)=" ",RIGHT($B$1,1),RIGHT($B$1,2))</f>
        <v>267</v>
      </c>
      <c r="D22" s="514">
        <f>IF(LEFT(F22,14)="Bonne pratique",D21+1,D21)</f>
        <v>2</v>
      </c>
      <c r="E22" t="s" s="558">
        <f>C22&amp;D22&amp;RIGHT(F22,1)</f>
        <v>1784</v>
      </c>
      <c r="F22" s="61"/>
      <c r="G22" s="61"/>
      <c r="H22" s="61"/>
      <c r="I22" s="61"/>
      <c r="J22" s="61"/>
      <c r="K22" s="61"/>
      <c r="L22" s="61"/>
      <c r="M22" s="61"/>
      <c r="N22" s="61"/>
      <c r="O22" s="61"/>
      <c r="P22" s="1042"/>
    </row>
    <row r="23" ht="18" customHeight="1">
      <c r="A23" s="1045"/>
      <c r="B23" s="524"/>
      <c r="C23" t="s" s="513">
        <f>IF(LEFT(RIGHT($B$1,2),1)=" ",RIGHT($B$1,1),RIGHT($B$1,2))</f>
        <v>267</v>
      </c>
      <c r="D23" s="514">
        <f>IF(LEFT(F23,14)="Bonne pratique",D22+1,D22)</f>
        <v>2</v>
      </c>
      <c r="E23" t="s" s="558">
        <f>C23&amp;D23&amp;RIGHT(F23,1)</f>
        <v>1784</v>
      </c>
      <c r="F23" s="524"/>
      <c r="G23" s="524"/>
      <c r="H23" s="524"/>
      <c r="I23" s="525"/>
      <c r="J23" t="s" s="526">
        <v>1575</v>
      </c>
      <c r="K23" s="525"/>
      <c r="L23" s="524"/>
      <c r="M23" s="524"/>
      <c r="N23" s="524"/>
      <c r="O23" s="524"/>
      <c r="P23" s="1046"/>
    </row>
    <row r="24" ht="18" customHeight="1">
      <c r="A24" s="1039"/>
      <c r="B24" s="61"/>
      <c r="C24" t="s" s="513">
        <f>IF(LEFT(RIGHT($B$1,2),1)=" ",RIGHT($B$1,1),RIGHT($B$1,2))</f>
        <v>267</v>
      </c>
      <c r="D24" s="514">
        <f>IF(LEFT(F24,14)="Bonne pratique",D23+1,D23)</f>
        <v>2</v>
      </c>
      <c r="E24" t="s" s="558">
        <f>C24&amp;D24&amp;RIGHT(F24,1)</f>
        <v>1784</v>
      </c>
      <c r="F24" s="61"/>
      <c r="G24" s="61"/>
      <c r="H24" s="61"/>
      <c r="I24" s="61"/>
      <c r="J24" s="528"/>
      <c r="K24" s="61"/>
      <c r="L24" s="61"/>
      <c r="M24" s="529"/>
      <c r="N24" s="529"/>
      <c r="O24" s="61"/>
      <c r="P24" s="1042"/>
    </row>
    <row r="25" ht="15" customHeight="1">
      <c r="A25" s="1039"/>
      <c r="B25" s="61"/>
      <c r="C25" t="s" s="513">
        <f>IF(LEFT(RIGHT($B$1,2),1)=" ",RIGHT($B$1,1),RIGHT($B$1,2))</f>
        <v>267</v>
      </c>
      <c r="D25" s="514">
        <f>IF(LEFT(F25,14)="Bonne pratique",D24+1,D24)</f>
        <v>2</v>
      </c>
      <c r="E25" t="s" s="558">
        <f>C25&amp;D25&amp;RIGHT(F25,1)</f>
        <v>1784</v>
      </c>
      <c r="F25" s="61"/>
      <c r="G25" s="529"/>
      <c r="H25" s="529"/>
      <c r="I25" s="529"/>
      <c r="J25" s="530"/>
      <c r="K25" s="529"/>
      <c r="L25" s="542"/>
      <c r="M25" t="s" s="562">
        <v>1763</v>
      </c>
      <c r="N25" s="563"/>
      <c r="O25" s="534"/>
      <c r="P25" s="1042"/>
    </row>
    <row r="26" ht="33" customHeight="1">
      <c r="A26" s="1039"/>
      <c r="B26" s="61"/>
      <c r="C26" t="s" s="513">
        <f>IF(LEFT(RIGHT($B$1,2),1)=" ",RIGHT($B$1,1),RIGHT($B$1,2))</f>
        <v>267</v>
      </c>
      <c r="D26" s="514">
        <f>IF(LEFT(F26,14)="Bonne pratique",D25+1,D25)</f>
        <v>2</v>
      </c>
      <c r="E26" t="s" s="558">
        <f>C26&amp;D26&amp;RIGHT(F26,1)</f>
        <v>1784</v>
      </c>
      <c r="F26" s="564"/>
      <c r="G26" t="s" s="536">
        <v>244</v>
      </c>
      <c r="H26" t="s" s="536">
        <v>1764</v>
      </c>
      <c r="I26" t="s" s="536">
        <v>1787</v>
      </c>
      <c r="J26" t="s" s="536">
        <v>1765</v>
      </c>
      <c r="K26" t="s" s="536">
        <v>1788</v>
      </c>
      <c r="L26" s="538"/>
      <c r="M26" t="s" s="539">
        <v>1766</v>
      </c>
      <c r="N26" t="s" s="540">
        <v>1767</v>
      </c>
      <c r="O26" s="534"/>
      <c r="P26" s="1042"/>
    </row>
    <row r="27" ht="15" customHeight="1">
      <c r="A27" s="1039"/>
      <c r="B27" s="61"/>
      <c r="C27" t="s" s="513">
        <f>IF(LEFT(RIGHT($B$1,2),1)=" ",RIGHT($B$1,1),RIGHT($B$1,2))</f>
        <v>267</v>
      </c>
      <c r="D27" s="514">
        <f>IF(LEFT(F27,14)="Bonne pratique",D26+1,D26)</f>
        <v>2</v>
      </c>
      <c r="E27" t="s" s="558">
        <f>C27&amp;D27&amp;RIGHT(F27,1)</f>
        <v>1784</v>
      </c>
      <c r="F27" s="529"/>
      <c r="G27" s="541"/>
      <c r="H27" s="541"/>
      <c r="I27" s="541"/>
      <c r="J27" s="541"/>
      <c r="K27" s="541"/>
      <c r="L27" s="61"/>
      <c r="M27" s="541"/>
      <c r="N27" s="541"/>
      <c r="O27" s="61"/>
      <c r="P27" s="1042"/>
    </row>
    <row r="28" ht="130.05" customHeight="1">
      <c r="A28" s="1039"/>
      <c r="B28" s="542"/>
      <c r="C28" t="s" s="543">
        <f>IF(LEFT(RIGHT($B$1,2),1)=" ",RIGHT($B$1,1),RIGHT($B$1,2))</f>
        <v>267</v>
      </c>
      <c r="D28" s="544">
        <f>IF(LEFT(F28,14)="Bonne pratique",D27+1,D27)</f>
        <v>2</v>
      </c>
      <c r="E28" t="s" s="545">
        <f>C28&amp;D28&amp;RIGHT(F28,1)</f>
        <v>2494</v>
      </c>
      <c r="F28" t="s" s="546">
        <v>1769</v>
      </c>
      <c r="G28" t="s" s="547">
        <f>_xlfn.IFERROR(IF(VLOOKUP($E28,'BDD'!$A$1:$S$567,MATCH(G$10,'BDD'!$A$1:$P$1,0),FALSE)=0,"",VLOOKUP($E28,'BDD'!$A$1:$S$567,MATCH(G$10,'BDD'!$A$1:$P$1,0),FALSE)),"")</f>
        <v>1577</v>
      </c>
      <c r="H28" t="s" s="548">
        <f>IF(VLOOKUP(E28,'BDD'!$A$1:$S$567,15,FALSE)=0,"Critère non évalué","")</f>
        <v>1770</v>
      </c>
      <c r="I28" t="s" s="546">
        <f>_xlfn.IFERROR(IF(VLOOKUP($E28,'BDD'!$A$1:$S$567,MATCH(I$10,'BDD'!$A$1:$P$1,0),FALSE)=0,"",VLOOKUP($E28,'BDD'!$A$1:$S$567,MATCH(I$10,'BDD'!$A$1:$P$1,0),FALSE)),"")</f>
        <v>283</v>
      </c>
      <c r="J28" s="549"/>
      <c r="K28" t="s" s="547">
        <f>_xlfn.IFERROR(IF(VLOOKUP($E28,'BDD'!$A$1:$S$567,MATCH(K$10,'BDD'!$A$1:$P$1,0),FALSE)=0,"",VLOOKUP($E28,'BDD'!$A$1:$S$567,MATCH(K$10,'BDD'!$A$1:$P$1,0),FALSE)),"")</f>
        <v>1578</v>
      </c>
      <c r="L28" s="550"/>
      <c r="M28" s="551"/>
      <c r="N28" s="551"/>
      <c r="O28" s="534"/>
      <c r="P28" s="1042"/>
    </row>
    <row r="29" ht="130.05" customHeight="1">
      <c r="A29" s="1039"/>
      <c r="B29" s="542"/>
      <c r="C29" t="s" s="543">
        <f>IF(LEFT(RIGHT($B$1,2),1)=" ",RIGHT($B$1,1),RIGHT($B$1,2))</f>
        <v>267</v>
      </c>
      <c r="D29" s="544">
        <f>IF(LEFT(F29,14)="Bonne pratique",D28+1,D28)</f>
        <v>2</v>
      </c>
      <c r="E29" t="s" s="545">
        <f>C29&amp;D29&amp;RIGHT(F29,1)</f>
        <v>2493</v>
      </c>
      <c r="F29" t="s" s="552">
        <v>1772</v>
      </c>
      <c r="G29" t="s" s="540">
        <f>_xlfn.IFERROR(IF(VLOOKUP($E29,'BDD'!$A$1:$S$567,MATCH(G$10,'BDD'!$A$1:$P$1,0),FALSE)=0,"",VLOOKUP($E29,'BDD'!$A$1:$S$567,MATCH(G$10,'BDD'!$A$1:$P$1,0),FALSE)),"")</f>
        <v>1580</v>
      </c>
      <c r="H29" t="s" s="553">
        <f>IF(VLOOKUP(E29,'BDD'!$A$1:$S$567,15,FALSE)=0,"Critère non évalué","")</f>
        <v>1770</v>
      </c>
      <c r="I29" t="s" s="552">
        <f>_xlfn.IFERROR(IF(VLOOKUP($E29,'BDD'!$A$1:$S$567,MATCH(I$10,'BDD'!$A$1:$P$1,0),FALSE)=0,"",VLOOKUP($E29,'BDD'!$A$1:$S$567,MATCH(I$10,'BDD'!$A$1:$P$1,0),FALSE)),"")</f>
        <v>263</v>
      </c>
      <c r="J29" s="554"/>
      <c r="K29" t="s" s="540">
        <f>_xlfn.IFERROR(IF(VLOOKUP($E29,'BDD'!$A$1:$S$567,MATCH(K$10,'BDD'!$A$1:$P$1,0),FALSE)=0,"",VLOOKUP($E29,'BDD'!$A$1:$S$567,MATCH(K$10,'BDD'!$A$1:$P$1,0),FALSE)),"")</f>
        <v>1581</v>
      </c>
      <c r="L29" s="550"/>
      <c r="M29" s="555"/>
      <c r="N29" s="555"/>
      <c r="O29" s="534"/>
      <c r="P29" s="1042"/>
    </row>
    <row r="30" ht="130.05" customHeight="1">
      <c r="A30" s="1039"/>
      <c r="B30" s="542"/>
      <c r="C30" t="s" s="543">
        <f>IF(LEFT(RIGHT($B$1,2),1)=" ",RIGHT($B$1,1),RIGHT($B$1,2))</f>
        <v>267</v>
      </c>
      <c r="D30" s="544">
        <f>IF(LEFT(F30,14)="Bonne pratique",D29+1,D29)</f>
        <v>2</v>
      </c>
      <c r="E30" t="s" s="545">
        <f>C30&amp;D30&amp;RIGHT(F30,1)</f>
        <v>2495</v>
      </c>
      <c r="F30" t="s" s="546">
        <v>1774</v>
      </c>
      <c r="G30" t="s" s="547">
        <f>_xlfn.IFERROR(IF(VLOOKUP($E30,'BDD'!$A$1:$S$567,MATCH(G$10,'BDD'!$A$1:$P$1,0),FALSE)=0,"",VLOOKUP($E30,'BDD'!$A$1:$S$567,MATCH(G$10,'BDD'!$A$1:$P$1,0),FALSE)),"")</f>
        <v>1583</v>
      </c>
      <c r="H30" t="s" s="548">
        <f>IF(VLOOKUP(E30,'BDD'!$A$1:$S$567,15,FALSE)=0,"Critère non évalué","")</f>
        <v>1770</v>
      </c>
      <c r="I30" t="s" s="546">
        <f>_xlfn.IFERROR(IF(VLOOKUP($E30,'BDD'!$A$1:$S$567,MATCH(I$10,'BDD'!$A$1:$P$1,0),FALSE)=0,"",VLOOKUP($E30,'BDD'!$A$1:$S$567,MATCH(I$10,'BDD'!$A$1:$P$1,0),FALSE)),"")</f>
        <v>263</v>
      </c>
      <c r="J30" s="549"/>
      <c r="K30" t="s" s="547">
        <f>_xlfn.IFERROR(IF(VLOOKUP($E30,'BDD'!$A$1:$S$567,MATCH(K$10,'BDD'!$A$1:$P$1,0),FALSE)=0,"",VLOOKUP($E30,'BDD'!$A$1:$S$567,MATCH(K$10,'BDD'!$A$1:$P$1,0),FALSE)),"")</f>
        <v>1584</v>
      </c>
      <c r="L30" s="550"/>
      <c r="M30" s="551"/>
      <c r="N30" s="551"/>
      <c r="O30" s="534"/>
      <c r="P30" s="1042"/>
    </row>
    <row r="31" ht="130.05" customHeight="1">
      <c r="A31" s="1039"/>
      <c r="B31" s="542"/>
      <c r="C31" t="s" s="543">
        <f>IF(LEFT(RIGHT($B$1,2),1)=" ",RIGHT($B$1,1),RIGHT($B$1,2))</f>
        <v>267</v>
      </c>
      <c r="D31" s="544">
        <f>IF(LEFT(F31,14)="Bonne pratique",D30+1,D30)</f>
        <v>2</v>
      </c>
      <c r="E31" t="s" s="545">
        <f>C31&amp;D31&amp;RIGHT(F31,1)</f>
        <v>2496</v>
      </c>
      <c r="F31" t="s" s="552">
        <v>1776</v>
      </c>
      <c r="G31" t="s" s="540">
        <f>_xlfn.IFERROR(IF(VLOOKUP($E31,'BDD'!$A$1:$S$567,MATCH(G$10,'BDD'!$A$1:$P$1,0),FALSE)=0,"",VLOOKUP($E31,'BDD'!$A$1:$S$567,MATCH(G$10,'BDD'!$A$1:$P$1,0),FALSE)),"")</f>
        <v>1586</v>
      </c>
      <c r="H31" t="s" s="553">
        <f>IF(VLOOKUP(E31,'BDD'!$A$1:$S$567,15,FALSE)=0,"Critère non évalué","")</f>
        <v>1770</v>
      </c>
      <c r="I31" t="s" s="552">
        <f>_xlfn.IFERROR(IF(VLOOKUP($E31,'BDD'!$A$1:$S$567,MATCH(I$10,'BDD'!$A$1:$P$1,0),FALSE)=0,"",VLOOKUP($E31,'BDD'!$A$1:$S$567,MATCH(I$10,'BDD'!$A$1:$P$1,0),FALSE)),"")</f>
        <v>291</v>
      </c>
      <c r="J31" s="556"/>
      <c r="K31" t="s" s="540">
        <f>_xlfn.IFERROR(IF(VLOOKUP($E31,'BDD'!$A$1:$S$567,MATCH(K$10,'BDD'!$A$1:$P$1,0),FALSE)=0,"",VLOOKUP($E31,'BDD'!$A$1:$S$567,MATCH(K$10,'BDD'!$A$1:$P$1,0),FALSE)),"")</f>
        <v>1587</v>
      </c>
      <c r="L31" s="550"/>
      <c r="M31" s="555"/>
      <c r="N31" s="555"/>
      <c r="O31" s="534"/>
      <c r="P31" s="1042"/>
    </row>
    <row r="32" ht="130.05" customHeight="1">
      <c r="A32" s="1039"/>
      <c r="B32" s="542"/>
      <c r="C32" t="s" s="543">
        <f>IF(LEFT(RIGHT($B$1,2),1)=" ",RIGHT($B$1,1),RIGHT($B$1,2))</f>
        <v>267</v>
      </c>
      <c r="D32" s="544">
        <f>IF(LEFT(F32,14)="Bonne pratique",D31+1,D31)</f>
        <v>2</v>
      </c>
      <c r="E32" t="s" s="545">
        <f>C32&amp;D32&amp;RIGHT(F32,1)</f>
        <v>2497</v>
      </c>
      <c r="F32" t="s" s="546">
        <v>1778</v>
      </c>
      <c r="G32" t="s" s="547">
        <f>_xlfn.IFERROR(IF(VLOOKUP($E32,'BDD'!$A$1:$S$567,MATCH(G$10,'BDD'!$A$1:$P$1,0),FALSE)=0,"",VLOOKUP($E32,'BDD'!$A$1:$S$567,MATCH(G$10,'BDD'!$A$1:$P$1,0),FALSE)),"")</f>
        <v>1589</v>
      </c>
      <c r="H32" t="s" s="548">
        <f>IF(VLOOKUP(E32,'BDD'!$A$1:$S$567,15,FALSE)=0,"Critère non évalué","")</f>
        <v>1770</v>
      </c>
      <c r="I32" t="s" s="546">
        <f>_xlfn.IFERROR(IF(VLOOKUP($E32,'BDD'!$A$1:$S$567,MATCH(I$10,'BDD'!$A$1:$P$1,0),FALSE)=0,"",VLOOKUP($E32,'BDD'!$A$1:$S$567,MATCH(I$10,'BDD'!$A$1:$P$1,0),FALSE)),"")</f>
        <v>256</v>
      </c>
      <c r="J32" s="549"/>
      <c r="K32" t="s" s="547">
        <f>_xlfn.IFERROR(IF(VLOOKUP($E32,'BDD'!$A$1:$S$567,MATCH(K$10,'BDD'!$A$1:$P$1,0),FALSE)=0,"",VLOOKUP($E32,'BDD'!$A$1:$S$567,MATCH(K$10,'BDD'!$A$1:$P$1,0),FALSE)),"")</f>
        <v>1590</v>
      </c>
      <c r="L32" s="550"/>
      <c r="M32" s="557"/>
      <c r="N32" s="557"/>
      <c r="O32" s="534"/>
      <c r="P32" s="1042"/>
    </row>
    <row r="33" ht="130.05" customHeight="1" hidden="1">
      <c r="A33" s="1039"/>
      <c r="B33" s="542"/>
      <c r="C33" t="s" s="543">
        <f>IF(LEFT(RIGHT($B$1,2),1)=" ",RIGHT($B$1,1),RIGHT($B$1,2))</f>
        <v>267</v>
      </c>
      <c r="D33" s="544">
        <f>IF(LEFT(F33,14)="Bonne pratique",D32+1,D32)</f>
        <v>2</v>
      </c>
      <c r="E33" t="s" s="545">
        <f>C33&amp;D33&amp;RIGHT(F33,1)</f>
        <v>2498</v>
      </c>
      <c r="F33" t="s" s="552">
        <v>1780</v>
      </c>
      <c r="G33" t="s" s="540">
        <f>_xlfn.IFERROR(IF(VLOOKUP($E33,'BDD'!$A$1:$S$567,MATCH(G$10,'BDD'!$A$1:$P$1,0),FALSE)=0,"",VLOOKUP($E33,'BDD'!$A$1:$S$567,MATCH(G$10,'BDD'!$A$1:$P$1,0),FALSE)),"")</f>
      </c>
      <c r="H33" t="s" s="553">
        <f>IF(VLOOKUP(E33,'BDD'!$A$1:$S$567,15,FALSE)=0,"Critère non évalué","")</f>
      </c>
      <c r="I33" t="s" s="552">
        <f>_xlfn.IFERROR(IF(VLOOKUP($E33,'BDD'!$A$1:$S$567,MATCH(I$10,'BDD'!$A$1:$P$1,0),FALSE)=0,"",VLOOKUP($E33,'BDD'!$A$1:$S$567,MATCH(I$10,'BDD'!$A$1:$P$1,0),FALSE)),"")</f>
      </c>
      <c r="J33" s="554"/>
      <c r="K33" t="s" s="540">
        <f>_xlfn.IFERROR(IF(VLOOKUP($E33,'BDD'!$A$1:$S$567,MATCH(K$10,'BDD'!$A$1:$P$1,0),FALSE)=0,"",VLOOKUP($E33,'BDD'!$A$1:$S$567,MATCH(K$10,'BDD'!$A$1:$P$1,0),FALSE)),"")</f>
      </c>
      <c r="L33" s="550"/>
      <c r="M33" s="555"/>
      <c r="N33" s="555"/>
      <c r="O33" s="534"/>
      <c r="P33" s="1042"/>
    </row>
    <row r="34" ht="130.05" customHeight="1" hidden="1">
      <c r="A34" s="1039"/>
      <c r="B34" s="542"/>
      <c r="C34" t="s" s="543">
        <f>IF(LEFT(RIGHT($B$1,2),1)=" ",RIGHT($B$1,1),RIGHT($B$1,2))</f>
        <v>267</v>
      </c>
      <c r="D34" s="544">
        <f>IF(LEFT(F34,14)="Bonne pratique",D33+1,D33)</f>
        <v>2</v>
      </c>
      <c r="E34" t="s" s="545">
        <f>C34&amp;D34&amp;RIGHT(F34,1)</f>
        <v>2499</v>
      </c>
      <c r="F34" t="s" s="546">
        <v>1782</v>
      </c>
      <c r="G34" t="s" s="547">
        <f>_xlfn.IFERROR(IF(VLOOKUP($E34,'BDD'!$A$1:$S$567,MATCH(G$10,'BDD'!$A$1:$P$1,0),FALSE)=0,"",VLOOKUP($E34,'BDD'!$A$1:$S$567,MATCH(G$10,'BDD'!$A$1:$P$1,0),FALSE)),"")</f>
      </c>
      <c r="H34" t="s" s="548">
        <f>IF(VLOOKUP(E34,'BDD'!$A$1:$S$567,15,FALSE)=0,"Critère non évalué","")</f>
      </c>
      <c r="I34" t="s" s="546">
        <f>_xlfn.IFERROR(IF(VLOOKUP($E34,'BDD'!$A$1:$S$567,MATCH(I$10,'BDD'!$A$1:$P$1,0),FALSE)=0,"",VLOOKUP($E34,'BDD'!$A$1:$S$567,MATCH(I$10,'BDD'!$A$1:$P$1,0),FALSE)),"")</f>
      </c>
      <c r="J34" s="549"/>
      <c r="K34" t="s" s="547">
        <f>_xlfn.IFERROR(IF(VLOOKUP($E34,'BDD'!$A$1:$S$567,MATCH(K$10,'BDD'!$A$1:$P$1,0),FALSE)=0,"",VLOOKUP($E34,'BDD'!$A$1:$S$567,MATCH(K$10,'BDD'!$A$1:$P$1,0),FALSE)),"")</f>
      </c>
      <c r="L34" s="550"/>
      <c r="M34" s="557"/>
      <c r="N34" s="557"/>
      <c r="O34" s="534"/>
      <c r="P34" s="1042"/>
    </row>
    <row r="35" ht="18" customHeight="1">
      <c r="A35" s="1039"/>
      <c r="B35" s="61"/>
      <c r="C35" t="s" s="513">
        <f>IF(LEFT(RIGHT($B$1,2),1)=" ",RIGHT($B$1,1),RIGHT($B$1,2))</f>
        <v>267</v>
      </c>
      <c r="D35" s="514">
        <f>IF(LEFT(F35,14)="Bonne pratique",D34+1,D34)</f>
        <v>2</v>
      </c>
      <c r="E35" t="s" s="558">
        <f>C35&amp;D35&amp;RIGHT(F35,1)</f>
        <v>1784</v>
      </c>
      <c r="F35" s="559"/>
      <c r="G35" t="s" s="560">
        <f>IF('Suppl'!B96=2,"Le vecteur n'est pas utilisé","")</f>
      </c>
      <c r="H35" s="561"/>
      <c r="I35" s="559"/>
      <c r="J35" s="561"/>
      <c r="K35" s="561"/>
      <c r="L35" s="510"/>
      <c r="M35" s="559"/>
      <c r="N35" s="559"/>
      <c r="O35" s="61"/>
      <c r="P35" s="1042"/>
    </row>
    <row r="36" ht="15" customHeight="1">
      <c r="A36" s="1039"/>
      <c r="B36" s="61"/>
      <c r="C36" t="s" s="513">
        <f>IF(LEFT(RIGHT($B$1,2),1)=" ",RIGHT($B$1,1),RIGHT($B$1,2))</f>
        <v>267</v>
      </c>
      <c r="D36" s="514">
        <f>IF(LEFT(F36,14)="Bonne pratique",D35+1,D35)</f>
        <v>2</v>
      </c>
      <c r="E36" t="s" s="558">
        <f>C36&amp;D36&amp;RIGHT(F36,1)</f>
        <v>1784</v>
      </c>
      <c r="F36" s="61"/>
      <c r="G36" s="61"/>
      <c r="H36" s="47"/>
      <c r="I36" s="61"/>
      <c r="J36" s="61"/>
      <c r="K36" s="61"/>
      <c r="L36" s="61"/>
      <c r="M36" s="61"/>
      <c r="N36" s="61"/>
      <c r="O36" s="61"/>
      <c r="P36" s="1042"/>
    </row>
    <row r="37" ht="30" customHeight="1">
      <c r="A37" s="1043"/>
      <c r="B37" s="512"/>
      <c r="C37" t="s" s="513">
        <f>IF(LEFT(RIGHT($B$1,2),1)=" ",RIGHT($B$1,1),RIGHT($B$1,2))</f>
        <v>267</v>
      </c>
      <c r="D37" s="514">
        <f>IF(LEFT(F37,14)="Bonne pratique",D36+1,D36)</f>
        <v>3</v>
      </c>
      <c r="E37" t="s" s="558">
        <f>C37&amp;D37&amp;RIGHT(F37,1)</f>
        <v>2500</v>
      </c>
      <c r="F37" t="s" s="516">
        <v>1797</v>
      </c>
      <c r="G37" s="517"/>
      <c r="H37" s="518"/>
      <c r="I37" s="519"/>
      <c r="J37" t="s" s="520">
        <f>VLOOKUP(E44,'BDD'!$A$2:$N$567,6,FALSE)</f>
        <v>1593</v>
      </c>
      <c r="K37" s="521"/>
      <c r="L37" s="517"/>
      <c r="M37" s="517"/>
      <c r="N37" s="517"/>
      <c r="O37" s="512"/>
      <c r="P37" s="1044"/>
    </row>
    <row r="38" ht="15" customHeight="1">
      <c r="A38" s="1039"/>
      <c r="B38" s="61"/>
      <c r="C38" t="s" s="513">
        <f>IF(LEFT(RIGHT($B$1,2),1)=" ",RIGHT($B$1,1),RIGHT($B$1,2))</f>
        <v>267</v>
      </c>
      <c r="D38" s="514">
        <f>IF(LEFT(F38,14)="Bonne pratique",D37+1,D37)</f>
        <v>3</v>
      </c>
      <c r="E38" t="s" s="558">
        <f>C38&amp;D38&amp;RIGHT(F38,1)</f>
        <v>1790</v>
      </c>
      <c r="F38" s="61"/>
      <c r="G38" s="61"/>
      <c r="H38" s="61"/>
      <c r="I38" s="61"/>
      <c r="J38" s="61"/>
      <c r="K38" s="61"/>
      <c r="L38" s="61"/>
      <c r="M38" s="61"/>
      <c r="N38" s="61"/>
      <c r="O38" s="61"/>
      <c r="P38" s="1042"/>
    </row>
    <row r="39" ht="18" customHeight="1">
      <c r="A39" s="1045"/>
      <c r="B39" s="524"/>
      <c r="C39" t="s" s="513">
        <f>IF(LEFT(RIGHT($B$1,2),1)=" ",RIGHT($B$1,1),RIGHT($B$1,2))</f>
        <v>267</v>
      </c>
      <c r="D39" s="514">
        <f>IF(LEFT(F39,14)="Bonne pratique",D38+1,D38)</f>
        <v>3</v>
      </c>
      <c r="E39" t="s" s="558">
        <f>C39&amp;D39&amp;RIGHT(F39,1)</f>
        <v>1790</v>
      </c>
      <c r="F39" s="524"/>
      <c r="G39" s="524"/>
      <c r="H39" s="524"/>
      <c r="I39" s="525"/>
      <c r="J39" t="s" s="526">
        <v>2501</v>
      </c>
      <c r="K39" s="525"/>
      <c r="L39" s="524"/>
      <c r="M39" s="524"/>
      <c r="N39" s="524"/>
      <c r="O39" s="524"/>
      <c r="P39" s="1046"/>
    </row>
    <row r="40" ht="18" customHeight="1">
      <c r="A40" s="1039"/>
      <c r="B40" s="61"/>
      <c r="C40" t="s" s="513">
        <f>IF(LEFT(RIGHT($B$1,2),1)=" ",RIGHT($B$1,1),RIGHT($B$1,2))</f>
        <v>267</v>
      </c>
      <c r="D40" s="514">
        <f>IF(LEFT(F40,14)="Bonne pratique",D39+1,D39)</f>
        <v>3</v>
      </c>
      <c r="E40" t="s" s="558">
        <f>C40&amp;D40&amp;RIGHT(F40,1)</f>
        <v>1790</v>
      </c>
      <c r="F40" s="61"/>
      <c r="G40" s="61"/>
      <c r="H40" s="61"/>
      <c r="I40" s="61"/>
      <c r="J40" t="s" s="526">
        <v>2502</v>
      </c>
      <c r="K40" s="61"/>
      <c r="L40" s="61"/>
      <c r="M40" s="529"/>
      <c r="N40" s="529"/>
      <c r="O40" s="61"/>
      <c r="P40" s="1042"/>
    </row>
    <row r="41" ht="15" customHeight="1">
      <c r="A41" s="1039"/>
      <c r="B41" s="61"/>
      <c r="C41" t="s" s="513">
        <f>IF(LEFT(RIGHT($B$1,2),1)=" ",RIGHT($B$1,1),RIGHT($B$1,2))</f>
        <v>267</v>
      </c>
      <c r="D41" s="514">
        <f>IF(LEFT(F41,14)="Bonne pratique",D40+1,D40)</f>
        <v>3</v>
      </c>
      <c r="E41" t="s" s="558">
        <f>C41&amp;D41&amp;RIGHT(F41,1)</f>
        <v>1790</v>
      </c>
      <c r="F41" s="61"/>
      <c r="G41" s="529"/>
      <c r="H41" s="529"/>
      <c r="I41" s="529"/>
      <c r="J41" s="530"/>
      <c r="K41" s="529"/>
      <c r="L41" s="542"/>
      <c r="M41" t="s" s="562">
        <v>1763</v>
      </c>
      <c r="N41" s="563"/>
      <c r="O41" s="534"/>
      <c r="P41" s="1042"/>
    </row>
    <row r="42" ht="33" customHeight="1">
      <c r="A42" s="1039"/>
      <c r="B42" s="61"/>
      <c r="C42" t="s" s="513">
        <f>IF(LEFT(RIGHT($B$1,2),1)=" ",RIGHT($B$1,1),RIGHT($B$1,2))</f>
        <v>267</v>
      </c>
      <c r="D42" s="514">
        <f>IF(LEFT(F42,14)="Bonne pratique",D41+1,D41)</f>
        <v>3</v>
      </c>
      <c r="E42" t="s" s="558">
        <f>C42&amp;D42&amp;RIGHT(F42,1)</f>
        <v>1790</v>
      </c>
      <c r="F42" s="535"/>
      <c r="G42" t="s" s="536">
        <v>244</v>
      </c>
      <c r="H42" t="s" s="536">
        <v>1764</v>
      </c>
      <c r="I42" t="s" s="536">
        <v>1787</v>
      </c>
      <c r="J42" t="s" s="536">
        <v>1765</v>
      </c>
      <c r="K42" t="s" s="536">
        <v>1788</v>
      </c>
      <c r="L42" s="538"/>
      <c r="M42" t="s" s="539">
        <v>1766</v>
      </c>
      <c r="N42" t="s" s="540">
        <v>1767</v>
      </c>
      <c r="O42" s="534"/>
      <c r="P42" s="1042"/>
    </row>
    <row r="43" ht="15" customHeight="1">
      <c r="A43" s="1039"/>
      <c r="B43" s="61"/>
      <c r="C43" t="s" s="513">
        <f>IF(LEFT(RIGHT($B$1,2),1)=" ",RIGHT($B$1,1),RIGHT($B$1,2))</f>
        <v>267</v>
      </c>
      <c r="D43" s="514">
        <f>IF(LEFT(F43,14)="Bonne pratique",D42+1,D42)</f>
        <v>3</v>
      </c>
      <c r="E43" t="s" s="558">
        <f>C43&amp;D43&amp;RIGHT(F43,1)</f>
        <v>1790</v>
      </c>
      <c r="F43" s="529"/>
      <c r="G43" s="541"/>
      <c r="H43" s="541"/>
      <c r="I43" s="541"/>
      <c r="J43" s="541"/>
      <c r="K43" s="541"/>
      <c r="L43" s="61"/>
      <c r="M43" s="541"/>
      <c r="N43" s="541"/>
      <c r="O43" s="61"/>
      <c r="P43" s="1042"/>
    </row>
    <row r="44" ht="130.05" customHeight="1">
      <c r="A44" s="1039"/>
      <c r="B44" s="542"/>
      <c r="C44" t="s" s="543">
        <f>IF(LEFT(RIGHT($B$1,2),1)=" ",RIGHT($B$1,1),RIGHT($B$1,2))</f>
        <v>267</v>
      </c>
      <c r="D44" s="544">
        <f>IF(LEFT(F44,14)="Bonne pratique",D43+1,D43)</f>
        <v>3</v>
      </c>
      <c r="E44" t="s" s="545">
        <f>C44&amp;D44&amp;RIGHT(F44,1)</f>
        <v>2503</v>
      </c>
      <c r="F44" t="s" s="546">
        <v>1769</v>
      </c>
      <c r="G44" t="s" s="547">
        <f>_xlfn.IFERROR(IF(VLOOKUP($E44,'BDD'!$A$1:$S$567,MATCH(G$10,'BDD'!$A$1:$P$1,0),FALSE)=0,"",VLOOKUP($E44,'BDD'!$A$1:$S$567,MATCH(G$10,'BDD'!$A$1:$P$1,0),FALSE)),"")</f>
        <v>1595</v>
      </c>
      <c r="H44" t="s" s="548">
        <f>IF(VLOOKUP(E44,'BDD'!$A$1:$S$567,15,FALSE)=0,"Critère non évalué","")</f>
        <v>1770</v>
      </c>
      <c r="I44" t="s" s="546">
        <f>_xlfn.IFERROR(IF(VLOOKUP($E44,'BDD'!$A$1:$S$567,MATCH(I$10,'BDD'!$A$1:$P$1,0),FALSE)=0,"",VLOOKUP($E44,'BDD'!$A$1:$S$567,MATCH(I$10,'BDD'!$A$1:$P$1,0),FALSE)),"")</f>
        <v>283</v>
      </c>
      <c r="J44" s="549"/>
      <c r="K44" t="s" s="547">
        <f>_xlfn.IFERROR(IF(VLOOKUP($E44,'BDD'!$A$1:$S$567,MATCH(K$10,'BDD'!$A$1:$P$1,0),FALSE)=0,"",VLOOKUP($E44,'BDD'!$A$1:$S$567,MATCH(K$10,'BDD'!$A$1:$P$1,0),FALSE)),"")</f>
      </c>
      <c r="L44" s="550"/>
      <c r="M44" s="551"/>
      <c r="N44" s="551"/>
      <c r="O44" s="534"/>
      <c r="P44" s="1042"/>
    </row>
    <row r="45" ht="150" customHeight="1">
      <c r="A45" s="1039"/>
      <c r="B45" s="542"/>
      <c r="C45" t="s" s="543">
        <f>IF(LEFT(RIGHT($B$1,2),1)=" ",RIGHT($B$1,1),RIGHT($B$1,2))</f>
        <v>267</v>
      </c>
      <c r="D45" s="544">
        <f>IF(LEFT(F45,14)="Bonne pratique",D44+1,D44)</f>
        <v>3</v>
      </c>
      <c r="E45" t="s" s="545">
        <f>C45&amp;D45&amp;RIGHT(F45,1)</f>
        <v>2504</v>
      </c>
      <c r="F45" t="s" s="552">
        <v>1772</v>
      </c>
      <c r="G45" t="s" s="540">
        <f>_xlfn.IFERROR(IF(VLOOKUP($E45,'BDD'!$A$1:$S$567,MATCH(G$10,'BDD'!$A$1:$P$1,0),FALSE)=0,"",VLOOKUP($E45,'BDD'!$A$1:$S$567,MATCH(G$10,'BDD'!$A$1:$P$1,0),FALSE)),"")</f>
        <v>1597</v>
      </c>
      <c r="H45" t="s" s="553">
        <f>IF(VLOOKUP(E45,'BDD'!$A$1:$S$567,15,FALSE)=0,"Critère non évalué","")</f>
        <v>1770</v>
      </c>
      <c r="I45" t="s" s="552">
        <f>_xlfn.IFERROR(IF(VLOOKUP($E45,'BDD'!$A$1:$S$567,MATCH(I$10,'BDD'!$A$1:$P$1,0),FALSE)=0,"",VLOOKUP($E45,'BDD'!$A$1:$S$567,MATCH(I$10,'BDD'!$A$1:$P$1,0),FALSE)),"")</f>
        <v>283</v>
      </c>
      <c r="J45" s="554"/>
      <c r="K45" t="s" s="540">
        <f>_xlfn.IFERROR(IF(VLOOKUP($E45,'BDD'!$A$1:$S$567,MATCH(K$10,'BDD'!$A$1:$P$1,0),FALSE)=0,"",VLOOKUP($E45,'BDD'!$A$1:$S$567,MATCH(K$10,'BDD'!$A$1:$P$1,0),FALSE)),"")</f>
      </c>
      <c r="L45" s="550"/>
      <c r="M45" s="555"/>
      <c r="N45" s="555"/>
      <c r="O45" s="534"/>
      <c r="P45" s="1042"/>
    </row>
    <row r="46" ht="130.05" customHeight="1">
      <c r="A46" s="1039"/>
      <c r="B46" s="542"/>
      <c r="C46" t="s" s="543">
        <f>IF(LEFT(RIGHT($B$1,2),1)=" ",RIGHT($B$1,1),RIGHT($B$1,2))</f>
        <v>267</v>
      </c>
      <c r="D46" s="544">
        <f>IF(LEFT(F46,14)="Bonne pratique",D45+1,D45)</f>
        <v>3</v>
      </c>
      <c r="E46" t="s" s="545">
        <f>C46&amp;D46&amp;RIGHT(F46,1)</f>
        <v>2500</v>
      </c>
      <c r="F46" t="s" s="546">
        <v>1774</v>
      </c>
      <c r="G46" t="s" s="547">
        <f>_xlfn.IFERROR(IF(VLOOKUP($E46,'BDD'!$A$1:$S$567,MATCH(G$10,'BDD'!$A$1:$P$1,0),FALSE)=0,"",VLOOKUP($E46,'BDD'!$A$1:$S$567,MATCH(G$10,'BDD'!$A$1:$P$1,0),FALSE)),"")</f>
        <v>1599</v>
      </c>
      <c r="H46" t="s" s="548">
        <f>IF(VLOOKUP(E46,'BDD'!$A$1:$S$567,15,FALSE)=0,"Critère non évalué","")</f>
        <v>1770</v>
      </c>
      <c r="I46" t="s" s="546">
        <f>_xlfn.IFERROR(IF(VLOOKUP($E46,'BDD'!$A$1:$S$567,MATCH(I$10,'BDD'!$A$1:$P$1,0),FALSE)=0,"",VLOOKUP($E46,'BDD'!$A$1:$S$567,MATCH(I$10,'BDD'!$A$1:$P$1,0),FALSE)),"")</f>
        <v>291</v>
      </c>
      <c r="J46" s="549"/>
      <c r="K46" t="s" s="547">
        <f>_xlfn.IFERROR(IF(VLOOKUP($E46,'BDD'!$A$1:$S$567,MATCH(K$10,'BDD'!$A$1:$P$1,0),FALSE)=0,"",VLOOKUP($E46,'BDD'!$A$1:$S$567,MATCH(K$10,'BDD'!$A$1:$P$1,0),FALSE)),"")</f>
        <v>1600</v>
      </c>
      <c r="L46" s="550"/>
      <c r="M46" s="551"/>
      <c r="N46" s="551"/>
      <c r="O46" s="534"/>
      <c r="P46" s="1042"/>
    </row>
    <row r="47" ht="120" customHeight="1">
      <c r="A47" s="1039"/>
      <c r="B47" s="542"/>
      <c r="C47" t="s" s="543">
        <f>IF(LEFT(RIGHT($B$1,2),1)=" ",RIGHT($B$1,1),RIGHT($B$1,2))</f>
        <v>267</v>
      </c>
      <c r="D47" s="544">
        <f>IF(LEFT(F47,14)="Bonne pratique",D46+1,D46)</f>
        <v>3</v>
      </c>
      <c r="E47" t="s" s="545">
        <f>C47&amp;D47&amp;RIGHT(F47,1)</f>
        <v>2505</v>
      </c>
      <c r="F47" t="s" s="552">
        <v>1776</v>
      </c>
      <c r="G47" t="s" s="540">
        <f>_xlfn.IFERROR(IF(VLOOKUP($E47,'BDD'!$A$1:$S$567,MATCH(G$10,'BDD'!$A$1:$P$1,0),FALSE)=0,"",VLOOKUP($E47,'BDD'!$A$1:$S$567,MATCH(G$10,'BDD'!$A$1:$P$1,0),FALSE)),"")</f>
        <v>1602</v>
      </c>
      <c r="H47" t="s" s="553">
        <f>IF(VLOOKUP(E47,'BDD'!$A$1:$S$567,15,FALSE)=0,"Critère non évalué","")</f>
        <v>1770</v>
      </c>
      <c r="I47" t="s" s="552">
        <f>_xlfn.IFERROR(IF(VLOOKUP($E47,'BDD'!$A$1:$S$567,MATCH(I$10,'BDD'!$A$1:$P$1,0),FALSE)=0,"",VLOOKUP($E47,'BDD'!$A$1:$S$567,MATCH(I$10,'BDD'!$A$1:$P$1,0),FALSE)),"")</f>
        <v>283</v>
      </c>
      <c r="J47" s="556"/>
      <c r="K47" t="s" s="540">
        <f>_xlfn.IFERROR(IF(VLOOKUP($E47,'BDD'!$A$1:$S$567,MATCH(K$10,'BDD'!$A$1:$P$1,0),FALSE)=0,"",VLOOKUP($E47,'BDD'!$A$1:$S$567,MATCH(K$10,'BDD'!$A$1:$P$1,0),FALSE)),"")</f>
      </c>
      <c r="L47" s="550"/>
      <c r="M47" s="555"/>
      <c r="N47" s="555"/>
      <c r="O47" s="534"/>
      <c r="P47" s="1042"/>
    </row>
    <row r="48" ht="178.2" customHeight="1">
      <c r="A48" s="1039"/>
      <c r="B48" s="542"/>
      <c r="C48" t="s" s="543">
        <f>IF(LEFT(RIGHT($B$1,2),1)=" ",RIGHT($B$1,1),RIGHT($B$1,2))</f>
        <v>267</v>
      </c>
      <c r="D48" s="544">
        <f>IF(LEFT(F48,14)="Bonne pratique",D47+1,D47)</f>
        <v>3</v>
      </c>
      <c r="E48" t="s" s="545">
        <f>C48&amp;D48&amp;RIGHT(F48,1)</f>
        <v>2506</v>
      </c>
      <c r="F48" t="s" s="546">
        <v>1778</v>
      </c>
      <c r="G48" t="s" s="547">
        <f>_xlfn.IFERROR(IF(VLOOKUP($E48,'BDD'!$A$1:$S$567,MATCH(G$10,'BDD'!$A$1:$P$1,0),FALSE)=0,"",VLOOKUP($E48,'BDD'!$A$1:$S$567,MATCH(G$10,'BDD'!$A$1:$P$1,0),FALSE)),"")</f>
        <v>1604</v>
      </c>
      <c r="H48" t="s" s="548">
        <f>IF(VLOOKUP(E48,'BDD'!$A$1:$S$567,15,FALSE)=0,"Critère non évalué","")</f>
        <v>1770</v>
      </c>
      <c r="I48" t="s" s="546">
        <f>_xlfn.IFERROR(IF(VLOOKUP($E48,'BDD'!$A$1:$S$567,MATCH(I$10,'BDD'!$A$1:$P$1,0),FALSE)=0,"",VLOOKUP($E48,'BDD'!$A$1:$S$567,MATCH(I$10,'BDD'!$A$1:$P$1,0),FALSE)),"")</f>
        <v>263</v>
      </c>
      <c r="J48" s="549"/>
      <c r="K48" t="s" s="547">
        <f>_xlfn.IFERROR(IF(VLOOKUP($E48,'BDD'!$A$1:$S$567,MATCH(K$10,'BDD'!$A$1:$P$1,0),FALSE)=0,"",VLOOKUP($E48,'BDD'!$A$1:$S$567,MATCH(K$10,'BDD'!$A$1:$P$1,0),FALSE)),"")</f>
        <v>1605</v>
      </c>
      <c r="L48" s="550"/>
      <c r="M48" s="551"/>
      <c r="N48" s="551"/>
      <c r="O48" s="534"/>
      <c r="P48" s="1042"/>
    </row>
    <row r="49" ht="120" customHeight="1">
      <c r="A49" s="1039"/>
      <c r="B49" s="542"/>
      <c r="C49" t="s" s="543">
        <f>IF(LEFT(RIGHT($B$1,2),1)=" ",RIGHT($B$1,1),RIGHT($B$1,2))</f>
        <v>267</v>
      </c>
      <c r="D49" s="544">
        <f>IF(LEFT(F49,14)="Bonne pratique",D48+1,D48)</f>
        <v>3</v>
      </c>
      <c r="E49" t="s" s="545">
        <f>C49&amp;D49&amp;RIGHT(F49,1)</f>
        <v>2507</v>
      </c>
      <c r="F49" t="s" s="552">
        <v>1780</v>
      </c>
      <c r="G49" t="s" s="540">
        <f>_xlfn.IFERROR(IF(VLOOKUP($E49,'BDD'!$A$1:$S$567,MATCH(G$10,'BDD'!$A$1:$P$1,0),FALSE)=0,"",VLOOKUP($E49,'BDD'!$A$1:$S$567,MATCH(G$10,'BDD'!$A$1:$P$1,0),FALSE)),"")</f>
        <v>1607</v>
      </c>
      <c r="H49" t="s" s="553">
        <f>IF(VLOOKUP(E49,'BDD'!$A$1:$S$567,15,FALSE)=0,"Critère non évalué","")</f>
        <v>1770</v>
      </c>
      <c r="I49" t="s" s="552">
        <f>_xlfn.IFERROR(IF(VLOOKUP($E49,'BDD'!$A$1:$S$567,MATCH(I$10,'BDD'!$A$1:$P$1,0),FALSE)=0,"",VLOOKUP($E49,'BDD'!$A$1:$S$567,MATCH(I$10,'BDD'!$A$1:$P$1,0),FALSE)),"")</f>
        <v>283</v>
      </c>
      <c r="J49" s="556"/>
      <c r="K49" t="s" s="540">
        <f>_xlfn.IFERROR(IF(VLOOKUP($E49,'BDD'!$A$1:$S$567,MATCH(K$10,'BDD'!$A$1:$P$1,0),FALSE)=0,"",VLOOKUP($E49,'BDD'!$A$1:$S$567,MATCH(K$10,'BDD'!$A$1:$P$1,0),FALSE)),"")</f>
      </c>
      <c r="L49" s="550"/>
      <c r="M49" s="555"/>
      <c r="N49" s="555"/>
      <c r="O49" s="534"/>
      <c r="P49" s="1042"/>
    </row>
    <row r="50" ht="167.4" customHeight="1">
      <c r="A50" s="1039"/>
      <c r="B50" s="542"/>
      <c r="C50" t="s" s="543">
        <f>IF(LEFT(RIGHT($B$1,2),1)=" ",RIGHT($B$1,1),RIGHT($B$1,2))</f>
        <v>267</v>
      </c>
      <c r="D50" s="544">
        <f>IF(LEFT(F50,14)="Bonne pratique",D49+1,D49)</f>
        <v>3</v>
      </c>
      <c r="E50" t="s" s="545">
        <f>C50&amp;D50&amp;RIGHT(F50,1)</f>
        <v>2508</v>
      </c>
      <c r="F50" t="s" s="546">
        <v>1782</v>
      </c>
      <c r="G50" t="s" s="547">
        <f>_xlfn.IFERROR(IF(VLOOKUP($E50,'BDD'!$A$1:$S$567,MATCH(G$10,'BDD'!$A$1:$P$1,0),FALSE)=0,"",VLOOKUP($E50,'BDD'!$A$1:$S$567,MATCH(G$10,'BDD'!$A$1:$P$1,0),FALSE)),"")</f>
        <v>1609</v>
      </c>
      <c r="H50" t="s" s="548">
        <f>IF(VLOOKUP(E50,'BDD'!$A$1:$S$567,15,FALSE)=0,"Critère non évalué","")</f>
        <v>1770</v>
      </c>
      <c r="I50" t="s" s="546">
        <f>_xlfn.IFERROR(IF(VLOOKUP($E50,'BDD'!$A$1:$S$567,MATCH(I$10,'BDD'!$A$1:$P$1,0),FALSE)=0,"",VLOOKUP($E50,'BDD'!$A$1:$S$567,MATCH(I$10,'BDD'!$A$1:$P$1,0),FALSE)),"")</f>
        <v>263</v>
      </c>
      <c r="J50" s="549"/>
      <c r="K50" t="s" s="547">
        <f>_xlfn.IFERROR(IF(VLOOKUP($E50,'BDD'!$A$1:$S$567,MATCH(K$10,'BDD'!$A$1:$P$1,0),FALSE)=0,"",VLOOKUP($E50,'BDD'!$A$1:$S$567,MATCH(K$10,'BDD'!$A$1:$P$1,0),FALSE)),"")</f>
        <v>1610</v>
      </c>
      <c r="L50" s="550"/>
      <c r="M50" s="551"/>
      <c r="N50" s="551"/>
      <c r="O50" s="534"/>
      <c r="P50" s="1042"/>
    </row>
    <row r="51" ht="18" customHeight="1">
      <c r="A51" s="1039"/>
      <c r="B51" s="61"/>
      <c r="C51" t="s" s="513">
        <f>IF(LEFT(RIGHT($B$1,2),1)=" ",RIGHT($B$1,1),RIGHT($B$1,2))</f>
        <v>267</v>
      </c>
      <c r="D51" s="61"/>
      <c r="E51" s="565"/>
      <c r="F51" s="559"/>
      <c r="G51" s="561"/>
      <c r="H51" s="561"/>
      <c r="I51" s="561"/>
      <c r="J51" s="561"/>
      <c r="K51" s="561"/>
      <c r="L51" s="510"/>
      <c r="M51" s="559"/>
      <c r="N51" s="559"/>
      <c r="O51" s="61"/>
      <c r="P51" s="1042"/>
    </row>
    <row r="52" ht="15" customHeight="1">
      <c r="A52" s="1039"/>
      <c r="B52" s="61"/>
      <c r="C52" t="s" s="513">
        <f>IF(LEFT(RIGHT($B$1,2),1)=" ",RIGHT($B$1,1),RIGHT($B$1,2))</f>
        <v>267</v>
      </c>
      <c r="D52" s="514">
        <f>IF(LEFT(F52,14)="Bonne pratique",D48+1,D48)</f>
        <v>3</v>
      </c>
      <c r="E52" t="s" s="558">
        <f>C52&amp;D52&amp;RIGHT(F52,1)</f>
        <v>1790</v>
      </c>
      <c r="F52" s="61"/>
      <c r="G52" s="61"/>
      <c r="H52" s="61"/>
      <c r="I52" s="61"/>
      <c r="J52" s="61"/>
      <c r="K52" s="61"/>
      <c r="L52" s="61"/>
      <c r="M52" s="61"/>
      <c r="N52" s="61"/>
      <c r="O52" s="61"/>
      <c r="P52" s="1042"/>
    </row>
    <row r="53" ht="30" customHeight="1">
      <c r="A53" s="1043"/>
      <c r="B53" s="512"/>
      <c r="C53" t="s" s="513">
        <f>IF(LEFT(RIGHT($B$1,2),1)=" ",RIGHT($B$1,1),RIGHT($B$1,2))</f>
        <v>267</v>
      </c>
      <c r="D53" s="514">
        <f>IF(LEFT(F53,14)="Bonne pratique",D52+1,D52)</f>
        <v>4</v>
      </c>
      <c r="E53" t="s" s="558">
        <f>C53&amp;D53&amp;RIGHT(F53,1)</f>
        <v>2509</v>
      </c>
      <c r="F53" t="s" s="516">
        <v>1806</v>
      </c>
      <c r="G53" s="517"/>
      <c r="H53" s="518"/>
      <c r="I53" s="519"/>
      <c r="J53" t="s" s="520">
        <f>VLOOKUP(E60,'BDD'!$A$2:$N$567,6,FALSE)</f>
        <v>1611</v>
      </c>
      <c r="K53" s="521"/>
      <c r="L53" s="517"/>
      <c r="M53" s="517"/>
      <c r="N53" s="517"/>
      <c r="O53" s="512"/>
      <c r="P53" s="1044"/>
    </row>
    <row r="54" ht="15" customHeight="1">
      <c r="A54" s="1039"/>
      <c r="B54" s="61"/>
      <c r="C54" t="s" s="513">
        <f>IF(LEFT(RIGHT($B$1,2),1)=" ",RIGHT($B$1,1),RIGHT($B$1,2))</f>
        <v>267</v>
      </c>
      <c r="D54" s="514">
        <f>IF(LEFT(F54,14)="Bonne pratique",D53+1,D53)</f>
        <v>4</v>
      </c>
      <c r="E54" t="s" s="558">
        <f>C54&amp;D54&amp;RIGHT(F54,1)</f>
        <v>1791</v>
      </c>
      <c r="F54" s="61"/>
      <c r="G54" s="61"/>
      <c r="H54" s="61"/>
      <c r="I54" s="61"/>
      <c r="J54" s="61"/>
      <c r="K54" s="61"/>
      <c r="L54" s="61"/>
      <c r="M54" s="61"/>
      <c r="N54" s="61"/>
      <c r="O54" s="61"/>
      <c r="P54" s="1042"/>
    </row>
    <row r="55" ht="18" customHeight="1">
      <c r="A55" s="1045"/>
      <c r="B55" s="524"/>
      <c r="C55" t="s" s="513">
        <f>IF(LEFT(RIGHT($B$1,2),1)=" ",RIGHT($B$1,1),RIGHT($B$1,2))</f>
        <v>267</v>
      </c>
      <c r="D55" s="514">
        <f>IF(LEFT(F55,14)="Bonne pratique",D54+1,D54)</f>
        <v>4</v>
      </c>
      <c r="E55" t="s" s="558">
        <f>C55&amp;D55&amp;RIGHT(F55,1)</f>
        <v>1791</v>
      </c>
      <c r="F55" s="524"/>
      <c r="G55" s="524"/>
      <c r="H55" s="524"/>
      <c r="I55" s="525"/>
      <c r="J55" t="s" s="526">
        <v>2510</v>
      </c>
      <c r="K55" s="525"/>
      <c r="L55" s="524"/>
      <c r="M55" s="524"/>
      <c r="N55" s="524"/>
      <c r="O55" s="524"/>
      <c r="P55" s="1046"/>
    </row>
    <row r="56" ht="18" customHeight="1">
      <c r="A56" s="1039"/>
      <c r="B56" s="61"/>
      <c r="C56" t="s" s="513">
        <f>IF(LEFT(RIGHT($B$1,2),1)=" ",RIGHT($B$1,1),RIGHT($B$1,2))</f>
        <v>267</v>
      </c>
      <c r="D56" s="514">
        <f>IF(LEFT(F56,14)="Bonne pratique",D55+1,D55)</f>
        <v>4</v>
      </c>
      <c r="E56" t="s" s="558">
        <f>C56&amp;D56&amp;RIGHT(F56,1)</f>
        <v>1791</v>
      </c>
      <c r="F56" s="61"/>
      <c r="G56" s="61"/>
      <c r="H56" s="61"/>
      <c r="I56" s="61"/>
      <c r="J56" t="s" s="526">
        <v>2511</v>
      </c>
      <c r="K56" s="61"/>
      <c r="L56" s="61"/>
      <c r="M56" s="529"/>
      <c r="N56" s="529"/>
      <c r="O56" s="61"/>
      <c r="P56" s="1042"/>
    </row>
    <row r="57" ht="15" customHeight="1">
      <c r="A57" s="1039"/>
      <c r="B57" s="61"/>
      <c r="C57" t="s" s="513">
        <f>IF(LEFT(RIGHT($B$1,2),1)=" ",RIGHT($B$1,1),RIGHT($B$1,2))</f>
        <v>267</v>
      </c>
      <c r="D57" s="514">
        <f>IF(LEFT(F57,14)="Bonne pratique",D56+1,D56)</f>
        <v>4</v>
      </c>
      <c r="E57" t="s" s="558">
        <f>C57&amp;D57&amp;RIGHT(F57,1)</f>
        <v>1791</v>
      </c>
      <c r="F57" s="61"/>
      <c r="G57" s="529"/>
      <c r="H57" s="529"/>
      <c r="I57" s="529"/>
      <c r="J57" s="530"/>
      <c r="K57" s="529"/>
      <c r="L57" s="542"/>
      <c r="M57" t="s" s="562">
        <v>1763</v>
      </c>
      <c r="N57" s="563"/>
      <c r="O57" s="534"/>
      <c r="P57" s="1042"/>
    </row>
    <row r="58" ht="33" customHeight="1">
      <c r="A58" s="1039"/>
      <c r="B58" s="61"/>
      <c r="C58" t="s" s="513">
        <f>IF(LEFT(RIGHT($B$1,2),1)=" ",RIGHT($B$1,1),RIGHT($B$1,2))</f>
        <v>267</v>
      </c>
      <c r="D58" s="514">
        <f>IF(LEFT(F58,14)="Bonne pratique",D57+1,D57)</f>
        <v>4</v>
      </c>
      <c r="E58" t="s" s="558">
        <f>C58&amp;D58&amp;RIGHT(F58,1)</f>
        <v>1791</v>
      </c>
      <c r="F58" s="535"/>
      <c r="G58" t="s" s="536">
        <v>244</v>
      </c>
      <c r="H58" t="s" s="536">
        <v>1764</v>
      </c>
      <c r="I58" t="s" s="536">
        <v>1787</v>
      </c>
      <c r="J58" t="s" s="536">
        <v>1765</v>
      </c>
      <c r="K58" t="s" s="536">
        <v>1788</v>
      </c>
      <c r="L58" s="538"/>
      <c r="M58" t="s" s="539">
        <v>1766</v>
      </c>
      <c r="N58" t="s" s="540">
        <v>1767</v>
      </c>
      <c r="O58" s="534"/>
      <c r="P58" s="1042"/>
    </row>
    <row r="59" ht="15" customHeight="1">
      <c r="A59" s="1039"/>
      <c r="B59" s="61"/>
      <c r="C59" t="s" s="513">
        <f>IF(LEFT(RIGHT($B$1,2),1)=" ",RIGHT($B$1,1),RIGHT($B$1,2))</f>
        <v>267</v>
      </c>
      <c r="D59" s="514">
        <f>IF(LEFT(F59,14)="Bonne pratique",D58+1,D58)</f>
        <v>4</v>
      </c>
      <c r="E59" t="s" s="558">
        <f>C59&amp;D59&amp;RIGHT(F59,1)</f>
        <v>1791</v>
      </c>
      <c r="F59" s="529"/>
      <c r="G59" s="541"/>
      <c r="H59" s="541"/>
      <c r="I59" s="541"/>
      <c r="J59" s="541"/>
      <c r="K59" s="541"/>
      <c r="L59" s="61"/>
      <c r="M59" s="541"/>
      <c r="N59" s="541"/>
      <c r="O59" s="61"/>
      <c r="P59" s="1042"/>
    </row>
    <row r="60" ht="130.05" customHeight="1">
      <c r="A60" s="1039"/>
      <c r="B60" s="542"/>
      <c r="C60" t="s" s="543">
        <f>IF(LEFT(RIGHT($B$1,2),1)=" ",RIGHT($B$1,1),RIGHT($B$1,2))</f>
        <v>267</v>
      </c>
      <c r="D60" s="544">
        <f>IF(LEFT(F60,14)="Bonne pratique",D59+1,D59)</f>
        <v>4</v>
      </c>
      <c r="E60" t="s" s="545">
        <f>C60&amp;D60&amp;RIGHT(F60,1)</f>
        <v>2512</v>
      </c>
      <c r="F60" t="s" s="546">
        <v>1769</v>
      </c>
      <c r="G60" t="s" s="547">
        <f>_xlfn.IFERROR(IF(VLOOKUP($E60,'BDD'!$A$1:$S$567,MATCH(G$10,'BDD'!$A$1:$P$1,0),FALSE)=0,"",VLOOKUP($E60,'BDD'!$A$1:$S$567,MATCH(G$10,'BDD'!$A$1:$P$1,0),FALSE)),"")</f>
        <v>1613</v>
      </c>
      <c r="H60" t="s" s="548">
        <f>IF(VLOOKUP(E60,'BDD'!$A$1:$S$567,15,FALSE)=0,"Critère non évalué","")</f>
        <v>1770</v>
      </c>
      <c r="I60" t="s" s="546">
        <f>_xlfn.IFERROR(IF(VLOOKUP($E60,'BDD'!$A$1:$S$567,MATCH(I$10,'BDD'!$A$1:$P$1,0),FALSE)=0,"",VLOOKUP($E60,'BDD'!$A$1:$S$567,MATCH(I$10,'BDD'!$A$1:$P$1,0),FALSE)),"")</f>
        <v>263</v>
      </c>
      <c r="J60" s="549"/>
      <c r="K60" t="s" s="547">
        <f>_xlfn.IFERROR(IF(VLOOKUP($E60,'BDD'!$A$1:$S$567,MATCH(K$10,'BDD'!$A$1:$P$1,0),FALSE)=0,"",VLOOKUP($E60,'BDD'!$A$1:$S$567,MATCH(K$10,'BDD'!$A$1:$P$1,0),FALSE)),"")</f>
        <v>1614</v>
      </c>
      <c r="L60" s="550"/>
      <c r="M60" s="551"/>
      <c r="N60" s="551"/>
      <c r="O60" s="534"/>
      <c r="P60" s="1042"/>
    </row>
    <row r="61" ht="130.05" customHeight="1">
      <c r="A61" s="1039"/>
      <c r="B61" s="542"/>
      <c r="C61" t="s" s="543">
        <f>IF(LEFT(RIGHT($B$1,2),1)=" ",RIGHT($B$1,1),RIGHT($B$1,2))</f>
        <v>267</v>
      </c>
      <c r="D61" s="544">
        <f>IF(LEFT(F61,14)="Bonne pratique",D60+1,D60)</f>
        <v>4</v>
      </c>
      <c r="E61" t="s" s="545">
        <f>C61&amp;D61&amp;RIGHT(F61,1)</f>
        <v>2513</v>
      </c>
      <c r="F61" t="s" s="552">
        <v>1772</v>
      </c>
      <c r="G61" t="s" s="540">
        <f>_xlfn.IFERROR(IF(VLOOKUP($E61,'BDD'!$A$1:$S$567,MATCH(G$10,'BDD'!$A$1:$P$1,0),FALSE)=0,"",VLOOKUP($E61,'BDD'!$A$1:$S$567,MATCH(G$10,'BDD'!$A$1:$P$1,0),FALSE)),"")</f>
        <v>1616</v>
      </c>
      <c r="H61" t="s" s="553">
        <f>IF(VLOOKUP(E61,'BDD'!$A$1:$S$567,15,FALSE)=0,"Critère non évalué","")</f>
        <v>1770</v>
      </c>
      <c r="I61" t="s" s="552">
        <f>_xlfn.IFERROR(IF(VLOOKUP($E61,'BDD'!$A$1:$S$567,MATCH(I$10,'BDD'!$A$1:$P$1,0),FALSE)=0,"",VLOOKUP($E61,'BDD'!$A$1:$S$567,MATCH(I$10,'BDD'!$A$1:$P$1,0),FALSE)),"")</f>
        <v>271</v>
      </c>
      <c r="J61" s="554"/>
      <c r="K61" t="s" s="540">
        <f>_xlfn.IFERROR(IF(VLOOKUP($E61,'BDD'!$A$1:$S$567,MATCH(K$10,'BDD'!$A$1:$P$1,0),FALSE)=0,"",VLOOKUP($E61,'BDD'!$A$1:$S$567,MATCH(K$10,'BDD'!$A$1:$P$1,0),FALSE)),"")</f>
        <v>1617</v>
      </c>
      <c r="L61" s="550"/>
      <c r="M61" s="555"/>
      <c r="N61" s="555"/>
      <c r="O61" s="534"/>
      <c r="P61" s="1042"/>
    </row>
    <row r="62" ht="192.6" customHeight="1">
      <c r="A62" s="1039"/>
      <c r="B62" s="542"/>
      <c r="C62" t="s" s="543">
        <f>IF(LEFT(RIGHT($B$1,2),1)=" ",RIGHT($B$1,1),RIGHT($B$1,2))</f>
        <v>267</v>
      </c>
      <c r="D62" s="544">
        <f>IF(LEFT(F62,14)="Bonne pratique",D61+1,D61)</f>
        <v>4</v>
      </c>
      <c r="E62" t="s" s="545">
        <f>C62&amp;D62&amp;RIGHT(F62,1)</f>
        <v>2514</v>
      </c>
      <c r="F62" t="s" s="546">
        <v>1774</v>
      </c>
      <c r="G62" t="s" s="547">
        <f>_xlfn.IFERROR(IF(VLOOKUP($E62,'BDD'!$A$1:$S$567,MATCH(G$10,'BDD'!$A$1:$P$1,0),FALSE)=0,"",VLOOKUP($E62,'BDD'!$A$1:$S$567,MATCH(G$10,'BDD'!$A$1:$P$1,0),FALSE)),"")</f>
        <v>1619</v>
      </c>
      <c r="H62" t="s" s="548">
        <f>IF(VLOOKUP(E62,'BDD'!$A$1:$S$567,15,FALSE)=0,"Critère non évalué","")</f>
        <v>1770</v>
      </c>
      <c r="I62" t="s" s="546">
        <f>_xlfn.IFERROR(IF(VLOOKUP($E62,'BDD'!$A$1:$S$567,MATCH(I$10,'BDD'!$A$1:$P$1,0),FALSE)=0,"",VLOOKUP($E62,'BDD'!$A$1:$S$567,MATCH(I$10,'BDD'!$A$1:$P$1,0),FALSE)),"")</f>
        <v>291</v>
      </c>
      <c r="J62" s="549"/>
      <c r="K62" t="s" s="547">
        <f>_xlfn.IFERROR(IF(VLOOKUP($E62,'BDD'!$A$1:$S$567,MATCH(K$10,'BDD'!$A$1:$P$1,0),FALSE)=0,"",VLOOKUP($E62,'BDD'!$A$1:$S$567,MATCH(K$10,'BDD'!$A$1:$P$1,0),FALSE)),"")</f>
        <v>1620</v>
      </c>
      <c r="L62" s="550"/>
      <c r="M62" s="551"/>
      <c r="N62" s="551"/>
      <c r="O62" s="534"/>
      <c r="P62" s="1042"/>
    </row>
    <row r="63" ht="130.05" customHeight="1">
      <c r="A63" s="1039"/>
      <c r="B63" s="542"/>
      <c r="C63" t="s" s="543">
        <f>IF(LEFT(RIGHT($B$1,2),1)=" ",RIGHT($B$1,1),RIGHT($B$1,2))</f>
        <v>267</v>
      </c>
      <c r="D63" s="544">
        <f>IF(LEFT(F63,14)="Bonne pratique",D62+1,D62)</f>
        <v>4</v>
      </c>
      <c r="E63" t="s" s="545">
        <f>C63&amp;D63&amp;RIGHT(F63,1)</f>
        <v>2509</v>
      </c>
      <c r="F63" t="s" s="552">
        <v>1776</v>
      </c>
      <c r="G63" t="s" s="540">
        <f>_xlfn.IFERROR(IF(VLOOKUP($E63,'BDD'!$A$1:$S$567,MATCH(G$10,'BDD'!$A$1:$P$1,0),FALSE)=0,"",VLOOKUP($E63,'BDD'!$A$1:$S$567,MATCH(G$10,'BDD'!$A$1:$P$1,0),FALSE)),"")</f>
        <v>1622</v>
      </c>
      <c r="H63" t="s" s="553">
        <f>IF(VLOOKUP(E63,'BDD'!$A$1:$S$567,15,FALSE)=0,"Critère non évalué","")</f>
        <v>1770</v>
      </c>
      <c r="I63" t="s" s="552">
        <f>_xlfn.IFERROR(IF(VLOOKUP($E63,'BDD'!$A$1:$S$567,MATCH(I$10,'BDD'!$A$1:$P$1,0),FALSE)=0,"",VLOOKUP($E63,'BDD'!$A$1:$S$567,MATCH(I$10,'BDD'!$A$1:$P$1,0),FALSE)),"")</f>
        <v>291</v>
      </c>
      <c r="J63" s="556"/>
      <c r="K63" t="s" s="540">
        <f>_xlfn.IFERROR(IF(VLOOKUP($E63,'BDD'!$A$1:$S$567,MATCH(K$10,'BDD'!$A$1:$P$1,0),FALSE)=0,"",VLOOKUP($E63,'BDD'!$A$1:$S$567,MATCH(K$10,'BDD'!$A$1:$P$1,0),FALSE)),"")</f>
        <v>1623</v>
      </c>
      <c r="L63" s="550"/>
      <c r="M63" s="555"/>
      <c r="N63" s="555"/>
      <c r="O63" s="534"/>
      <c r="P63" s="1042"/>
    </row>
    <row r="64" ht="130.05" customHeight="1">
      <c r="A64" s="1039"/>
      <c r="B64" s="542"/>
      <c r="C64" t="s" s="543">
        <f>IF(LEFT(RIGHT($B$1,2),1)=" ",RIGHT($B$1,1),RIGHT($B$1,2))</f>
        <v>267</v>
      </c>
      <c r="D64" s="544">
        <f>IF(LEFT(F64,14)="Bonne pratique",D63+1,D63)</f>
        <v>4</v>
      </c>
      <c r="E64" t="s" s="545">
        <f>C64&amp;D64&amp;RIGHT(F64,1)</f>
        <v>2515</v>
      </c>
      <c r="F64" t="s" s="546">
        <v>1778</v>
      </c>
      <c r="G64" t="s" s="547">
        <f>_xlfn.IFERROR(IF(VLOOKUP($E64,'BDD'!$A$1:$S$567,MATCH(G$10,'BDD'!$A$1:$P$1,0),FALSE)=0,"",VLOOKUP($E64,'BDD'!$A$1:$S$567,MATCH(G$10,'BDD'!$A$1:$P$1,0),FALSE)),"")</f>
        <v>1625</v>
      </c>
      <c r="H64" t="s" s="548">
        <f>IF(VLOOKUP(E64,'BDD'!$A$1:$S$567,15,FALSE)=0,"Critère non évalué","")</f>
        <v>1770</v>
      </c>
      <c r="I64" t="s" s="546">
        <f>_xlfn.IFERROR(IF(VLOOKUP($E64,'BDD'!$A$1:$S$567,MATCH(I$10,'BDD'!$A$1:$P$1,0),FALSE)=0,"",VLOOKUP($E64,'BDD'!$A$1:$S$567,MATCH(I$10,'BDD'!$A$1:$P$1,0),FALSE)),"")</f>
        <v>256</v>
      </c>
      <c r="J64" s="549"/>
      <c r="K64" t="s" s="547">
        <f>_xlfn.IFERROR(IF(VLOOKUP($E64,'BDD'!$A$1:$S$567,MATCH(K$10,'BDD'!$A$1:$P$1,0),FALSE)=0,"",VLOOKUP($E64,'BDD'!$A$1:$S$567,MATCH(K$10,'BDD'!$A$1:$P$1,0),FALSE)),"")</f>
      </c>
      <c r="L64" s="550"/>
      <c r="M64" s="557"/>
      <c r="N64" s="557"/>
      <c r="O64" s="534"/>
      <c r="P64" s="1042"/>
    </row>
    <row r="65" ht="130.05" customHeight="1" hidden="1">
      <c r="A65" s="1039"/>
      <c r="B65" s="542"/>
      <c r="C65" t="s" s="543">
        <f>IF(LEFT(RIGHT($B$1,2),1)=" ",RIGHT($B$1,1),RIGHT($B$1,2))</f>
        <v>267</v>
      </c>
      <c r="D65" s="544">
        <f>IF(LEFT(F65,14)="Bonne pratique",D64+1,D64)</f>
        <v>4</v>
      </c>
      <c r="E65" t="s" s="545">
        <f>C65&amp;D65&amp;RIGHT(F65,1)</f>
        <v>2516</v>
      </c>
      <c r="F65" t="s" s="552">
        <v>1780</v>
      </c>
      <c r="G65" t="s" s="540">
        <f>_xlfn.IFERROR(IF(VLOOKUP($E65,'BDD'!$A$1:$S$567,MATCH(G$10,'BDD'!$A$1:$P$1,0),FALSE)=0,"",VLOOKUP($E65,'BDD'!$A$1:$S$567,MATCH(G$10,'BDD'!$A$1:$P$1,0),FALSE)),"")</f>
      </c>
      <c r="H65" t="s" s="553">
        <f>IF(VLOOKUP(E65,'BDD'!$A$1:$S$567,15,FALSE)=0,"Critère non évalué","")</f>
        <v>1770</v>
      </c>
      <c r="I65" t="s" s="552">
        <f>_xlfn.IFERROR(IF(VLOOKUP($E65,'BDD'!$A$1:$S$567,MATCH(I$10,'BDD'!$A$1:$P$1,0),FALSE)=0,"",VLOOKUP($E65,'BDD'!$A$1:$S$567,MATCH(I$10,'BDD'!$A$1:$P$1,0),FALSE)),"")</f>
      </c>
      <c r="J65" s="554"/>
      <c r="K65" t="s" s="540">
        <f>_xlfn.IFERROR(IF(VLOOKUP($E65,'BDD'!$A$1:$S$567,MATCH(K$10,'BDD'!$A$1:$P$1,0),FALSE)=0,"",VLOOKUP($E65,'BDD'!$A$1:$S$567,MATCH(K$10,'BDD'!$A$1:$P$1,0),FALSE)),"")</f>
      </c>
      <c r="L65" s="550"/>
      <c r="M65" s="555"/>
      <c r="N65" s="555"/>
      <c r="O65" s="534"/>
      <c r="P65" s="1042"/>
    </row>
    <row r="66" ht="130.05" customHeight="1" hidden="1">
      <c r="A66" s="1039"/>
      <c r="B66" s="542"/>
      <c r="C66" t="s" s="543">
        <f>IF(LEFT(RIGHT($B$1,2),1)=" ",RIGHT($B$1,1),RIGHT($B$1,2))</f>
        <v>267</v>
      </c>
      <c r="D66" s="544">
        <f>IF(LEFT(F66,14)="Bonne pratique",D65+1,D65)</f>
        <v>4</v>
      </c>
      <c r="E66" t="s" s="545">
        <f>C66&amp;D66&amp;RIGHT(F66,1)</f>
        <v>2517</v>
      </c>
      <c r="F66" t="s" s="546">
        <v>1782</v>
      </c>
      <c r="G66" s="567">
        <f>_xlfn.IFERROR(IF(VLOOKUP($E66,'BDD'!$A$1:$S$567,MATCH(G$10,'BDD'!$A$1:$P$1,0),FALSE)=0,"",VLOOKUP($E66,'BDD'!$A$1:$S$567,MATCH(G$10,'BDD'!$A$1:$P$1,0),FALSE)),"")</f>
      </c>
      <c r="H66" s="568">
        <f>IF(VLOOKUP(E66,'BDD'!$A$1:$S$567,15,FALSE)=0,"Critère non évalué","")</f>
      </c>
      <c r="I66" s="569">
        <f>_xlfn.IFERROR(IF(VLOOKUP($E66,'BDD'!$A$1:$S$567,MATCH(I$10,'BDD'!$A$1:$P$1,0),FALSE)=0,"",VLOOKUP($E66,'BDD'!$A$1:$S$567,MATCH(I$10,'BDD'!$A$1:$P$1,0),FALSE)),"")</f>
      </c>
      <c r="J66" s="549"/>
      <c r="K66" s="567">
        <f>_xlfn.IFERROR(IF(VLOOKUP($E66,'BDD'!$A$1:$S$567,MATCH(K$10,'BDD'!$A$1:$P$1,0),FALSE)=0,"",VLOOKUP($E66,'BDD'!$A$1:$S$567,MATCH(K$10,'BDD'!$A$1:$P$1,0),FALSE)),"")</f>
      </c>
      <c r="L66" s="550"/>
      <c r="M66" s="557"/>
      <c r="N66" s="557"/>
      <c r="O66" s="534"/>
      <c r="P66" s="1042"/>
    </row>
    <row r="67" ht="15" customHeight="1">
      <c r="A67" s="1039"/>
      <c r="B67" s="61"/>
      <c r="C67" t="s" s="513">
        <f>IF(LEFT(RIGHT($B$1,2),1)=" ",RIGHT($B$1,1),RIGHT($B$1,2))</f>
        <v>267</v>
      </c>
      <c r="D67" s="514">
        <f>IF(LEFT(F67,14)="Bonne pratique",D66+1,D66)</f>
        <v>4</v>
      </c>
      <c r="E67" s="565">
        <f>C67&amp;D67&amp;RIGHT(F67,1)</f>
      </c>
      <c r="F67" s="559"/>
      <c r="G67" s="559"/>
      <c r="H67" s="559"/>
      <c r="I67" s="559"/>
      <c r="J67" s="559"/>
      <c r="K67" s="559"/>
      <c r="L67" s="61"/>
      <c r="M67" s="559"/>
      <c r="N67" s="559"/>
      <c r="O67" s="61"/>
      <c r="P67" s="1042"/>
    </row>
    <row r="68" ht="14.4" customHeight="1">
      <c r="A68" s="1039"/>
      <c r="B68" s="61"/>
      <c r="C68" t="s" s="513">
        <f>IF(LEFT(RIGHT($B$1,2),1)=" ",RIGHT($B$1,1),RIGHT($B$1,2))</f>
        <v>267</v>
      </c>
      <c r="D68" s="61"/>
      <c r="E68" s="565"/>
      <c r="F68" s="61"/>
      <c r="G68" s="61"/>
      <c r="H68" s="61"/>
      <c r="I68" s="61"/>
      <c r="J68" s="61"/>
      <c r="K68" s="61"/>
      <c r="L68" s="61"/>
      <c r="M68" s="61"/>
      <c r="N68" s="61"/>
      <c r="O68" s="61"/>
      <c r="P68" s="1042"/>
    </row>
    <row r="69" ht="14.4" customHeight="1">
      <c r="A69" s="1039"/>
      <c r="B69" s="61"/>
      <c r="C69" t="s" s="513">
        <f>IF(LEFT(RIGHT($B$1,2),1)=" ",RIGHT($B$1,1),RIGHT($B$1,2))</f>
        <v>267</v>
      </c>
      <c r="D69" s="61"/>
      <c r="E69" s="565"/>
      <c r="F69" s="61"/>
      <c r="G69" s="61"/>
      <c r="H69" s="47"/>
      <c r="I69" s="61"/>
      <c r="J69" s="61"/>
      <c r="K69" s="61"/>
      <c r="L69" s="61"/>
      <c r="M69" s="61"/>
      <c r="N69" s="61"/>
      <c r="O69" s="61"/>
      <c r="P69" s="1042"/>
    </row>
    <row r="70" ht="14.4" customHeight="1">
      <c r="A70" s="1039"/>
      <c r="B70" s="61"/>
      <c r="C70" t="s" s="513">
        <f>IF(LEFT(RIGHT($B$1,2),1)=" ",RIGHT($B$1,1),RIGHT($B$1,2))</f>
        <v>267</v>
      </c>
      <c r="D70" s="61"/>
      <c r="E70" s="565"/>
      <c r="F70" s="61"/>
      <c r="G70" s="61"/>
      <c r="H70" s="61"/>
      <c r="I70" s="61"/>
      <c r="J70" s="61"/>
      <c r="K70" s="61"/>
      <c r="L70" s="61"/>
      <c r="M70" s="61"/>
      <c r="N70" s="61"/>
      <c r="O70" s="61"/>
      <c r="P70" s="1042"/>
    </row>
    <row r="71" ht="30" customHeight="1">
      <c r="A71" s="1043"/>
      <c r="B71" s="512"/>
      <c r="C71" t="s" s="513">
        <f>IF(LEFT(RIGHT($B$1,2),1)=" ",RIGHT($B$1,1),RIGHT($B$1,2))</f>
        <v>267</v>
      </c>
      <c r="D71" s="61">
        <f>IF(LEFT(F71,14)="Bonne pratique",D67+1,D67)</f>
      </c>
      <c r="E71" s="565">
        <f>C71&amp;D71&amp;RIGHT(F71,1)</f>
      </c>
      <c r="F71" t="s" s="516">
        <v>1814</v>
      </c>
      <c r="G71" s="517"/>
      <c r="H71" s="518"/>
      <c r="I71" s="519"/>
      <c r="J71" s="519">
        <f>VLOOKUP(E78,'BDD'!$A$2:$N$567,6,FALSE)</f>
      </c>
      <c r="K71" s="521"/>
      <c r="L71" s="517"/>
      <c r="M71" s="517"/>
      <c r="N71" s="517"/>
      <c r="O71" s="512"/>
      <c r="P71" s="1044"/>
    </row>
    <row r="72" ht="15" customHeight="1">
      <c r="A72" s="1039"/>
      <c r="B72" s="61"/>
      <c r="C72" t="s" s="513">
        <f>IF(LEFT(RIGHT($B$1,2),1)=" ",RIGHT($B$1,1),RIGHT($B$1,2))</f>
        <v>267</v>
      </c>
      <c r="D72" s="61">
        <f>IF(LEFT(F72,14)="Bonne pratique",D71+1,D71)</f>
      </c>
      <c r="E72" s="565">
        <f>C72&amp;D72&amp;RIGHT(F72,1)</f>
      </c>
      <c r="F72" s="61"/>
      <c r="G72" s="61"/>
      <c r="H72" s="61"/>
      <c r="I72" s="61"/>
      <c r="J72" s="61"/>
      <c r="K72" s="61"/>
      <c r="L72" s="61"/>
      <c r="M72" s="61"/>
      <c r="N72" s="61"/>
      <c r="O72" s="61"/>
      <c r="P72" s="1042"/>
    </row>
    <row r="73" ht="18" customHeight="1">
      <c r="A73" s="1045"/>
      <c r="B73" s="524"/>
      <c r="C73" t="s" s="513">
        <f>IF(LEFT(RIGHT($B$1,2),1)=" ",RIGHT($B$1,1),RIGHT($B$1,2))</f>
        <v>267</v>
      </c>
      <c r="D73" s="61">
        <f>IF(LEFT(F73,14)="Bonne pratique",D72+1,D72)</f>
      </c>
      <c r="E73" s="565">
        <f>C73&amp;D73&amp;RIGHT(F73,1)</f>
      </c>
      <c r="F73" s="524"/>
      <c r="G73" s="524"/>
      <c r="H73" s="524"/>
      <c r="I73" s="525"/>
      <c r="J73" t="s" s="526">
        <v>2518</v>
      </c>
      <c r="K73" s="525"/>
      <c r="L73" s="524"/>
      <c r="M73" s="524"/>
      <c r="N73" s="524"/>
      <c r="O73" s="524"/>
      <c r="P73" s="1046"/>
    </row>
    <row r="74" ht="18" customHeight="1">
      <c r="A74" s="1039"/>
      <c r="B74" s="61"/>
      <c r="C74" t="s" s="513">
        <f>IF(LEFT(RIGHT($B$1,2),1)=" ",RIGHT($B$1,1),RIGHT($B$1,2))</f>
        <v>267</v>
      </c>
      <c r="D74" s="61">
        <f>IF(LEFT(F74,14)="Bonne pratique",D73+1,D73)</f>
      </c>
      <c r="E74" s="565">
        <f>C74&amp;D74&amp;RIGHT(F74,1)</f>
      </c>
      <c r="F74" s="61"/>
      <c r="G74" s="61"/>
      <c r="H74" s="61"/>
      <c r="I74" s="61"/>
      <c r="J74" s="528"/>
      <c r="K74" s="61"/>
      <c r="L74" s="61"/>
      <c r="M74" s="529"/>
      <c r="N74" s="529"/>
      <c r="O74" s="61"/>
      <c r="P74" s="1042"/>
    </row>
    <row r="75" ht="15" customHeight="1">
      <c r="A75" s="1039"/>
      <c r="B75" s="61"/>
      <c r="C75" t="s" s="513">
        <f>IF(LEFT(RIGHT($B$1,2),1)=" ",RIGHT($B$1,1),RIGHT($B$1,2))</f>
        <v>267</v>
      </c>
      <c r="D75" s="61">
        <f>IF(LEFT(F75,14)="Bonne pratique",D74+1,D74)</f>
      </c>
      <c r="E75" s="565">
        <f>C75&amp;D75&amp;RIGHT(F75,1)</f>
      </c>
      <c r="F75" s="61"/>
      <c r="G75" s="529"/>
      <c r="H75" s="529"/>
      <c r="I75" s="529"/>
      <c r="J75" s="530"/>
      <c r="K75" s="529"/>
      <c r="L75" s="542"/>
      <c r="M75" t="s" s="562">
        <v>1763</v>
      </c>
      <c r="N75" s="563"/>
      <c r="O75" s="534"/>
      <c r="P75" s="1042"/>
    </row>
    <row r="76" ht="33" customHeight="1">
      <c r="A76" s="1039"/>
      <c r="B76" s="61"/>
      <c r="C76" t="s" s="513">
        <f>IF(LEFT(RIGHT($B$1,2),1)=" ",RIGHT($B$1,1),RIGHT($B$1,2))</f>
        <v>267</v>
      </c>
      <c r="D76" s="61">
        <f>IF(LEFT(F76,14)="Bonne pratique",D75+1,D75)</f>
      </c>
      <c r="E76" s="565">
        <f>C76&amp;D76&amp;RIGHT(F76,1)</f>
      </c>
      <c r="F76" s="564"/>
      <c r="G76" t="s" s="536">
        <v>244</v>
      </c>
      <c r="H76" t="s" s="536">
        <v>1764</v>
      </c>
      <c r="I76" t="s" s="536">
        <v>1787</v>
      </c>
      <c r="J76" t="s" s="536">
        <v>1765</v>
      </c>
      <c r="K76" t="s" s="536">
        <v>1788</v>
      </c>
      <c r="L76" s="538"/>
      <c r="M76" t="s" s="539">
        <v>1766</v>
      </c>
      <c r="N76" t="s" s="540">
        <v>1767</v>
      </c>
      <c r="O76" s="534"/>
      <c r="P76" s="1042"/>
    </row>
    <row r="77" ht="15" customHeight="1">
      <c r="A77" s="1039"/>
      <c r="B77" s="61"/>
      <c r="C77" t="s" s="513">
        <f>IF(LEFT(RIGHT($B$1,2),1)=" ",RIGHT($B$1,1),RIGHT($B$1,2))</f>
        <v>267</v>
      </c>
      <c r="D77" s="61">
        <f>IF(LEFT(F77,14)="Bonne pratique",D76+1,D76)</f>
      </c>
      <c r="E77" s="565">
        <f>C77&amp;D77&amp;RIGHT(F77,1)</f>
      </c>
      <c r="F77" s="529"/>
      <c r="G77" s="541"/>
      <c r="H77" s="541"/>
      <c r="I77" s="541"/>
      <c r="J77" s="541"/>
      <c r="K77" s="541"/>
      <c r="L77" s="61"/>
      <c r="M77" s="541"/>
      <c r="N77" s="541"/>
      <c r="O77" s="61"/>
      <c r="P77" s="1042"/>
    </row>
    <row r="78" ht="130.05" customHeight="1">
      <c r="A78" s="1039"/>
      <c r="B78" s="542"/>
      <c r="C78" t="s" s="543">
        <f>IF(LEFT(RIGHT($B$1,2),1)=" ",RIGHT($B$1,1),RIGHT($B$1,2))</f>
        <v>267</v>
      </c>
      <c r="D78" s="550">
        <f>IF(LEFT(F78,14)="Bonne pratique",D77+1,D77)</f>
      </c>
      <c r="E78" s="566">
        <f>C78&amp;D78&amp;RIGHT(F78,1)</f>
      </c>
      <c r="F78" t="s" s="546">
        <v>1769</v>
      </c>
      <c r="G78" s="567">
        <f>_xlfn.IFERROR(IF(VLOOKUP($E78,'BDD'!$A$1:$S$567,MATCH(G$10,'BDD'!$A$1:$P$1,0),FALSE)=0,"",VLOOKUP($E78,'BDD'!$A$1:$S$567,MATCH(G$10,'BDD'!$A$1:$P$1,0),FALSE)),"")</f>
      </c>
      <c r="H78" s="568">
        <f>IF(VLOOKUP(E78,'BDD'!$A$1:$S$567,15,FALSE)=0,"Critère non évalué","")</f>
      </c>
      <c r="I78" s="569">
        <f>_xlfn.IFERROR(IF(VLOOKUP($E78,'BDD'!$A$1:$S$567,MATCH(I$10,'BDD'!$A$1:$P$1,0),FALSE)=0,"",VLOOKUP($E78,'BDD'!$A$1:$S$567,MATCH(I$10,'BDD'!$A$1:$P$1,0),FALSE)),"")</f>
      </c>
      <c r="J78" s="549"/>
      <c r="K78" s="567">
        <f>_xlfn.IFERROR(IF(VLOOKUP($E78,'BDD'!$A$1:$S$567,MATCH(K$10,'BDD'!$A$1:$P$1,0),FALSE)=0,"",VLOOKUP($E78,'BDD'!$A$1:$S$567,MATCH(K$10,'BDD'!$A$1:$P$1,0),FALSE)),"")</f>
      </c>
      <c r="L78" s="550"/>
      <c r="M78" s="551"/>
      <c r="N78" s="551"/>
      <c r="O78" s="534"/>
      <c r="P78" s="1042"/>
    </row>
    <row r="79" ht="130.05" customHeight="1">
      <c r="A79" s="1039"/>
      <c r="B79" s="542"/>
      <c r="C79" t="s" s="543">
        <f>IF(LEFT(RIGHT($B$1,2),1)=" ",RIGHT($B$1,1),RIGHT($B$1,2))</f>
        <v>267</v>
      </c>
      <c r="D79" s="550">
        <f>IF(LEFT(F79,14)="Bonne pratique",D78+1,D78)</f>
      </c>
      <c r="E79" s="566">
        <f>C79&amp;D79&amp;RIGHT(F79,1)</f>
      </c>
      <c r="F79" t="s" s="552">
        <v>1772</v>
      </c>
      <c r="G79" s="557">
        <f>_xlfn.IFERROR(IF(VLOOKUP($E79,'BDD'!$A$1:$S$567,MATCH(G$10,'BDD'!$A$1:$P$1,0),FALSE)=0,"",VLOOKUP($E79,'BDD'!$A$1:$S$567,MATCH(G$10,'BDD'!$A$1:$P$1,0),FALSE)),"")</f>
      </c>
      <c r="H79" s="570">
        <f>IF(VLOOKUP(E79,'BDD'!$A$1:$S$567,15,FALSE)=0,"Critère non évalué","")</f>
      </c>
      <c r="I79" s="571">
        <f>_xlfn.IFERROR(IF(VLOOKUP($E79,'BDD'!$A$1:$S$567,MATCH(I$10,'BDD'!$A$1:$P$1,0),FALSE)=0,"",VLOOKUP($E79,'BDD'!$A$1:$S$567,MATCH(I$10,'BDD'!$A$1:$P$1,0),FALSE)),"")</f>
      </c>
      <c r="J79" s="554"/>
      <c r="K79" s="557">
        <f>_xlfn.IFERROR(IF(VLOOKUP($E79,'BDD'!$A$1:$S$567,MATCH(K$10,'BDD'!$A$1:$P$1,0),FALSE)=0,"",VLOOKUP($E79,'BDD'!$A$1:$S$567,MATCH(K$10,'BDD'!$A$1:$P$1,0),FALSE)),"")</f>
      </c>
      <c r="L79" s="550"/>
      <c r="M79" s="555"/>
      <c r="N79" s="555"/>
      <c r="O79" s="534"/>
      <c r="P79" s="1042"/>
    </row>
    <row r="80" ht="130.05" customHeight="1">
      <c r="A80" s="1039"/>
      <c r="B80" s="542"/>
      <c r="C80" t="s" s="543">
        <f>IF(LEFT(RIGHT($B$1,2),1)=" ",RIGHT($B$1,1),RIGHT($B$1,2))</f>
        <v>267</v>
      </c>
      <c r="D80" s="550">
        <f>IF(LEFT(F80,14)="Bonne pratique",D79+1,D79)</f>
      </c>
      <c r="E80" s="566">
        <f>C80&amp;D80&amp;RIGHT(F80,1)</f>
      </c>
      <c r="F80" t="s" s="546">
        <v>1774</v>
      </c>
      <c r="G80" s="567">
        <f>_xlfn.IFERROR(IF(VLOOKUP($E80,'BDD'!$A$1:$S$567,MATCH(G$10,'BDD'!$A$1:$P$1,0),FALSE)=0,"",VLOOKUP($E80,'BDD'!$A$1:$S$567,MATCH(G$10,'BDD'!$A$1:$P$1,0),FALSE)),"")</f>
      </c>
      <c r="H80" s="568">
        <f>IF(VLOOKUP(E80,'BDD'!$A$1:$S$567,15,FALSE)=0,"Critère non évalué","")</f>
      </c>
      <c r="I80" s="569">
        <f>_xlfn.IFERROR(IF(VLOOKUP($E80,'BDD'!$A$1:$S$567,MATCH(I$10,'BDD'!$A$1:$P$1,0),FALSE)=0,"",VLOOKUP($E80,'BDD'!$A$1:$S$567,MATCH(I$10,'BDD'!$A$1:$P$1,0),FALSE)),"")</f>
      </c>
      <c r="J80" s="549"/>
      <c r="K80" s="567">
        <f>_xlfn.IFERROR(IF(VLOOKUP($E80,'BDD'!$A$1:$S$567,MATCH(K$10,'BDD'!$A$1:$P$1,0),FALSE)=0,"",VLOOKUP($E80,'BDD'!$A$1:$S$567,MATCH(K$10,'BDD'!$A$1:$P$1,0),FALSE)),"")</f>
      </c>
      <c r="L80" s="550"/>
      <c r="M80" s="551"/>
      <c r="N80" s="551"/>
      <c r="O80" s="534"/>
      <c r="P80" s="1042"/>
    </row>
    <row r="81" ht="130.05" customHeight="1">
      <c r="A81" s="1039"/>
      <c r="B81" s="542"/>
      <c r="C81" t="s" s="543">
        <f>IF(LEFT(RIGHT($B$1,2),1)=" ",RIGHT($B$1,1),RIGHT($B$1,2))</f>
        <v>267</v>
      </c>
      <c r="D81" s="550">
        <f>IF(LEFT(F81,14)="Bonne pratique",D80+1,D80)</f>
      </c>
      <c r="E81" s="566">
        <f>C81&amp;D81&amp;RIGHT(F81,1)</f>
      </c>
      <c r="F81" t="s" s="552">
        <v>1776</v>
      </c>
      <c r="G81" s="557">
        <f>_xlfn.IFERROR(IF(VLOOKUP($E81,'BDD'!$A$1:$S$567,MATCH(G$10,'BDD'!$A$1:$P$1,0),FALSE)=0,"",VLOOKUP($E81,'BDD'!$A$1:$S$567,MATCH(G$10,'BDD'!$A$1:$P$1,0),FALSE)),"")</f>
      </c>
      <c r="H81" s="570">
        <f>IF(VLOOKUP(E81,'BDD'!$A$1:$S$567,15,FALSE)=0,"Critère non évalué","")</f>
      </c>
      <c r="I81" s="571">
        <f>_xlfn.IFERROR(IF(VLOOKUP($E81,'BDD'!$A$1:$S$567,MATCH(I$10,'BDD'!$A$1:$P$1,0),FALSE)=0,"",VLOOKUP($E81,'BDD'!$A$1:$S$567,MATCH(I$10,'BDD'!$A$1:$P$1,0),FALSE)),"")</f>
      </c>
      <c r="J81" s="556"/>
      <c r="K81" s="557">
        <f>_xlfn.IFERROR(IF(VLOOKUP($E81,'BDD'!$A$1:$S$567,MATCH(K$10,'BDD'!$A$1:$P$1,0),FALSE)=0,"",VLOOKUP($E81,'BDD'!$A$1:$S$567,MATCH(K$10,'BDD'!$A$1:$P$1,0),FALSE)),"")</f>
      </c>
      <c r="L81" s="550"/>
      <c r="M81" s="555"/>
      <c r="N81" s="555"/>
      <c r="O81" s="534"/>
      <c r="P81" s="1042"/>
    </row>
    <row r="82" ht="130.05" customHeight="1">
      <c r="A82" s="1039"/>
      <c r="B82" s="542"/>
      <c r="C82" t="s" s="543">
        <f>IF(LEFT(RIGHT($B$1,2),1)=" ",RIGHT($B$1,1),RIGHT($B$1,2))</f>
        <v>267</v>
      </c>
      <c r="D82" s="550">
        <f>IF(LEFT(F82,14)="Bonne pratique",D81+1,D81)</f>
      </c>
      <c r="E82" s="566">
        <f>C82&amp;D82&amp;RIGHT(F82,1)</f>
      </c>
      <c r="F82" t="s" s="546">
        <v>1778</v>
      </c>
      <c r="G82" s="567">
        <f>_xlfn.IFERROR(IF(VLOOKUP($E82,'BDD'!$A$1:$S$567,MATCH(G$10,'BDD'!$A$1:$P$1,0),FALSE)=0,"",VLOOKUP($E82,'BDD'!$A$1:$S$567,MATCH(G$10,'BDD'!$A$1:$P$1,0),FALSE)),"")</f>
      </c>
      <c r="H82" s="568">
        <f>IF(VLOOKUP(E82,'BDD'!$A$1:$S$567,15,FALSE)=0,"Critère non évalué","")</f>
      </c>
      <c r="I82" s="569">
        <f>_xlfn.IFERROR(IF(VLOOKUP($E82,'BDD'!$A$1:$S$567,MATCH(I$10,'BDD'!$A$1:$P$1,0),FALSE)=0,"",VLOOKUP($E82,'BDD'!$A$1:$S$567,MATCH(I$10,'BDD'!$A$1:$P$1,0),FALSE)),"")</f>
      </c>
      <c r="J82" s="549"/>
      <c r="K82" s="567">
        <f>_xlfn.IFERROR(IF(VLOOKUP($E82,'BDD'!$A$1:$S$567,MATCH(K$10,'BDD'!$A$1:$P$1,0),FALSE)=0,"",VLOOKUP($E82,'BDD'!$A$1:$S$567,MATCH(K$10,'BDD'!$A$1:$P$1,0),FALSE)),"")</f>
      </c>
      <c r="L82" s="550"/>
      <c r="M82" s="557"/>
      <c r="N82" s="557"/>
      <c r="O82" s="534"/>
      <c r="P82" s="1042"/>
    </row>
    <row r="83" ht="130.05" customHeight="1">
      <c r="A83" s="1039"/>
      <c r="B83" s="542"/>
      <c r="C83" t="s" s="543">
        <f>IF(LEFT(RIGHT($B$1,2),1)=" ",RIGHT($B$1,1),RIGHT($B$1,2))</f>
        <v>267</v>
      </c>
      <c r="D83" s="550">
        <f>IF(LEFT(F83,14)="Bonne pratique",D82+1,D82)</f>
      </c>
      <c r="E83" s="566">
        <f>C83&amp;D83&amp;RIGHT(F83,1)</f>
      </c>
      <c r="F83" t="s" s="552">
        <v>1780</v>
      </c>
      <c r="G83" s="557">
        <f>_xlfn.IFERROR(IF(VLOOKUP($E83,'BDD'!$A$1:$S$567,MATCH(G$10,'BDD'!$A$1:$P$1,0),FALSE)=0,"",VLOOKUP($E83,'BDD'!$A$1:$S$567,MATCH(G$10,'BDD'!$A$1:$P$1,0),FALSE)),"")</f>
      </c>
      <c r="H83" s="570">
        <f>IF(VLOOKUP(E83,'BDD'!$A$1:$S$567,15,FALSE)=0,"Critère non évalué","")</f>
      </c>
      <c r="I83" s="571">
        <f>_xlfn.IFERROR(IF(VLOOKUP($E83,'BDD'!$A$1:$S$567,MATCH(I$10,'BDD'!$A$1:$P$1,0),FALSE)=0,"",VLOOKUP($E83,'BDD'!$A$1:$S$567,MATCH(I$10,'BDD'!$A$1:$P$1,0),FALSE)),"")</f>
      </c>
      <c r="J83" s="556"/>
      <c r="K83" s="557">
        <f>_xlfn.IFERROR(IF(VLOOKUP($E83,'BDD'!$A$1:$S$567,MATCH(K$10,'BDD'!$A$1:$P$1,0),FALSE)=0,"",VLOOKUP($E83,'BDD'!$A$1:$S$567,MATCH(K$10,'BDD'!$A$1:$P$1,0),FALSE)),"")</f>
      </c>
      <c r="L83" s="550"/>
      <c r="M83" s="555"/>
      <c r="N83" s="555"/>
      <c r="O83" s="534"/>
      <c r="P83" s="1042"/>
    </row>
    <row r="84" ht="130.05" customHeight="1" hidden="1">
      <c r="A84" s="1039"/>
      <c r="B84" s="542"/>
      <c r="C84" t="s" s="543">
        <f>IF(LEFT(RIGHT($B$1,2),1)=" ",RIGHT($B$1,1),RIGHT($B$1,2))</f>
        <v>267</v>
      </c>
      <c r="D84" s="550">
        <f>IF(LEFT(F84,14)="Bonne pratique",D83+1,D83)</f>
      </c>
      <c r="E84" s="566">
        <f>C84&amp;D84&amp;RIGHT(F84,1)</f>
      </c>
      <c r="F84" t="s" s="546">
        <v>1782</v>
      </c>
      <c r="G84" s="567">
        <f>_xlfn.IFERROR(IF(VLOOKUP($E84,'BDD'!$A$1:$S$567,MATCH(G$10,'BDD'!$A$1:$P$1,0),FALSE)=0,"",VLOOKUP($E84,'BDD'!$A$1:$S$567,MATCH(G$10,'BDD'!$A$1:$P$1,0),FALSE)),"")</f>
      </c>
      <c r="H84" s="568">
        <f>IF(VLOOKUP(E84,'BDD'!$A$1:$S$567,15,FALSE)=0,"Critère non évalué","")</f>
      </c>
      <c r="I84" s="569">
        <f>_xlfn.IFERROR(IF(VLOOKUP($E84,'BDD'!$A$1:$S$567,MATCH(I$10,'BDD'!$A$1:$P$1,0),FALSE)=0,"",VLOOKUP($E84,'BDD'!$A$1:$S$567,MATCH(I$10,'BDD'!$A$1:$P$1,0),FALSE)),"")</f>
      </c>
      <c r="J84" s="549"/>
      <c r="K84" s="567">
        <f>_xlfn.IFERROR(IF(VLOOKUP($E84,'BDD'!$A$1:$S$567,MATCH(K$10,'BDD'!$A$1:$P$1,0),FALSE)=0,"",VLOOKUP($E84,'BDD'!$A$1:$S$567,MATCH(K$10,'BDD'!$A$1:$P$1,0),FALSE)),"")</f>
      </c>
      <c r="L84" s="550"/>
      <c r="M84" s="557"/>
      <c r="N84" s="557"/>
      <c r="O84" s="534"/>
      <c r="P84" s="1042"/>
    </row>
    <row r="85" ht="14.4" customHeight="1">
      <c r="A85" s="1039"/>
      <c r="B85" s="61"/>
      <c r="C85" t="s" s="513">
        <f>IF(LEFT(RIGHT($B$1,2),1)=" ",RIGHT($B$1,1),RIGHT($B$1,2))</f>
        <v>267</v>
      </c>
      <c r="D85" s="61"/>
      <c r="E85" s="61"/>
      <c r="F85" s="559"/>
      <c r="G85" s="559"/>
      <c r="H85" s="559"/>
      <c r="I85" s="559"/>
      <c r="J85" s="559"/>
      <c r="K85" s="559"/>
      <c r="L85" s="61"/>
      <c r="M85" s="559"/>
      <c r="N85" s="559"/>
      <c r="O85" s="61"/>
      <c r="P85" s="1042"/>
    </row>
    <row r="86" ht="14.4" customHeight="1">
      <c r="A86" s="1039"/>
      <c r="B86" s="61"/>
      <c r="C86" t="s" s="513">
        <f>IF(LEFT(RIGHT($B$1,2),1)=" ",RIGHT($B$1,1),RIGHT($B$1,2))</f>
        <v>267</v>
      </c>
      <c r="D86" s="61"/>
      <c r="E86" s="61"/>
      <c r="F86" s="61"/>
      <c r="G86" s="61"/>
      <c r="H86" s="61"/>
      <c r="I86" s="61"/>
      <c r="J86" s="61"/>
      <c r="K86" s="61"/>
      <c r="L86" s="61"/>
      <c r="M86" s="61"/>
      <c r="N86" s="61"/>
      <c r="O86" s="61"/>
      <c r="P86" s="1042"/>
    </row>
    <row r="87" ht="30" customHeight="1">
      <c r="A87" s="1043"/>
      <c r="B87" s="512"/>
      <c r="C87" t="s" s="513">
        <f>IF(LEFT(RIGHT($B$1,2),1)=" ",RIGHT($B$1,1),RIGHT($B$1,2))</f>
        <v>267</v>
      </c>
      <c r="D87" s="61">
        <f>IF(LEFT(F87,14)="Bonne pratique",D83+1,D83)</f>
      </c>
      <c r="E87" s="565">
        <f>C87&amp;D87&amp;RIGHT(F87,1)</f>
      </c>
      <c r="F87" t="s" s="516">
        <v>1887</v>
      </c>
      <c r="G87" s="517"/>
      <c r="H87" s="518"/>
      <c r="I87" s="519"/>
      <c r="J87" s="519">
        <f>VLOOKUP(E94,'BDD'!$A$2:$N$567,6,FALSE)</f>
      </c>
      <c r="K87" s="521"/>
      <c r="L87" s="517"/>
      <c r="M87" s="517"/>
      <c r="N87" s="517"/>
      <c r="O87" s="512"/>
      <c r="P87" s="1044"/>
    </row>
    <row r="88" ht="15" customHeight="1">
      <c r="A88" s="1039"/>
      <c r="B88" s="61"/>
      <c r="C88" t="s" s="513">
        <f>IF(LEFT(RIGHT($B$1,2),1)=" ",RIGHT($B$1,1),RIGHT($B$1,2))</f>
        <v>267</v>
      </c>
      <c r="D88" s="61">
        <f>IF(LEFT(F88,14)="Bonne pratique",D87+1,D87)</f>
      </c>
      <c r="E88" s="565">
        <f>C88&amp;D88&amp;RIGHT(F88,1)</f>
      </c>
      <c r="F88" s="61"/>
      <c r="G88" s="61"/>
      <c r="H88" s="61"/>
      <c r="I88" s="61"/>
      <c r="J88" s="61"/>
      <c r="K88" s="61"/>
      <c r="L88" s="61"/>
      <c r="M88" s="61"/>
      <c r="N88" s="61"/>
      <c r="O88" s="61"/>
      <c r="P88" s="1042"/>
    </row>
    <row r="89" ht="18" customHeight="1">
      <c r="A89" s="1045"/>
      <c r="B89" s="524"/>
      <c r="C89" t="s" s="513">
        <f>IF(LEFT(RIGHT($B$1,2),1)=" ",RIGHT($B$1,1),RIGHT($B$1,2))</f>
        <v>267</v>
      </c>
      <c r="D89" s="61">
        <f>IF(LEFT(F89,14)="Bonne pratique",D88+1,D88)</f>
      </c>
      <c r="E89" s="565">
        <f>C89&amp;D89&amp;RIGHT(F89,1)</f>
      </c>
      <c r="F89" s="524"/>
      <c r="G89" s="524"/>
      <c r="H89" s="524"/>
      <c r="I89" s="525"/>
      <c r="J89" t="s" s="526">
        <v>1647</v>
      </c>
      <c r="K89" s="525"/>
      <c r="L89" s="524"/>
      <c r="M89" s="524"/>
      <c r="N89" s="524"/>
      <c r="O89" s="524"/>
      <c r="P89" s="1046"/>
    </row>
    <row r="90" ht="18" customHeight="1">
      <c r="A90" s="1039"/>
      <c r="B90" s="61"/>
      <c r="C90" t="s" s="513">
        <f>IF(LEFT(RIGHT($B$1,2),1)=" ",RIGHT($B$1,1),RIGHT($B$1,2))</f>
        <v>267</v>
      </c>
      <c r="D90" s="61">
        <f>IF(LEFT(F90,14)="Bonne pratique",D89+1,D89)</f>
      </c>
      <c r="E90" s="565">
        <f>C90&amp;D90&amp;RIGHT(F90,1)</f>
      </c>
      <c r="F90" s="61"/>
      <c r="G90" s="61"/>
      <c r="H90" s="61"/>
      <c r="I90" s="61"/>
      <c r="J90" s="528"/>
      <c r="K90" s="61"/>
      <c r="L90" s="61"/>
      <c r="M90" s="529"/>
      <c r="N90" s="529"/>
      <c r="O90" s="61"/>
      <c r="P90" s="1042"/>
    </row>
    <row r="91" ht="15" customHeight="1">
      <c r="A91" s="1039"/>
      <c r="B91" s="61"/>
      <c r="C91" t="s" s="513">
        <f>IF(LEFT(RIGHT($B$1,2),1)=" ",RIGHT($B$1,1),RIGHT($B$1,2))</f>
        <v>267</v>
      </c>
      <c r="D91" s="61">
        <f>IF(LEFT(F91,14)="Bonne pratique",D90+1,D90)</f>
      </c>
      <c r="E91" s="565">
        <f>C91&amp;D91&amp;RIGHT(F91,1)</f>
      </c>
      <c r="F91" s="61"/>
      <c r="G91" s="529"/>
      <c r="H91" s="529"/>
      <c r="I91" s="529"/>
      <c r="J91" s="530"/>
      <c r="K91" s="529"/>
      <c r="L91" s="542"/>
      <c r="M91" t="s" s="562">
        <v>1763</v>
      </c>
      <c r="N91" s="563"/>
      <c r="O91" s="534"/>
      <c r="P91" s="1042"/>
    </row>
    <row r="92" ht="33" customHeight="1">
      <c r="A92" s="1039"/>
      <c r="B92" s="61"/>
      <c r="C92" t="s" s="513">
        <f>IF(LEFT(RIGHT($B$1,2),1)=" ",RIGHT($B$1,1),RIGHT($B$1,2))</f>
        <v>267</v>
      </c>
      <c r="D92" s="61">
        <f>IF(LEFT(F92,14)="Bonne pratique",D91+1,D91)</f>
      </c>
      <c r="E92" s="565">
        <f>C92&amp;D92&amp;RIGHT(F92,1)</f>
      </c>
      <c r="F92" s="564"/>
      <c r="G92" t="s" s="536">
        <v>244</v>
      </c>
      <c r="H92" t="s" s="536">
        <v>1764</v>
      </c>
      <c r="I92" t="s" s="536">
        <v>1787</v>
      </c>
      <c r="J92" t="s" s="536">
        <v>1765</v>
      </c>
      <c r="K92" t="s" s="536">
        <v>1788</v>
      </c>
      <c r="L92" s="538"/>
      <c r="M92" t="s" s="539">
        <v>1766</v>
      </c>
      <c r="N92" t="s" s="540">
        <v>1767</v>
      </c>
      <c r="O92" s="534"/>
      <c r="P92" s="1042"/>
    </row>
    <row r="93" ht="15" customHeight="1">
      <c r="A93" s="1039"/>
      <c r="B93" s="61"/>
      <c r="C93" t="s" s="513">
        <f>IF(LEFT(RIGHT($B$1,2),1)=" ",RIGHT($B$1,1),RIGHT($B$1,2))</f>
        <v>267</v>
      </c>
      <c r="D93" s="61">
        <f>IF(LEFT(F93,14)="Bonne pratique",D92+1,D92)</f>
      </c>
      <c r="E93" s="565">
        <f>C93&amp;D93&amp;RIGHT(F93,1)</f>
      </c>
      <c r="F93" s="529"/>
      <c r="G93" s="541"/>
      <c r="H93" s="541"/>
      <c r="I93" s="541"/>
      <c r="J93" s="541"/>
      <c r="K93" s="541"/>
      <c r="L93" s="61"/>
      <c r="M93" s="541"/>
      <c r="N93" s="541"/>
      <c r="O93" s="61"/>
      <c r="P93" s="1042"/>
    </row>
    <row r="94" ht="130.05" customHeight="1">
      <c r="A94" s="1039"/>
      <c r="B94" s="542"/>
      <c r="C94" t="s" s="543">
        <f>IF(LEFT(RIGHT($B$1,2),1)=" ",RIGHT($B$1,1),RIGHT($B$1,2))</f>
        <v>267</v>
      </c>
      <c r="D94" s="550">
        <f>IF(LEFT(F94,14)="Bonne pratique",D93+1,D93)</f>
      </c>
      <c r="E94" s="566">
        <f>C94&amp;D94&amp;RIGHT(F94,1)</f>
      </c>
      <c r="F94" t="s" s="546">
        <v>1769</v>
      </c>
      <c r="G94" s="567">
        <f>_xlfn.IFERROR(IF(VLOOKUP($E94,'BDD'!$A$1:$S$567,MATCH(G$10,'BDD'!$A$1:$P$1,0),FALSE)=0,"",VLOOKUP($E94,'BDD'!$A$1:$S$567,MATCH(G$10,'BDD'!$A$1:$P$1,0),FALSE)),"")</f>
      </c>
      <c r="H94" s="568">
        <f>IF(VLOOKUP(E94,'BDD'!$A$1:$S$567,15,FALSE)=0,"Critère non évalué","")</f>
      </c>
      <c r="I94" s="569">
        <f>_xlfn.IFERROR(IF(VLOOKUP($E94,'BDD'!$A$1:$S$567,MATCH(I$10,'BDD'!$A$1:$P$1,0),FALSE)=0,"",VLOOKUP($E94,'BDD'!$A$1:$S$567,MATCH(I$10,'BDD'!$A$1:$P$1,0),FALSE)),"")</f>
      </c>
      <c r="J94" s="549"/>
      <c r="K94" s="567">
        <f>_xlfn.IFERROR(IF(VLOOKUP($E94,'BDD'!$A$1:$S$567,MATCH(K$10,'BDD'!$A$1:$P$1,0),FALSE)=0,"",VLOOKUP($E94,'BDD'!$A$1:$S$567,MATCH(K$10,'BDD'!$A$1:$P$1,0),FALSE)),"")</f>
      </c>
      <c r="L94" s="550"/>
      <c r="M94" s="551"/>
      <c r="N94" s="551"/>
      <c r="O94" s="534"/>
      <c r="P94" s="1042"/>
    </row>
    <row r="95" ht="130.05" customHeight="1">
      <c r="A95" s="1039"/>
      <c r="B95" s="542"/>
      <c r="C95" t="s" s="543">
        <f>IF(LEFT(RIGHT($B$1,2),1)=" ",RIGHT($B$1,1),RIGHT($B$1,2))</f>
        <v>267</v>
      </c>
      <c r="D95" s="550">
        <f>IF(LEFT(F95,14)="Bonne pratique",D94+1,D94)</f>
      </c>
      <c r="E95" s="566">
        <f>C95&amp;D95&amp;RIGHT(F95,1)</f>
      </c>
      <c r="F95" t="s" s="552">
        <v>1772</v>
      </c>
      <c r="G95" s="557">
        <f>_xlfn.IFERROR(IF(VLOOKUP($E95,'BDD'!$A$1:$S$567,MATCH(G$10,'BDD'!$A$1:$P$1,0),FALSE)=0,"",VLOOKUP($E95,'BDD'!$A$1:$S$567,MATCH(G$10,'BDD'!$A$1:$P$1,0),FALSE)),"")</f>
      </c>
      <c r="H95" s="570">
        <f>IF(VLOOKUP(E95,'BDD'!$A$1:$S$567,15,FALSE)=0,"Critère non évalué","")</f>
      </c>
      <c r="I95" s="571">
        <f>_xlfn.IFERROR(IF(VLOOKUP($E95,'BDD'!$A$1:$S$567,MATCH(I$10,'BDD'!$A$1:$P$1,0),FALSE)=0,"",VLOOKUP($E95,'BDD'!$A$1:$S$567,MATCH(I$10,'BDD'!$A$1:$P$1,0),FALSE)),"")</f>
      </c>
      <c r="J95" s="554"/>
      <c r="K95" s="557">
        <f>_xlfn.IFERROR(IF(VLOOKUP($E95,'BDD'!$A$1:$S$567,MATCH(K$10,'BDD'!$A$1:$P$1,0),FALSE)=0,"",VLOOKUP($E95,'BDD'!$A$1:$S$567,MATCH(K$10,'BDD'!$A$1:$P$1,0),FALSE)),"")</f>
      </c>
      <c r="L95" s="550"/>
      <c r="M95" s="555"/>
      <c r="N95" s="555"/>
      <c r="O95" s="534"/>
      <c r="P95" s="1042"/>
    </row>
    <row r="96" ht="130.05" customHeight="1">
      <c r="A96" s="1039"/>
      <c r="B96" s="542"/>
      <c r="C96" t="s" s="543">
        <f>IF(LEFT(RIGHT($B$1,2),1)=" ",RIGHT($B$1,1),RIGHT($B$1,2))</f>
        <v>267</v>
      </c>
      <c r="D96" s="550">
        <f>IF(LEFT(F96,14)="Bonne pratique",D95+1,D95)</f>
      </c>
      <c r="E96" s="566">
        <f>C96&amp;D96&amp;RIGHT(F96,1)</f>
      </c>
      <c r="F96" t="s" s="546">
        <v>1774</v>
      </c>
      <c r="G96" s="567">
        <f>_xlfn.IFERROR(IF(VLOOKUP($E96,'BDD'!$A$1:$S$567,MATCH(G$10,'BDD'!$A$1:$P$1,0),FALSE)=0,"",VLOOKUP($E96,'BDD'!$A$1:$S$567,MATCH(G$10,'BDD'!$A$1:$P$1,0),FALSE)),"")</f>
      </c>
      <c r="H96" s="568">
        <f>IF(VLOOKUP(E96,'BDD'!$A$1:$S$567,15,FALSE)=0,"Critère non évalué","")</f>
      </c>
      <c r="I96" s="569">
        <f>_xlfn.IFERROR(IF(VLOOKUP($E96,'BDD'!$A$1:$S$567,MATCH(I$10,'BDD'!$A$1:$P$1,0),FALSE)=0,"",VLOOKUP($E96,'BDD'!$A$1:$S$567,MATCH(I$10,'BDD'!$A$1:$P$1,0),FALSE)),"")</f>
      </c>
      <c r="J96" s="549"/>
      <c r="K96" s="567">
        <f>_xlfn.IFERROR(IF(VLOOKUP($E96,'BDD'!$A$1:$S$567,MATCH(K$10,'BDD'!$A$1:$P$1,0),FALSE)=0,"",VLOOKUP($E96,'BDD'!$A$1:$S$567,MATCH(K$10,'BDD'!$A$1:$P$1,0),FALSE)),"")</f>
      </c>
      <c r="L96" s="550"/>
      <c r="M96" s="551"/>
      <c r="N96" s="551"/>
      <c r="O96" s="534"/>
      <c r="P96" s="1042"/>
    </row>
    <row r="97" ht="130.05" customHeight="1">
      <c r="A97" s="1039"/>
      <c r="B97" s="542"/>
      <c r="C97" t="s" s="543">
        <f>IF(LEFT(RIGHT($B$1,2),1)=" ",RIGHT($B$1,1),RIGHT($B$1,2))</f>
        <v>267</v>
      </c>
      <c r="D97" s="550">
        <f>IF(LEFT(F97,14)="Bonne pratique",D96+1,D96)</f>
      </c>
      <c r="E97" s="566">
        <f>C97&amp;D97&amp;RIGHT(F97,1)</f>
      </c>
      <c r="F97" t="s" s="552">
        <v>1776</v>
      </c>
      <c r="G97" s="557">
        <f>_xlfn.IFERROR(IF(VLOOKUP($E97,'BDD'!$A$1:$S$567,MATCH(G$10,'BDD'!$A$1:$P$1,0),FALSE)=0,"",VLOOKUP($E97,'BDD'!$A$1:$S$567,MATCH(G$10,'BDD'!$A$1:$P$1,0),FALSE)),"")</f>
      </c>
      <c r="H97" s="570">
        <f>IF(VLOOKUP(E97,'BDD'!$A$1:$S$567,15,FALSE)=0,"Critère non évalué","")</f>
      </c>
      <c r="I97" s="571">
        <f>_xlfn.IFERROR(IF(VLOOKUP($E97,'BDD'!$A$1:$S$567,MATCH(I$10,'BDD'!$A$1:$P$1,0),FALSE)=0,"",VLOOKUP($E97,'BDD'!$A$1:$S$567,MATCH(I$10,'BDD'!$A$1:$P$1,0),FALSE)),"")</f>
      </c>
      <c r="J97" s="556"/>
      <c r="K97" s="557">
        <f>_xlfn.IFERROR(IF(VLOOKUP($E97,'BDD'!$A$1:$S$567,MATCH(K$10,'BDD'!$A$1:$P$1,0),FALSE)=0,"",VLOOKUP($E97,'BDD'!$A$1:$S$567,MATCH(K$10,'BDD'!$A$1:$P$1,0),FALSE)),"")</f>
      </c>
      <c r="L97" s="550"/>
      <c r="M97" s="555"/>
      <c r="N97" s="555"/>
      <c r="O97" s="534"/>
      <c r="P97" s="1042"/>
    </row>
    <row r="98" ht="130.05" customHeight="1" hidden="1">
      <c r="A98" s="1039"/>
      <c r="B98" s="542"/>
      <c r="C98" t="s" s="543">
        <f>IF(LEFT(RIGHT($B$1,2),1)=" ",RIGHT($B$1,1),RIGHT($B$1,2))</f>
        <v>267</v>
      </c>
      <c r="D98" s="550">
        <f>IF(LEFT(F98,14)="Bonne pratique",D97+1,D97)</f>
      </c>
      <c r="E98" s="566">
        <f>C98&amp;D98&amp;RIGHT(F98,1)</f>
      </c>
      <c r="F98" t="s" s="546">
        <v>1778</v>
      </c>
      <c r="G98" s="567">
        <f>_xlfn.IFERROR(IF(VLOOKUP($E98,'BDD'!$A$1:$S$567,MATCH(G$10,'BDD'!$A$1:$P$1,0),FALSE)=0,"",VLOOKUP($E98,'BDD'!$A$1:$S$567,MATCH(G$10,'BDD'!$A$1:$P$1,0),FALSE)),"")</f>
      </c>
      <c r="H98" s="568">
        <f>IF(VLOOKUP(E98,'BDD'!$A$1:$S$567,15,FALSE)=0,"Critère non évalué","")</f>
      </c>
      <c r="I98" s="569">
        <f>_xlfn.IFERROR(IF(VLOOKUP($E98,'BDD'!$A$1:$S$567,MATCH(I$10,'BDD'!$A$1:$P$1,0),FALSE)=0,"",VLOOKUP($E98,'BDD'!$A$1:$S$567,MATCH(I$10,'BDD'!$A$1:$P$1,0),FALSE)),"")</f>
      </c>
      <c r="J98" s="549"/>
      <c r="K98" s="567">
        <f>_xlfn.IFERROR(IF(VLOOKUP($E98,'BDD'!$A$1:$S$567,MATCH(K$10,'BDD'!$A$1:$P$1,0),FALSE)=0,"",VLOOKUP($E98,'BDD'!$A$1:$S$567,MATCH(K$10,'BDD'!$A$1:$P$1,0),FALSE)),"")</f>
      </c>
      <c r="L98" s="550"/>
      <c r="M98" s="557"/>
      <c r="N98" s="557"/>
      <c r="O98" s="534"/>
      <c r="P98" s="1042"/>
    </row>
    <row r="99" ht="130.05" customHeight="1" hidden="1">
      <c r="A99" s="1039"/>
      <c r="B99" s="542"/>
      <c r="C99" t="s" s="543">
        <f>IF(LEFT(RIGHT($B$1,2),1)=" ",RIGHT($B$1,1),RIGHT($B$1,2))</f>
        <v>267</v>
      </c>
      <c r="D99" s="550">
        <f>IF(LEFT(F99,14)="Bonne pratique",D98+1,D98)</f>
      </c>
      <c r="E99" s="566">
        <f>C99&amp;D99&amp;RIGHT(F99,1)</f>
      </c>
      <c r="F99" t="s" s="552">
        <v>1780</v>
      </c>
      <c r="G99" s="557">
        <f>_xlfn.IFERROR(IF(VLOOKUP($E99,'BDD'!$A$1:$S$567,MATCH(G$10,'BDD'!$A$1:$P$1,0),FALSE)=0,"",VLOOKUP($E99,'BDD'!$A$1:$S$567,MATCH(G$10,'BDD'!$A$1:$P$1,0),FALSE)),"")</f>
      </c>
      <c r="H99" s="570">
        <f>IF(VLOOKUP(E99,'BDD'!$A$1:$S$567,15,FALSE)=0,"Critère non évalué","")</f>
      </c>
      <c r="I99" s="571">
        <f>_xlfn.IFERROR(IF(VLOOKUP($E99,'BDD'!$A$1:$S$567,MATCH(I$10,'BDD'!$A$1:$P$1,0),FALSE)=0,"",VLOOKUP($E99,'BDD'!$A$1:$S$567,MATCH(I$10,'BDD'!$A$1:$P$1,0),FALSE)),"")</f>
      </c>
      <c r="J99" s="556"/>
      <c r="K99" s="557">
        <f>_xlfn.IFERROR(IF(VLOOKUP($E99,'BDD'!$A$1:$S$567,MATCH(K$10,'BDD'!$A$1:$P$1,0),FALSE)=0,"",VLOOKUP($E99,'BDD'!$A$1:$S$567,MATCH(K$10,'BDD'!$A$1:$P$1,0),FALSE)),"")</f>
      </c>
      <c r="L99" s="550"/>
      <c r="M99" s="555"/>
      <c r="N99" s="555"/>
      <c r="O99" s="534"/>
      <c r="P99" s="1042"/>
    </row>
    <row r="100" ht="130.05" customHeight="1" hidden="1">
      <c r="A100" s="1039"/>
      <c r="B100" s="542"/>
      <c r="C100" t="s" s="543">
        <f>IF(LEFT(RIGHT($B$1,2),1)=" ",RIGHT($B$1,1),RIGHT($B$1,2))</f>
        <v>267</v>
      </c>
      <c r="D100" s="550">
        <f>IF(LEFT(F100,14)="Bonne pratique",D99+1,D99)</f>
      </c>
      <c r="E100" s="566">
        <f>C100&amp;D100&amp;RIGHT(F100,1)</f>
      </c>
      <c r="F100" t="s" s="546">
        <v>1782</v>
      </c>
      <c r="G100" s="567">
        <f>_xlfn.IFERROR(IF(VLOOKUP($E100,'BDD'!$A$1:$S$567,MATCH(G$10,'BDD'!$A$1:$P$1,0),FALSE)=0,"",VLOOKUP($E100,'BDD'!$A$1:$S$567,MATCH(G$10,'BDD'!$A$1:$P$1,0),FALSE)),"")</f>
      </c>
      <c r="H100" s="568">
        <f>IF(VLOOKUP(E100,'BDD'!$A$1:$S$567,15,FALSE)=0,"Critère non évalué","")</f>
      </c>
      <c r="I100" s="569">
        <f>_xlfn.IFERROR(IF(VLOOKUP($E100,'BDD'!$A$1:$S$567,MATCH(I$10,'BDD'!$A$1:$P$1,0),FALSE)=0,"",VLOOKUP($E100,'BDD'!$A$1:$S$567,MATCH(I$10,'BDD'!$A$1:$P$1,0),FALSE)),"")</f>
      </c>
      <c r="J100" s="549"/>
      <c r="K100" s="567">
        <f>_xlfn.IFERROR(IF(VLOOKUP($E100,'BDD'!$A$1:$S$567,MATCH(K$10,'BDD'!$A$1:$P$1,0),FALSE)=0,"",VLOOKUP($E100,'BDD'!$A$1:$S$567,MATCH(K$10,'BDD'!$A$1:$P$1,0),FALSE)),"")</f>
      </c>
      <c r="L100" s="550"/>
      <c r="M100" s="557"/>
      <c r="N100" s="557"/>
      <c r="O100" s="534"/>
      <c r="P100" s="1042"/>
    </row>
    <row r="101" ht="14.4" customHeight="1" hidden="1">
      <c r="A101" s="1039"/>
      <c r="B101" s="61"/>
      <c r="C101" t="s" s="513">
        <f>IF(LEFT(RIGHT($B$1,2),1)=" ",RIGHT($B$1,1),RIGHT($B$1,2))</f>
        <v>267</v>
      </c>
      <c r="D101" s="61"/>
      <c r="E101" s="61"/>
      <c r="F101" s="541"/>
      <c r="G101" s="541"/>
      <c r="H101" s="541"/>
      <c r="I101" s="541"/>
      <c r="J101" s="541"/>
      <c r="K101" s="541"/>
      <c r="L101" s="61"/>
      <c r="M101" s="541"/>
      <c r="N101" s="541"/>
      <c r="O101" s="61"/>
      <c r="P101" s="1042"/>
    </row>
    <row r="102" ht="14.4" customHeight="1" hidden="1">
      <c r="A102" s="1039"/>
      <c r="B102" s="61"/>
      <c r="C102" t="s" s="513">
        <f>IF(LEFT(RIGHT($B$1,2),1)=" ",RIGHT($B$1,1),RIGHT($B$1,2))</f>
        <v>267</v>
      </c>
      <c r="D102" s="61"/>
      <c r="E102" s="61"/>
      <c r="F102" s="541"/>
      <c r="G102" s="541"/>
      <c r="H102" s="541"/>
      <c r="I102" s="541"/>
      <c r="J102" s="541"/>
      <c r="K102" s="541"/>
      <c r="L102" s="61"/>
      <c r="M102" s="541"/>
      <c r="N102" s="541"/>
      <c r="O102" s="61"/>
      <c r="P102" s="1042"/>
    </row>
    <row r="103" ht="30" customHeight="1" hidden="1">
      <c r="A103" s="1043"/>
      <c r="B103" s="512"/>
      <c r="C103" t="s" s="513">
        <f>IF(LEFT(RIGHT($B$1,2),1)=" ",RIGHT($B$1,1),RIGHT($B$1,2))</f>
        <v>267</v>
      </c>
      <c r="D103" s="61">
        <f>IF(LEFT(F103,14)="Bonne pratique",D99+1,D99)</f>
      </c>
      <c r="E103" s="565">
        <f>C103&amp;D103&amp;RIGHT(F103,1)</f>
      </c>
      <c r="F103" t="s" s="828">
        <v>1888</v>
      </c>
      <c r="G103" s="829"/>
      <c r="H103" s="830"/>
      <c r="I103" s="831"/>
      <c r="J103" s="831">
        <f>VLOOKUP(E110,'BDD'!$A$2:$N$567,6,FALSE)</f>
      </c>
      <c r="K103" s="832"/>
      <c r="L103" s="517"/>
      <c r="M103" s="829"/>
      <c r="N103" s="829"/>
      <c r="O103" s="512"/>
      <c r="P103" s="1044"/>
    </row>
    <row r="104" ht="9" customHeight="1" hidden="1">
      <c r="A104" s="1039"/>
      <c r="B104" s="61"/>
      <c r="C104" t="s" s="513">
        <f>IF(LEFT(RIGHT($B$1,2),1)=" ",RIGHT($B$1,1),RIGHT($B$1,2))</f>
        <v>267</v>
      </c>
      <c r="D104" s="61">
        <f>IF(LEFT(F104,14)="Bonne pratique",D103+1,D103)</f>
      </c>
      <c r="E104" s="565">
        <f>C104&amp;D104&amp;RIGHT(F104,1)</f>
      </c>
      <c r="F104" s="541"/>
      <c r="G104" s="541"/>
      <c r="H104" s="541"/>
      <c r="I104" s="541"/>
      <c r="J104" s="541"/>
      <c r="K104" s="541"/>
      <c r="L104" s="61"/>
      <c r="M104" s="541"/>
      <c r="N104" s="541"/>
      <c r="O104" s="61"/>
      <c r="P104" s="1042"/>
    </row>
    <row r="105" ht="18" customHeight="1" hidden="1">
      <c r="A105" s="1045"/>
      <c r="B105" s="524"/>
      <c r="C105" t="s" s="513">
        <f>IF(LEFT(RIGHT($B$1,2),1)=" ",RIGHT($B$1,1),RIGHT($B$1,2))</f>
        <v>267</v>
      </c>
      <c r="D105" s="61">
        <f>IF(LEFT(F105,14)="Bonne pratique",D104+1,D104)</f>
      </c>
      <c r="E105" s="565">
        <f>C105&amp;D105&amp;RIGHT(F105,1)</f>
      </c>
      <c r="F105" s="833"/>
      <c r="G105" s="833"/>
      <c r="H105" s="833"/>
      <c r="I105" s="834"/>
      <c r="J105" s="835"/>
      <c r="K105" s="834"/>
      <c r="L105" s="524"/>
      <c r="M105" s="833"/>
      <c r="N105" s="833"/>
      <c r="O105" s="524"/>
      <c r="P105" s="1046"/>
    </row>
    <row r="106" ht="18" customHeight="1" hidden="1">
      <c r="A106" s="1039"/>
      <c r="B106" s="61"/>
      <c r="C106" t="s" s="513">
        <f>IF(LEFT(RIGHT($B$1,2),1)=" ",RIGHT($B$1,1),RIGHT($B$1,2))</f>
        <v>267</v>
      </c>
      <c r="D106" s="61">
        <f>IF(LEFT(F106,14)="Bonne pratique",D105+1,D105)</f>
      </c>
      <c r="E106" s="565">
        <f>C106&amp;D106&amp;RIGHT(F106,1)</f>
      </c>
      <c r="F106" s="541"/>
      <c r="G106" s="541"/>
      <c r="H106" s="541"/>
      <c r="I106" s="541"/>
      <c r="J106" s="836"/>
      <c r="K106" s="541"/>
      <c r="L106" s="61"/>
      <c r="M106" s="541"/>
      <c r="N106" s="541"/>
      <c r="O106" s="61"/>
      <c r="P106" s="1042"/>
    </row>
    <row r="107" ht="9" customHeight="1" hidden="1">
      <c r="A107" s="1039"/>
      <c r="B107" s="61"/>
      <c r="C107" t="s" s="513">
        <f>IF(LEFT(RIGHT($B$1,2),1)=" ",RIGHT($B$1,1),RIGHT($B$1,2))</f>
        <v>267</v>
      </c>
      <c r="D107" s="61">
        <f>IF(LEFT(F107,14)="Bonne pratique",D106+1,D106)</f>
      </c>
      <c r="E107" s="565">
        <f>C107&amp;D107&amp;RIGHT(F107,1)</f>
      </c>
      <c r="F107" s="541"/>
      <c r="G107" s="541"/>
      <c r="H107" s="541"/>
      <c r="I107" s="541"/>
      <c r="J107" s="837"/>
      <c r="K107" s="541"/>
      <c r="L107" s="542"/>
      <c r="M107" t="s" s="562">
        <v>1763</v>
      </c>
      <c r="N107" s="563"/>
      <c r="O107" s="534"/>
      <c r="P107" s="1042"/>
    </row>
    <row r="108" ht="33" customHeight="1" hidden="1">
      <c r="A108" s="1039"/>
      <c r="B108" s="61"/>
      <c r="C108" t="s" s="513">
        <f>IF(LEFT(RIGHT($B$1,2),1)=" ",RIGHT($B$1,1),RIGHT($B$1,2))</f>
        <v>267</v>
      </c>
      <c r="D108" s="61">
        <f>IF(LEFT(F108,14)="Bonne pratique",D107+1,D107)</f>
      </c>
      <c r="E108" s="565">
        <f>C108&amp;D108&amp;RIGHT(F108,1)</f>
      </c>
      <c r="F108" s="838"/>
      <c r="G108" t="s" s="536">
        <v>244</v>
      </c>
      <c r="H108" t="s" s="536">
        <v>1764</v>
      </c>
      <c r="I108" t="s" s="536">
        <v>1787</v>
      </c>
      <c r="J108" t="s" s="536">
        <v>1765</v>
      </c>
      <c r="K108" t="s" s="536">
        <v>1788</v>
      </c>
      <c r="L108" s="538"/>
      <c r="M108" t="s" s="539">
        <v>1766</v>
      </c>
      <c r="N108" t="s" s="540">
        <v>1767</v>
      </c>
      <c r="O108" s="534"/>
      <c r="P108" s="1042"/>
    </row>
    <row r="109" ht="9" customHeight="1" hidden="1">
      <c r="A109" s="1039"/>
      <c r="B109" s="61"/>
      <c r="C109" t="s" s="513">
        <f>IF(LEFT(RIGHT($B$1,2),1)=" ",RIGHT($B$1,1),RIGHT($B$1,2))</f>
        <v>267</v>
      </c>
      <c r="D109" s="61">
        <f>IF(LEFT(F109,14)="Bonne pratique",D108+1,D108)</f>
      </c>
      <c r="E109" s="565">
        <f>C109&amp;D109&amp;RIGHT(F109,1)</f>
      </c>
      <c r="F109" s="541"/>
      <c r="G109" s="541"/>
      <c r="H109" s="541"/>
      <c r="I109" s="541"/>
      <c r="J109" s="541"/>
      <c r="K109" s="541"/>
      <c r="L109" s="61"/>
      <c r="M109" s="541"/>
      <c r="N109" s="541"/>
      <c r="O109" s="61"/>
      <c r="P109" s="1042"/>
    </row>
    <row r="110" ht="130.05" customHeight="1" hidden="1">
      <c r="A110" s="1039"/>
      <c r="B110" s="542"/>
      <c r="C110" t="s" s="543">
        <f>IF(LEFT(RIGHT($B$1,2),1)=" ",RIGHT($B$1,1),RIGHT($B$1,2))</f>
        <v>267</v>
      </c>
      <c r="D110" s="550">
        <f>IF(LEFT(F110,14)="Bonne pratique",D109+1,D109)</f>
      </c>
      <c r="E110" s="566">
        <f>C110&amp;D110&amp;RIGHT(F110,1)</f>
      </c>
      <c r="F110" t="s" s="546">
        <v>1769</v>
      </c>
      <c r="G110" s="567">
        <f>_xlfn.IFERROR(IF(VLOOKUP($E110,'BDD'!$A$1:$S$567,MATCH(G$10,'BDD'!$A$1:$P$1,0),FALSE)=0,"",VLOOKUP($E110,'BDD'!$A$1:$S$567,MATCH(G$10,'BDD'!$A$1:$P$1,0),FALSE)),"")</f>
      </c>
      <c r="H110" s="568">
        <f>IF(VLOOKUP(E110,'BDD'!$A$1:$S$567,15,FALSE)=0,"Critère non évalué","")</f>
      </c>
      <c r="I110" s="569">
        <f>_xlfn.IFERROR(IF(VLOOKUP($E110,'BDD'!$A$1:$S$567,MATCH(I$10,'BDD'!$A$1:$P$1,0),FALSE)=0,"",VLOOKUP($E110,'BDD'!$A$1:$S$567,MATCH(I$10,'BDD'!$A$1:$P$1,0),FALSE)),"")</f>
      </c>
      <c r="J110" s="549"/>
      <c r="K110" s="567">
        <f>_xlfn.IFERROR(IF(VLOOKUP($E110,'BDD'!$A$1:$S$567,MATCH(K$10,'BDD'!$A$1:$P$1,0),FALSE)=0,"",VLOOKUP($E110,'BDD'!$A$1:$S$567,MATCH(K$10,'BDD'!$A$1:$P$1,0),FALSE)),"")</f>
      </c>
      <c r="L110" s="550"/>
      <c r="M110" s="551"/>
      <c r="N110" s="551"/>
      <c r="O110" s="534"/>
      <c r="P110" s="1042"/>
    </row>
    <row r="111" ht="130.05" customHeight="1" hidden="1">
      <c r="A111" s="1039"/>
      <c r="B111" s="542"/>
      <c r="C111" t="s" s="543">
        <f>IF(LEFT(RIGHT($B$1,2),1)=" ",RIGHT($B$1,1),RIGHT($B$1,2))</f>
        <v>267</v>
      </c>
      <c r="D111" s="550">
        <f>IF(LEFT(F111,14)="Bonne pratique",D110+1,D110)</f>
      </c>
      <c r="E111" s="566">
        <f>C111&amp;D111&amp;RIGHT(F111,1)</f>
      </c>
      <c r="F111" t="s" s="552">
        <v>1772</v>
      </c>
      <c r="G111" s="557">
        <f>_xlfn.IFERROR(IF(VLOOKUP($E111,'BDD'!$A$1:$S$567,MATCH(G$10,'BDD'!$A$1:$P$1,0),FALSE)=0,"",VLOOKUP($E111,'BDD'!$A$1:$S$567,MATCH(G$10,'BDD'!$A$1:$P$1,0),FALSE)),"")</f>
      </c>
      <c r="H111" s="570">
        <f>IF(VLOOKUP(E111,'BDD'!$A$1:$S$567,15,FALSE)=0,"Critère non évalué","")</f>
      </c>
      <c r="I111" s="571">
        <f>_xlfn.IFERROR(IF(VLOOKUP($E111,'BDD'!$A$1:$S$567,MATCH(I$10,'BDD'!$A$1:$P$1,0),FALSE)=0,"",VLOOKUP($E111,'BDD'!$A$1:$S$567,MATCH(I$10,'BDD'!$A$1:$P$1,0),FALSE)),"")</f>
      </c>
      <c r="J111" s="554"/>
      <c r="K111" s="557">
        <f>_xlfn.IFERROR(IF(VLOOKUP($E111,'BDD'!$A$1:$S$567,MATCH(K$10,'BDD'!$A$1:$P$1,0),FALSE)=0,"",VLOOKUP($E111,'BDD'!$A$1:$S$567,MATCH(K$10,'BDD'!$A$1:$P$1,0),FALSE)),"")</f>
      </c>
      <c r="L111" s="550"/>
      <c r="M111" s="555"/>
      <c r="N111" s="555"/>
      <c r="O111" s="534"/>
      <c r="P111" s="1042"/>
    </row>
    <row r="112" ht="130.05" customHeight="1" hidden="1">
      <c r="A112" s="1039"/>
      <c r="B112" s="542"/>
      <c r="C112" t="s" s="543">
        <f>IF(LEFT(RIGHT($B$1,2),1)=" ",RIGHT($B$1,1),RIGHT($B$1,2))</f>
        <v>267</v>
      </c>
      <c r="D112" s="550">
        <f>IF(LEFT(F112,14)="Bonne pratique",D111+1,D111)</f>
      </c>
      <c r="E112" s="566">
        <f>C112&amp;D112&amp;RIGHT(F112,1)</f>
      </c>
      <c r="F112" t="s" s="546">
        <v>1774</v>
      </c>
      <c r="G112" s="567">
        <f>_xlfn.IFERROR(IF(VLOOKUP($E112,'BDD'!$A$1:$S$567,MATCH(G$10,'BDD'!$A$1:$P$1,0),FALSE)=0,"",VLOOKUP($E112,'BDD'!$A$1:$S$567,MATCH(G$10,'BDD'!$A$1:$P$1,0),FALSE)),"")</f>
      </c>
      <c r="H112" s="568">
        <f>IF(VLOOKUP(E112,'BDD'!$A$1:$S$567,15,FALSE)=0,"Critère non évalué","")</f>
      </c>
      <c r="I112" s="569">
        <f>_xlfn.IFERROR(IF(VLOOKUP($E112,'BDD'!$A$1:$S$567,MATCH(I$10,'BDD'!$A$1:$P$1,0),FALSE)=0,"",VLOOKUP($E112,'BDD'!$A$1:$S$567,MATCH(I$10,'BDD'!$A$1:$P$1,0),FALSE)),"")</f>
      </c>
      <c r="J112" s="549"/>
      <c r="K112" s="567">
        <f>_xlfn.IFERROR(IF(VLOOKUP($E112,'BDD'!$A$1:$S$567,MATCH(K$10,'BDD'!$A$1:$P$1,0),FALSE)=0,"",VLOOKUP($E112,'BDD'!$A$1:$S$567,MATCH(K$10,'BDD'!$A$1:$P$1,0),FALSE)),"")</f>
      </c>
      <c r="L112" s="550"/>
      <c r="M112" s="551"/>
      <c r="N112" s="551"/>
      <c r="O112" s="534"/>
      <c r="P112" s="1042"/>
    </row>
    <row r="113" ht="130.05" customHeight="1" hidden="1">
      <c r="A113" s="1039"/>
      <c r="B113" s="542"/>
      <c r="C113" t="s" s="543">
        <f>IF(LEFT(RIGHT($B$1,2),1)=" ",RIGHT($B$1,1),RIGHT($B$1,2))</f>
        <v>267</v>
      </c>
      <c r="D113" s="550">
        <f>IF(LEFT(F113,14)="Bonne pratique",D112+1,D112)</f>
      </c>
      <c r="E113" s="566">
        <f>C113&amp;D113&amp;RIGHT(F113,1)</f>
      </c>
      <c r="F113" t="s" s="552">
        <v>1776</v>
      </c>
      <c r="G113" s="557">
        <f>_xlfn.IFERROR(IF(VLOOKUP($E113,'BDD'!$A$1:$S$567,MATCH(G$10,'BDD'!$A$1:$P$1,0),FALSE)=0,"",VLOOKUP($E113,'BDD'!$A$1:$S$567,MATCH(G$10,'BDD'!$A$1:$P$1,0),FALSE)),"")</f>
      </c>
      <c r="H113" s="570">
        <f>IF(VLOOKUP(E113,'BDD'!$A$1:$S$567,15,FALSE)=0,"Critère non évalué","")</f>
      </c>
      <c r="I113" s="571">
        <f>_xlfn.IFERROR(IF(VLOOKUP($E113,'BDD'!$A$1:$S$567,MATCH(I$10,'BDD'!$A$1:$P$1,0),FALSE)=0,"",VLOOKUP($E113,'BDD'!$A$1:$S$567,MATCH(I$10,'BDD'!$A$1:$P$1,0),FALSE)),"")</f>
      </c>
      <c r="J113" s="556"/>
      <c r="K113" s="557">
        <f>_xlfn.IFERROR(IF(VLOOKUP($E113,'BDD'!$A$1:$S$567,MATCH(K$10,'BDD'!$A$1:$P$1,0),FALSE)=0,"",VLOOKUP($E113,'BDD'!$A$1:$S$567,MATCH(K$10,'BDD'!$A$1:$P$1,0),FALSE)),"")</f>
      </c>
      <c r="L113" s="550"/>
      <c r="M113" s="555"/>
      <c r="N113" s="555"/>
      <c r="O113" s="534"/>
      <c r="P113" s="1042"/>
    </row>
    <row r="114" ht="130.05" customHeight="1" hidden="1">
      <c r="A114" s="1039"/>
      <c r="B114" s="542"/>
      <c r="C114" t="s" s="543">
        <f>IF(LEFT(RIGHT($B$1,2),1)=" ",RIGHT($B$1,1),RIGHT($B$1,2))</f>
        <v>267</v>
      </c>
      <c r="D114" s="550">
        <f>IF(LEFT(F114,14)="Bonne pratique",D113+1,D113)</f>
      </c>
      <c r="E114" s="566">
        <f>C114&amp;D114&amp;RIGHT(F114,1)</f>
      </c>
      <c r="F114" t="s" s="546">
        <v>1778</v>
      </c>
      <c r="G114" s="567">
        <f>_xlfn.IFERROR(IF(VLOOKUP($E114,'BDD'!$A$1:$S$567,MATCH(G$10,'BDD'!$A$1:$P$1,0),FALSE)=0,"",VLOOKUP($E114,'BDD'!$A$1:$S$567,MATCH(G$10,'BDD'!$A$1:$P$1,0),FALSE)),"")</f>
      </c>
      <c r="H114" s="568">
        <f>IF(VLOOKUP(E114,'BDD'!$A$1:$S$567,15,FALSE)=0,"Critère non évalué","")</f>
      </c>
      <c r="I114" s="569">
        <f>_xlfn.IFERROR(IF(VLOOKUP($E114,'BDD'!$A$1:$S$567,MATCH(I$10,'BDD'!$A$1:$P$1,0),FALSE)=0,"",VLOOKUP($E114,'BDD'!$A$1:$S$567,MATCH(I$10,'BDD'!$A$1:$P$1,0),FALSE)),"")</f>
      </c>
      <c r="J114" s="549"/>
      <c r="K114" s="567">
        <f>_xlfn.IFERROR(IF(VLOOKUP($E114,'BDD'!$A$1:$S$567,MATCH(K$10,'BDD'!$A$1:$P$1,0),FALSE)=0,"",VLOOKUP($E114,'BDD'!$A$1:$S$567,MATCH(K$10,'BDD'!$A$1:$P$1,0),FALSE)),"")</f>
      </c>
      <c r="L114" s="550"/>
      <c r="M114" s="557"/>
      <c r="N114" s="557"/>
      <c r="O114" s="534"/>
      <c r="P114" s="1042"/>
    </row>
    <row r="115" ht="130.05" customHeight="1" hidden="1">
      <c r="A115" s="1039"/>
      <c r="B115" s="542"/>
      <c r="C115" t="s" s="543">
        <f>IF(LEFT(RIGHT($B$1,2),1)=" ",RIGHT($B$1,1),RIGHT($B$1,2))</f>
        <v>267</v>
      </c>
      <c r="D115" s="550">
        <f>IF(LEFT(F115,14)="Bonne pratique",D114+1,D114)</f>
      </c>
      <c r="E115" s="566">
        <f>C115&amp;D115&amp;RIGHT(F115,1)</f>
      </c>
      <c r="F115" t="s" s="552">
        <v>1780</v>
      </c>
      <c r="G115" s="557">
        <f>_xlfn.IFERROR(IF(VLOOKUP($E115,'BDD'!$A$1:$S$567,MATCH(G$10,'BDD'!$A$1:$P$1,0),FALSE)=0,"",VLOOKUP($E115,'BDD'!$A$1:$S$567,MATCH(G$10,'BDD'!$A$1:$P$1,0),FALSE)),"")</f>
      </c>
      <c r="H115" s="570">
        <f>IF(VLOOKUP(E115,'BDD'!$A$1:$S$567,15,FALSE)=0,"Critère non évalué","")</f>
      </c>
      <c r="I115" s="571">
        <f>_xlfn.IFERROR(IF(VLOOKUP($E115,'BDD'!$A$1:$S$567,MATCH(I$10,'BDD'!$A$1:$P$1,0),FALSE)=0,"",VLOOKUP($E115,'BDD'!$A$1:$S$567,MATCH(I$10,'BDD'!$A$1:$P$1,0),FALSE)),"")</f>
      </c>
      <c r="J115" s="556"/>
      <c r="K115" s="557">
        <f>_xlfn.IFERROR(IF(VLOOKUP($E115,'BDD'!$A$1:$S$567,MATCH(K$10,'BDD'!$A$1:$P$1,0),FALSE)=0,"",VLOOKUP($E115,'BDD'!$A$1:$S$567,MATCH(K$10,'BDD'!$A$1:$P$1,0),FALSE)),"")</f>
      </c>
      <c r="L115" s="550"/>
      <c r="M115" s="555"/>
      <c r="N115" s="555"/>
      <c r="O115" s="534"/>
      <c r="P115" s="1042"/>
    </row>
    <row r="116" ht="130.05" customHeight="1" hidden="1">
      <c r="A116" s="1039"/>
      <c r="B116" s="542"/>
      <c r="C116" t="s" s="543">
        <f>RIGHT($B$1,1)</f>
        <v>1854</v>
      </c>
      <c r="D116" s="550">
        <f>IF(LEFT(F116,14)="Bonne pratique",D115+1,D115)</f>
      </c>
      <c r="E116" s="566">
        <f>C116&amp;D116&amp;RIGHT(F116,1)</f>
      </c>
      <c r="F116" t="s" s="546">
        <v>1782</v>
      </c>
      <c r="G116" s="567">
        <f>_xlfn.IFERROR(IF(VLOOKUP($E116,'BDD'!$A$1:$S$567,MATCH(G$10,'BDD'!$A$1:$P$1,0),FALSE)=0,"",VLOOKUP($E116,'BDD'!$A$1:$S$567,MATCH(G$10,'BDD'!$A$1:$P$1,0),FALSE)),"")</f>
      </c>
      <c r="H116" s="568">
        <f>IF(VLOOKUP(E116,'BDD'!$A$1:$S$567,15,FALSE)=0,"Critère non évalué","")</f>
      </c>
      <c r="I116" s="569">
        <f>_xlfn.IFERROR(IF(VLOOKUP($E116,'BDD'!$A$1:$S$567,MATCH(I$10,'BDD'!$A$1:$P$1,0),FALSE)=0,"",VLOOKUP($E116,'BDD'!$A$1:$S$567,MATCH(I$10,'BDD'!$A$1:$P$1,0),FALSE)),"")</f>
      </c>
      <c r="J116" s="549"/>
      <c r="K116" s="567">
        <f>_xlfn.IFERROR(IF(VLOOKUP($E116,'BDD'!$A$1:$S$567,MATCH(K$10,'BDD'!$A$1:$P$1,0),FALSE)=0,"",VLOOKUP($E116,'BDD'!$A$1:$S$567,MATCH(K$10,'BDD'!$A$1:$P$1,0),FALSE)),"")</f>
      </c>
      <c r="L116" s="550"/>
      <c r="M116" s="557"/>
      <c r="N116" s="557"/>
      <c r="O116" s="534"/>
      <c r="P116" s="1042"/>
    </row>
    <row r="117" ht="14.4" customHeight="1">
      <c r="A117" s="1039"/>
      <c r="B117" s="61"/>
      <c r="C117" s="61"/>
      <c r="D117" s="61"/>
      <c r="E117" s="61"/>
      <c r="F117" s="559"/>
      <c r="G117" s="559"/>
      <c r="H117" s="559"/>
      <c r="I117" s="559"/>
      <c r="J117" s="559"/>
      <c r="K117" s="559"/>
      <c r="L117" s="61"/>
      <c r="M117" s="559"/>
      <c r="N117" s="559"/>
      <c r="O117" s="61"/>
      <c r="P117" s="1042"/>
    </row>
    <row r="118" ht="14.4" customHeight="1">
      <c r="A118" t="s" s="1047">
        <v>171</v>
      </c>
      <c r="B118" s="1048"/>
      <c r="C118" s="1048"/>
      <c r="D118" s="1048"/>
      <c r="E118" s="1048"/>
      <c r="F118" s="1048"/>
      <c r="G118" s="1048"/>
      <c r="H118" s="1048"/>
      <c r="I118" s="1048"/>
      <c r="J118" s="1048"/>
      <c r="K118" s="1048"/>
      <c r="L118" s="1048"/>
      <c r="M118" s="1048"/>
      <c r="N118" s="1048"/>
      <c r="O118" s="1048"/>
      <c r="P118" t="s" s="1049">
        <v>171</v>
      </c>
    </row>
  </sheetData>
  <mergeCells count="7">
    <mergeCell ref="M107:N107"/>
    <mergeCell ref="M9:N9"/>
    <mergeCell ref="M25:N25"/>
    <mergeCell ref="M41:N41"/>
    <mergeCell ref="M57:N57"/>
    <mergeCell ref="M75:N75"/>
    <mergeCell ref="M91:N91"/>
  </mergeCells>
  <pageMargins left="0.7" right="0.7" top="0.75" bottom="0.75" header="0.3" footer="0.3"/>
  <pageSetup firstPageNumber="1" fitToHeight="1" fitToWidth="1" scale="100" useFirstPageNumber="0" orientation="portrait" pageOrder="downThenOver"/>
  <headerFooter>
    <oddFooter>&amp;C&amp;"Helvetica Neue,Regular"&amp;12&amp;K000000&amp;P</oddFooter>
  </headerFooter>
  <drawing r:id="rId1"/>
</worksheet>
</file>

<file path=xl/worksheets/sheet31.xml><?xml version="1.0" encoding="utf-8"?>
<worksheet xmlns:r="http://schemas.openxmlformats.org/officeDocument/2006/relationships" xmlns="http://schemas.openxmlformats.org/spreadsheetml/2006/main">
  <dimension ref="A1:AJ100"/>
  <sheetViews>
    <sheetView workbookViewId="0" showGridLines="0" defaultGridColor="1"/>
  </sheetViews>
  <sheetFormatPr defaultColWidth="8.83333" defaultRowHeight="14.4" customHeight="1" outlineLevelRow="0" outlineLevelCol="0"/>
  <cols>
    <col min="1" max="2" width="5.85156" style="1147" customWidth="1"/>
    <col min="3" max="5" hidden="1" width="8.83333" style="1147" customWidth="1"/>
    <col min="6" max="6" width="25.6719" style="1147" customWidth="1"/>
    <col min="7" max="7" width="73.5" style="1147" customWidth="1"/>
    <col min="8" max="12" width="5.85156" style="1147" customWidth="1"/>
    <col min="13" max="13" width="8.85156" style="1147" customWidth="1"/>
    <col min="14" max="14" width="50.8516" style="1147" customWidth="1"/>
    <col min="15" max="22" width="4.35156" style="1147" customWidth="1"/>
    <col min="23" max="23" width="3" style="1147" customWidth="1"/>
    <col min="24" max="24" width="23.8516" style="1147" customWidth="1"/>
    <col min="25" max="25" width="59.8516" style="1147" customWidth="1"/>
    <col min="26" max="26" width="4" style="1147" customWidth="1"/>
    <col min="27" max="28" width="17.1719" style="1147" customWidth="1"/>
    <col min="29" max="29" width="5.85156" style="1147" customWidth="1"/>
    <col min="30" max="30" width="7.85156" style="1147" customWidth="1"/>
    <col min="31" max="31" width="2.5" style="1147" customWidth="1"/>
    <col min="32" max="32" width="19" style="1147" customWidth="1"/>
    <col min="33" max="35" width="5.85156" style="1147" customWidth="1"/>
    <col min="36" max="36" width="8.85156" style="1147" customWidth="1"/>
    <col min="37" max="16384" width="8.85156" style="1147" customWidth="1"/>
  </cols>
  <sheetData>
    <row r="1" ht="45" customHeight="1">
      <c r="A1" s="1051"/>
      <c r="B1" t="s" s="1033">
        <v>2480</v>
      </c>
      <c r="C1" s="1052"/>
      <c r="D1" s="1052"/>
      <c r="E1" s="1034"/>
      <c r="F1" s="1034"/>
      <c r="G1" s="1034"/>
      <c r="H1" s="1034"/>
      <c r="I1" s="1034"/>
      <c r="J1" s="1053"/>
      <c r="K1" s="1054"/>
      <c r="L1" s="1034"/>
      <c r="M1" s="1034"/>
      <c r="N1" s="1055"/>
      <c r="O1" s="1055"/>
      <c r="P1" s="1055"/>
      <c r="Q1" t="s" s="1056">
        <f>VLOOKUP($E$27,'BDD'!$A$2:$N$567,3,FALSE)</f>
        <v>235</v>
      </c>
      <c r="R1" s="1035"/>
      <c r="S1" s="1036"/>
      <c r="T1" s="1036"/>
      <c r="U1" s="1036"/>
      <c r="V1" s="1036"/>
      <c r="W1" s="1036"/>
      <c r="X1" s="1036"/>
      <c r="Y1" s="1036"/>
      <c r="Z1" s="1036"/>
      <c r="AA1" s="1036"/>
      <c r="AB1" s="1036"/>
      <c r="AC1" s="1036"/>
      <c r="AD1" s="1036"/>
      <c r="AE1" s="1036"/>
      <c r="AF1" s="1036"/>
      <c r="AG1" s="1036"/>
      <c r="AH1" s="1036"/>
      <c r="AI1" s="1036"/>
      <c r="AJ1" s="582"/>
    </row>
    <row r="2" ht="45" customHeight="1">
      <c r="A2" s="1039"/>
      <c r="B2" s="1040"/>
      <c r="C2" s="1040"/>
      <c r="D2" s="1040"/>
      <c r="E2" s="1040"/>
      <c r="F2" s="1040"/>
      <c r="G2" s="1040"/>
      <c r="H2" s="1040"/>
      <c r="I2" s="1040"/>
      <c r="J2" s="1040"/>
      <c r="K2" s="1040"/>
      <c r="L2" s="1040"/>
      <c r="M2" s="1040"/>
      <c r="N2" s="1057"/>
      <c r="O2" s="1057"/>
      <c r="P2" s="1057"/>
      <c r="Q2" t="s" s="1041">
        <f>VLOOKUP($E$27,'BDD'!$A$2:$N$567,4,FALSE)</f>
        <v>1545</v>
      </c>
      <c r="R2" s="1040"/>
      <c r="S2" s="1058"/>
      <c r="T2" s="1058"/>
      <c r="U2" s="1058"/>
      <c r="V2" s="1058"/>
      <c r="W2" s="1058"/>
      <c r="X2" s="1058"/>
      <c r="Y2" s="1058"/>
      <c r="Z2" s="1058"/>
      <c r="AA2" s="1058"/>
      <c r="AB2" s="1058"/>
      <c r="AC2" s="1058"/>
      <c r="AD2" s="1058"/>
      <c r="AE2" s="1058"/>
      <c r="AF2" s="1058"/>
      <c r="AG2" s="1058"/>
      <c r="AH2" s="1058"/>
      <c r="AI2" s="1058"/>
      <c r="AJ2" s="585"/>
    </row>
    <row r="3" ht="45" customHeight="1">
      <c r="A3" s="1039"/>
      <c r="B3" s="586"/>
      <c r="C3" s="586"/>
      <c r="D3" s="586"/>
      <c r="E3" s="586"/>
      <c r="F3" s="586"/>
      <c r="G3" s="587"/>
      <c r="H3" s="587"/>
      <c r="I3" s="587"/>
      <c r="J3" s="587"/>
      <c r="K3" s="587"/>
      <c r="L3" s="587"/>
      <c r="M3" s="587"/>
      <c r="N3" s="586"/>
      <c r="O3" s="586"/>
      <c r="P3" s="586"/>
      <c r="Q3" s="586"/>
      <c r="R3" s="586"/>
      <c r="S3" s="586"/>
      <c r="T3" s="586"/>
      <c r="U3" s="586"/>
      <c r="V3" s="586"/>
      <c r="W3" s="586"/>
      <c r="X3" s="588"/>
      <c r="Y3" s="586"/>
      <c r="Z3" s="586"/>
      <c r="AA3" s="586"/>
      <c r="AB3" s="589"/>
      <c r="AC3" s="586"/>
      <c r="AD3" s="586"/>
      <c r="AE3" s="586"/>
      <c r="AF3" s="586"/>
      <c r="AG3" s="586"/>
      <c r="AH3" s="586"/>
      <c r="AI3" s="1040"/>
      <c r="AJ3" s="585"/>
    </row>
    <row r="4" ht="26.4" customHeight="1">
      <c r="A4" s="1039"/>
      <c r="B4" s="586"/>
      <c r="C4" s="586"/>
      <c r="D4" s="586"/>
      <c r="E4" s="586"/>
      <c r="F4" s="586"/>
      <c r="G4" t="s" s="590">
        <v>1817</v>
      </c>
      <c r="H4" s="591"/>
      <c r="I4" s="587"/>
      <c r="J4" s="591"/>
      <c r="K4" s="591"/>
      <c r="L4" s="591"/>
      <c r="M4" s="591"/>
      <c r="N4" s="586"/>
      <c r="O4" s="586"/>
      <c r="P4" s="586"/>
      <c r="Q4" s="586"/>
      <c r="R4" s="586"/>
      <c r="S4" s="586"/>
      <c r="T4" s="586"/>
      <c r="U4" s="586"/>
      <c r="V4" s="586"/>
      <c r="W4" s="586"/>
      <c r="X4" t="s" s="1060">
        <v>1818</v>
      </c>
      <c r="Y4" s="586"/>
      <c r="Z4" s="586"/>
      <c r="AA4" s="593"/>
      <c r="AB4" s="594"/>
      <c r="AC4" t="s" s="595">
        <v>1819</v>
      </c>
      <c r="AD4" s="586"/>
      <c r="AE4" s="586"/>
      <c r="AF4" s="586"/>
      <c r="AG4" s="596"/>
      <c r="AH4" s="596"/>
      <c r="AI4" s="1061"/>
      <c r="AJ4" s="585"/>
    </row>
    <row r="5" ht="30" customHeight="1">
      <c r="A5" s="1039"/>
      <c r="B5" s="586"/>
      <c r="C5" s="586"/>
      <c r="D5" s="586"/>
      <c r="E5" t="s" s="744">
        <f>$C$25&amp;"11"</f>
        <v>2483</v>
      </c>
      <c r="F5" s="586"/>
      <c r="G5" t="s" s="598">
        <f>IF(VLOOKUP(E5,'BDD'!$A$2:$N$567,13,FALSE)=0,"",VLOOKUP(E5,'BDD'!$A$2:$N$567,13,FALSE))</f>
        <v>1550</v>
      </c>
      <c r="H5" s="599"/>
      <c r="I5" s="587"/>
      <c r="J5" s="25"/>
      <c r="K5" s="599"/>
      <c r="L5" s="1062"/>
      <c r="M5" s="1062"/>
      <c r="N5" s="1063"/>
      <c r="O5" s="1063"/>
      <c r="P5" s="1063"/>
      <c r="Q5" s="1063"/>
      <c r="R5" s="1063"/>
      <c r="S5" s="1063"/>
      <c r="T5" s="1063"/>
      <c r="U5" s="1063"/>
      <c r="V5" s="1063"/>
      <c r="W5" s="1063"/>
      <c r="X5" s="1064"/>
      <c r="Y5" s="1063"/>
      <c r="Z5" s="1063"/>
      <c r="AA5" s="1063"/>
      <c r="AB5" s="1065"/>
      <c r="AC5" s="1063"/>
      <c r="AD5" s="586"/>
      <c r="AE5" s="586"/>
      <c r="AF5" s="586"/>
      <c r="AG5" s="586"/>
      <c r="AH5" s="586"/>
      <c r="AI5" s="1040"/>
      <c r="AJ5" s="585"/>
    </row>
    <row r="6" ht="30" customHeight="1">
      <c r="A6" s="1066"/>
      <c r="B6" s="565"/>
      <c r="C6" s="565"/>
      <c r="D6" s="565"/>
      <c r="E6" t="s" s="558">
        <f>$C$25&amp;"12"</f>
        <v>2485</v>
      </c>
      <c r="F6" s="565"/>
      <c r="G6" t="s" s="598">
        <f>IF(VLOOKUP(E6,'BDD'!$A$2:$N$567,13,FALSE)=0,"",VLOOKUP(E6,'BDD'!$A$2:$N$567,13,FALSE))</f>
        <v>2519</v>
      </c>
      <c r="H6" s="605"/>
      <c r="I6" s="587"/>
      <c r="J6" s="25"/>
      <c r="K6" s="1067"/>
      <c r="L6" s="1068"/>
      <c r="M6" s="1069"/>
      <c r="N6" s="1070"/>
      <c r="O6" s="1071"/>
      <c r="P6" s="1071"/>
      <c r="Q6" s="1071"/>
      <c r="R6" s="1071"/>
      <c r="S6" s="1071"/>
      <c r="T6" s="1071"/>
      <c r="U6" s="1071"/>
      <c r="V6" s="1071"/>
      <c r="W6" s="1072"/>
      <c r="X6" s="1071"/>
      <c r="Y6" s="1071"/>
      <c r="Z6" s="1072"/>
      <c r="AA6" s="1073"/>
      <c r="AB6" s="1073"/>
      <c r="AC6" s="1074"/>
      <c r="AD6" s="1075"/>
      <c r="AE6" s="615"/>
      <c r="AF6" s="615"/>
      <c r="AG6" s="587"/>
      <c r="AH6" s="587"/>
      <c r="AI6" s="1076"/>
      <c r="AJ6" s="617"/>
    </row>
    <row r="7" ht="31.8" customHeight="1">
      <c r="A7" s="1066"/>
      <c r="B7" s="565"/>
      <c r="C7" s="565"/>
      <c r="D7" s="565"/>
      <c r="E7" t="s" s="558">
        <f>$C$25&amp;"13"</f>
        <v>2486</v>
      </c>
      <c r="F7" s="565"/>
      <c r="G7" t="s" s="598">
        <f>IF(VLOOKUP(E7,'BDD'!$A$2:$N$567,13,FALSE)=0,"",VLOOKUP(E7,'BDD'!$A$2:$N$567,13,FALSE))</f>
        <v>1559</v>
      </c>
      <c r="H7" s="605"/>
      <c r="I7" s="587"/>
      <c r="J7" s="25"/>
      <c r="K7" s="1067"/>
      <c r="L7" s="1077"/>
      <c r="M7" s="1078"/>
      <c r="N7" t="s" s="620">
        <v>11</v>
      </c>
      <c r="O7" t="s" s="621">
        <v>12</v>
      </c>
      <c r="P7" t="s" s="621">
        <v>13</v>
      </c>
      <c r="Q7" t="s" s="621">
        <v>14</v>
      </c>
      <c r="R7" t="s" s="621">
        <v>15</v>
      </c>
      <c r="S7" t="s" s="621">
        <v>16</v>
      </c>
      <c r="T7" t="s" s="621">
        <v>17</v>
      </c>
      <c r="U7" t="s" s="621">
        <v>18</v>
      </c>
      <c r="V7" t="s" s="621">
        <v>19</v>
      </c>
      <c r="W7" s="206"/>
      <c r="X7" t="s" s="622">
        <v>20</v>
      </c>
      <c r="Y7" t="s" s="623">
        <v>21</v>
      </c>
      <c r="Z7" s="1079"/>
      <c r="AA7" t="s" s="625">
        <v>22</v>
      </c>
      <c r="AB7" t="s" s="626">
        <v>223</v>
      </c>
      <c r="AC7" s="1080"/>
      <c r="AD7" s="1081"/>
      <c r="AE7" t="s" s="629">
        <v>1820</v>
      </c>
      <c r="AF7" t="s" s="630">
        <v>1752</v>
      </c>
      <c r="AG7" s="631"/>
      <c r="AH7" s="587"/>
      <c r="AI7" s="1076"/>
      <c r="AJ7" s="617"/>
    </row>
    <row r="8" ht="31.2" customHeight="1">
      <c r="A8" s="1066"/>
      <c r="B8" s="565"/>
      <c r="C8" s="565"/>
      <c r="D8" s="565"/>
      <c r="E8" t="s" s="558">
        <f>$C$25&amp;"14"</f>
        <v>2487</v>
      </c>
      <c r="F8" s="565"/>
      <c r="G8" t="s" s="598">
        <f>IF(VLOOKUP(E8,'BDD'!$A$2:$N$567,13,FALSE)=0,"",VLOOKUP(E8,'BDD'!$A$2:$N$567,13,FALSE))</f>
        <v>1563</v>
      </c>
      <c r="H8" s="605"/>
      <c r="I8" s="587"/>
      <c r="J8" s="25"/>
      <c r="K8" s="1067"/>
      <c r="L8" s="1077"/>
      <c r="M8" t="s" s="929">
        <f>IF(LEFT(RIGHT($B$1,2),1)=" ",RIGHT($B$1,1),RIGHT($B$1,2))&amp;1</f>
        <v>30</v>
      </c>
      <c r="N8" t="s" s="539">
        <f>RIGHT(M8,1)&amp;" : "&amp;VLOOKUP($M8&amp;"1",'BDD'!$A$2:$N$567,6,FALSE)</f>
        <v>2520</v>
      </c>
      <c r="O8" t="s" s="71">
        <f>IF(VLOOKUP($M8&amp;RIGHT(O$7,1),'BDD'!$A$1:$S$600,15,FALSE)=4,"NE",IF(VLOOKUP($M8&amp;RIGHT(O$7,1),'BDD'!$A$1:$S$600,15,FALSE)=0,"NE",VLOOKUP($M8&amp;RIGHT(O$7,1),'BDD'!$A$1:$S$600,15,FALSE)))</f>
        <v>27</v>
      </c>
      <c r="P8" t="s" s="71">
        <f>IF(VLOOKUP($M8&amp;RIGHT(P$7,1),'BDD'!$A$1:$S$600,15,FALSE)=4,"NE",IF(VLOOKUP($M8&amp;RIGHT(P$7,1),'BDD'!$A$1:$S$600,15,FALSE)=0,"NE",VLOOKUP($M8&amp;RIGHT(P$7,1),'BDD'!$A$1:$S$600,15,FALSE)))</f>
        <v>27</v>
      </c>
      <c r="Q8" t="s" s="71">
        <f>IF(VLOOKUP($M8&amp;RIGHT(Q$7,1),'BDD'!$A$1:$S$600,15,FALSE)=4,"NE",IF(VLOOKUP($M8&amp;RIGHT(Q$7,1),'BDD'!$A$1:$S$600,15,FALSE)=0,"NE",VLOOKUP($M8&amp;RIGHT(Q$7,1),'BDD'!$A$1:$S$600,15,FALSE)))</f>
        <v>27</v>
      </c>
      <c r="R8" t="s" s="71">
        <f>IF(VLOOKUP($M8&amp;RIGHT(R$7,1),'BDD'!$A$1:$S$600,15,FALSE)=4,"NE",IF(VLOOKUP($M8&amp;RIGHT(R$7,1),'BDD'!$A$1:$S$600,15,FALSE)=0,"NE",VLOOKUP($M8&amp;RIGHT(R$7,1),'BDD'!$A$1:$S$600,15,FALSE)))</f>
        <v>27</v>
      </c>
      <c r="S8" t="s" s="71">
        <f>IF(VLOOKUP($M8&amp;RIGHT(S$7,1),'BDD'!$A$1:$S$600,15,FALSE)=4,"NE",IF(VLOOKUP($M8&amp;RIGHT(S$7,1),'BDD'!$A$1:$S$600,15,FALSE)=0,"NE",VLOOKUP($M8&amp;RIGHT(S$7,1),'BDD'!$A$1:$S$600,15,FALSE)))</f>
        <v>27</v>
      </c>
      <c r="T8" t="s" s="71">
        <f>IF(VLOOKUP($M8&amp;RIGHT(T$7,1),'BDD'!$A$1:$S$600,15,FALSE)=4,"NE",IF(VLOOKUP($M8&amp;RIGHT(T$7,1),'BDD'!$A$1:$S$600,15,FALSE)=0,"NE",VLOOKUP($M8&amp;RIGHT(T$7,1),'BDD'!$A$1:$S$600,15,FALSE)))</f>
        <v>27</v>
      </c>
      <c r="U8" t="s" s="71">
        <f>IF(VLOOKUP($M8&amp;RIGHT(U$7,1),'BDD'!$A$1:$S$600,15,FALSE)=4,"NE",IF(VLOOKUP($M8&amp;RIGHT(U$7,1),'BDD'!$A$1:$S$600,15,FALSE)=0,"NE",VLOOKUP($M8&amp;RIGHT(U$7,1),'BDD'!$A$1:$S$600,15,FALSE)))</f>
        <v>27</v>
      </c>
      <c r="V8" t="s" s="71">
        <f>IF(VLOOKUP($M8&amp;RIGHT(V$7,1),'BDD'!$A$1:$S$600,15,FALSE)=4,"NE",IF(VLOOKUP($M8&amp;RIGHT(V$7,1),'BDD'!$A$1:$S$600,15,FALSE)=0,"NE",VLOOKUP($M8&amp;RIGHT(V$7,1),'BDD'!$A$1:$S$600,15,FALSE)))</f>
        <v>27</v>
      </c>
      <c r="W8" s="1082"/>
      <c r="X8" t="s" s="634">
        <v>28</v>
      </c>
      <c r="Y8" s="635"/>
      <c r="Z8" s="1083"/>
      <c r="AA8" s="637">
        <f>O25</f>
        <v>0</v>
      </c>
      <c r="AB8" s="77">
        <f>P25</f>
      </c>
      <c r="AC8" s="1080"/>
      <c r="AD8" s="1081"/>
      <c r="AE8" s="638"/>
      <c r="AF8" t="s" s="639">
        <v>1753</v>
      </c>
      <c r="AG8" s="631"/>
      <c r="AH8" s="587"/>
      <c r="AI8" s="1076"/>
      <c r="AJ8" s="617"/>
    </row>
    <row r="9" ht="30" customHeight="1">
      <c r="A9" s="1066"/>
      <c r="B9" s="565"/>
      <c r="C9" s="565"/>
      <c r="D9" s="565"/>
      <c r="E9" t="s" s="558">
        <f>$C$25&amp;"15"</f>
        <v>2488</v>
      </c>
      <c r="F9" s="565"/>
      <c r="G9" t="s" s="598">
        <f>IF(VLOOKUP(E9,'BDD'!$A$2:$N$567,13,FALSE)=0,"",VLOOKUP(E9,'BDD'!$A$2:$N$567,13,FALSE))</f>
        <v>1567</v>
      </c>
      <c r="H9" s="605"/>
      <c r="I9" s="587"/>
      <c r="J9" s="25"/>
      <c r="K9" s="1067"/>
      <c r="L9" s="1077"/>
      <c r="M9" t="s" s="929">
        <f>IF(LEFT(RIGHT($B$1,2),1)=" ",RIGHT($B$1,1),RIGHT($B$1,2))&amp;2</f>
        <v>298</v>
      </c>
      <c r="N9" t="s" s="640">
        <f>RIGHT(M9,1)&amp;" : "&amp;VLOOKUP($M9&amp;"1",'BDD'!$A$2:$N$567,6,FALSE)</f>
        <v>2521</v>
      </c>
      <c r="O9" t="s" s="85">
        <f>IF(VLOOKUP($M9&amp;RIGHT(O$7,1),'BDD'!$A$1:$S$600,15,FALSE)=4,"NE",IF(VLOOKUP($M9&amp;RIGHT(O$7,1),'BDD'!$A$1:$S$600,15,FALSE)=0,"NE",VLOOKUP($M9&amp;RIGHT(O$7,1),'BDD'!$A$1:$S$600,15,FALSE)))</f>
        <v>27</v>
      </c>
      <c r="P9" t="s" s="85">
        <f>IF(VLOOKUP($M9&amp;RIGHT(P$7,1),'BDD'!$A$1:$S$600,15,FALSE)=4,"NE",IF(VLOOKUP($M9&amp;RIGHT(P$7,1),'BDD'!$A$1:$S$600,15,FALSE)=0,"NE",VLOOKUP($M9&amp;RIGHT(P$7,1),'BDD'!$A$1:$S$600,15,FALSE)))</f>
        <v>27</v>
      </c>
      <c r="Q9" t="s" s="85">
        <f>IF(VLOOKUP($M9&amp;RIGHT(Q$7,1),'BDD'!$A$1:$S$600,15,FALSE)=4,"NE",IF(VLOOKUP($M9&amp;RIGHT(Q$7,1),'BDD'!$A$1:$S$600,15,FALSE)=0,"NE",VLOOKUP($M9&amp;RIGHT(Q$7,1),'BDD'!$A$1:$S$600,15,FALSE)))</f>
        <v>27</v>
      </c>
      <c r="R9" t="s" s="85">
        <f>IF(VLOOKUP($M9&amp;RIGHT(R$7,1),'BDD'!$A$1:$S$600,15,FALSE)=4,"NE",IF(VLOOKUP($M9&amp;RIGHT(R$7,1),'BDD'!$A$1:$S$600,15,FALSE)=0,"NE",VLOOKUP($M9&amp;RIGHT(R$7,1),'BDD'!$A$1:$S$600,15,FALSE)))</f>
        <v>27</v>
      </c>
      <c r="S9" t="s" s="85">
        <f>IF(VLOOKUP($M9&amp;RIGHT(S$7,1),'BDD'!$A$1:$S$600,15,FALSE)=4,"NE",IF(VLOOKUP($M9&amp;RIGHT(S$7,1),'BDD'!$A$1:$S$600,15,FALSE)=0,"NE",VLOOKUP($M9&amp;RIGHT(S$7,1),'BDD'!$A$1:$S$600,15,FALSE)))</f>
        <v>27</v>
      </c>
      <c r="T9" t="s" s="85">
        <f>IF(VLOOKUP($M9&amp;RIGHT(T$7,1),'BDD'!$A$1:$S$600,15,FALSE)=4,"NE",IF(VLOOKUP($M9&amp;RIGHT(T$7,1),'BDD'!$A$1:$S$600,15,FALSE)=0,"NE",VLOOKUP($M9&amp;RIGHT(T$7,1),'BDD'!$A$1:$S$600,15,FALSE)))</f>
      </c>
      <c r="U9" t="s" s="85">
        <f>IF(VLOOKUP($M9&amp;RIGHT(U$7,1),'BDD'!$A$1:$S$600,15,FALSE)=4,"NE",IF(VLOOKUP($M9&amp;RIGHT(U$7,1),'BDD'!$A$1:$S$600,15,FALSE)=0,"NE",VLOOKUP($M9&amp;RIGHT(U$7,1),'BDD'!$A$1:$S$600,15,FALSE)))</f>
      </c>
      <c r="V9" s="86"/>
      <c r="W9" s="1082"/>
      <c r="X9" t="s" s="641">
        <v>28</v>
      </c>
      <c r="Y9" s="642"/>
      <c r="Z9" s="1084"/>
      <c r="AA9" s="644">
        <f>O35</f>
        <v>0</v>
      </c>
      <c r="AB9" s="90">
        <f>P35</f>
      </c>
      <c r="AC9" s="1080"/>
      <c r="AD9" s="1081"/>
      <c r="AE9" s="638"/>
      <c r="AF9" t="s" s="645">
        <v>1754</v>
      </c>
      <c r="AG9" s="631"/>
      <c r="AH9" s="587"/>
      <c r="AI9" s="1076"/>
      <c r="AJ9" s="617"/>
    </row>
    <row r="10" ht="30" customHeight="1">
      <c r="A10" s="1066"/>
      <c r="B10" s="565"/>
      <c r="C10" s="565"/>
      <c r="D10" s="565"/>
      <c r="E10" t="s" s="558">
        <f>$C$25&amp;"16"</f>
        <v>2489</v>
      </c>
      <c r="F10" s="565"/>
      <c r="G10" t="s" s="646">
        <f>IF(VLOOKUP(E10,'BDD'!$A$2:$N$567,13,FALSE)=0,"",VLOOKUP(E10,'BDD'!$A$2:$N$567,13,FALSE))</f>
      </c>
      <c r="H10" s="605"/>
      <c r="I10" s="587"/>
      <c r="J10" s="25"/>
      <c r="K10" s="1067"/>
      <c r="L10" s="1077"/>
      <c r="M10" t="s" s="929">
        <f>IF(LEFT(RIGHT($B$1,2),1)=" ",RIGHT($B$1,1),RIGHT($B$1,2))&amp;3</f>
        <v>301</v>
      </c>
      <c r="N10" t="s" s="539">
        <f>RIGHT(M10,1)&amp;" : "&amp;VLOOKUP($M10&amp;"1",'BDD'!$A$2:$N$567,6,FALSE)</f>
        <v>2522</v>
      </c>
      <c r="O10" t="s" s="71">
        <f>IF(VLOOKUP($M10&amp;RIGHT(O$7,1),'BDD'!$A$1:$S$600,15,FALSE)=4,"NE",IF(VLOOKUP($M10&amp;RIGHT(O$7,1),'BDD'!$A$1:$S$600,15,FALSE)=0,"NE",VLOOKUP($M10&amp;RIGHT(O$7,1),'BDD'!$A$1:$S$600,15,FALSE)))</f>
        <v>27</v>
      </c>
      <c r="P10" t="s" s="71">
        <f>IF(VLOOKUP($M10&amp;RIGHT(P$7,1),'BDD'!$A$1:$S$600,15,FALSE)=4,"NE",IF(VLOOKUP($M10&amp;RIGHT(P$7,1),'BDD'!$A$1:$S$600,15,FALSE)=0,"NE",VLOOKUP($M10&amp;RIGHT(P$7,1),'BDD'!$A$1:$S$600,15,FALSE)))</f>
        <v>27</v>
      </c>
      <c r="Q10" t="s" s="71">
        <f>IF(VLOOKUP($M10&amp;RIGHT(Q$7,1),'BDD'!$A$1:$S$600,15,FALSE)=4,"NE",IF(VLOOKUP($M10&amp;RIGHT(Q$7,1),'BDD'!$A$1:$S$600,15,FALSE)=0,"NE",VLOOKUP($M10&amp;RIGHT(Q$7,1),'BDD'!$A$1:$S$600,15,FALSE)))</f>
        <v>27</v>
      </c>
      <c r="R10" t="s" s="71">
        <f>IF(VLOOKUP($M10&amp;RIGHT(R$7,1),'BDD'!$A$1:$S$600,15,FALSE)=4,"NE",IF(VLOOKUP($M10&amp;RIGHT(R$7,1),'BDD'!$A$1:$S$600,15,FALSE)=0,"NE",VLOOKUP($M10&amp;RIGHT(R$7,1),'BDD'!$A$1:$S$600,15,FALSE)))</f>
        <v>27</v>
      </c>
      <c r="S10" t="s" s="71">
        <f>IF(VLOOKUP($M10&amp;RIGHT(S$7,1),'BDD'!$A$1:$S$600,15,FALSE)=4,"NE",IF(VLOOKUP($M10&amp;RIGHT(S$7,1),'BDD'!$A$1:$S$600,15,FALSE)=0,"NE",VLOOKUP($M10&amp;RIGHT(S$7,1),'BDD'!$A$1:$S$600,15,FALSE)))</f>
        <v>27</v>
      </c>
      <c r="T10" t="s" s="71">
        <f>IF(VLOOKUP($M10&amp;RIGHT(T$7,1),'BDD'!$A$1:$S$600,15,FALSE)=4,"NE",IF(VLOOKUP($M10&amp;RIGHT(T$7,1),'BDD'!$A$1:$S$600,15,FALSE)=0,"NE",VLOOKUP($M10&amp;RIGHT(T$7,1),'BDD'!$A$1:$S$600,15,FALSE)))</f>
        <v>27</v>
      </c>
      <c r="U10" t="s" s="71">
        <f>IF(VLOOKUP($M10&amp;RIGHT(U$7,1),'BDD'!$A$1:$S$600,15,FALSE)=4,"NE",IF(VLOOKUP($M10&amp;RIGHT(U$7,1),'BDD'!$A$1:$S$600,15,FALSE)=0,"NE",VLOOKUP($M10&amp;RIGHT(U$7,1),'BDD'!$A$1:$S$600,15,FALSE)))</f>
        <v>27</v>
      </c>
      <c r="V10" s="72"/>
      <c r="W10" s="1082"/>
      <c r="X10" t="s" s="647">
        <v>28</v>
      </c>
      <c r="Y10" s="648"/>
      <c r="Z10" s="1083"/>
      <c r="AA10" s="637">
        <f>O42</f>
        <v>0</v>
      </c>
      <c r="AB10" s="77">
        <f>P42</f>
      </c>
      <c r="AC10" s="1080"/>
      <c r="AD10" s="1081"/>
      <c r="AE10" s="649"/>
      <c r="AF10" t="s" s="650">
        <v>1824</v>
      </c>
      <c r="AG10" s="651"/>
      <c r="AH10" s="652"/>
      <c r="AI10" s="1085"/>
      <c r="AJ10" s="617"/>
    </row>
    <row r="11" ht="30" customHeight="1">
      <c r="A11" s="1039"/>
      <c r="B11" s="586"/>
      <c r="C11" s="586"/>
      <c r="D11" s="586"/>
      <c r="E11" t="s" s="744">
        <f>$C$25&amp;"17"</f>
        <v>2490</v>
      </c>
      <c r="F11" s="586"/>
      <c r="G11" t="s" s="646">
        <f>IF(VLOOKUP(E11,'BDD'!$A$2:$N$567,13,FALSE)=0,"",VLOOKUP(E11,'BDD'!$A$2:$N$567,13,FALSE))</f>
      </c>
      <c r="H11" s="652"/>
      <c r="I11" s="587"/>
      <c r="J11" s="25"/>
      <c r="K11" s="1086"/>
      <c r="L11" s="1087"/>
      <c r="M11" t="s" s="929">
        <f>IF(LEFT(RIGHT($B$1,2),1)=" ",RIGHT($B$1,1),RIGHT($B$1,2))&amp;4</f>
        <v>304</v>
      </c>
      <c r="N11" t="s" s="640">
        <f>RIGHT(M11,1)&amp;" : "&amp;VLOOKUP($M11&amp;"1",'BDD'!$A$2:$N$567,6,FALSE)</f>
        <v>2523</v>
      </c>
      <c r="O11" t="s" s="85">
        <f>IF(VLOOKUP($M11&amp;RIGHT(O$7,1),'BDD'!$A$1:$S$600,15,FALSE)=4,"NE",IF(VLOOKUP($M11&amp;RIGHT(O$7,1),'BDD'!$A$1:$S$600,15,FALSE)=0,"NE",VLOOKUP($M11&amp;RIGHT(O$7,1),'BDD'!$A$1:$S$600,15,FALSE)))</f>
        <v>27</v>
      </c>
      <c r="P11" t="s" s="85">
        <f>IF(VLOOKUP($M11&amp;RIGHT(P$7,1),'BDD'!$A$1:$S$600,15,FALSE)=4,"NE",IF(VLOOKUP($M11&amp;RIGHT(P$7,1),'BDD'!$A$1:$S$600,15,FALSE)=0,"NE",VLOOKUP($M11&amp;RIGHT(P$7,1),'BDD'!$A$1:$S$600,15,FALSE)))</f>
        <v>27</v>
      </c>
      <c r="Q11" t="s" s="85">
        <f>IF(VLOOKUP($M11&amp;RIGHT(Q$7,1),'BDD'!$A$1:$S$600,15,FALSE)=4,"NE",IF(VLOOKUP($M11&amp;RIGHT(Q$7,1),'BDD'!$A$1:$S$600,15,FALSE)=0,"NE",VLOOKUP($M11&amp;RIGHT(Q$7,1),'BDD'!$A$1:$S$600,15,FALSE)))</f>
        <v>27</v>
      </c>
      <c r="R11" t="s" s="85">
        <f>IF(VLOOKUP($M11&amp;RIGHT(R$7,1),'BDD'!$A$1:$S$600,15,FALSE)=4,"NE",IF(VLOOKUP($M11&amp;RIGHT(R$7,1),'BDD'!$A$1:$S$600,15,FALSE)=0,"NE",VLOOKUP($M11&amp;RIGHT(R$7,1),'BDD'!$A$1:$S$600,15,FALSE)))</f>
        <v>27</v>
      </c>
      <c r="S11" t="s" s="85">
        <f>IF(VLOOKUP($M11&amp;RIGHT(S$7,1),'BDD'!$A$1:$S$600,15,FALSE)=4,"NE",IF(VLOOKUP($M11&amp;RIGHT(S$7,1),'BDD'!$A$1:$S$600,15,FALSE)=0,"NE",VLOOKUP($M11&amp;RIGHT(S$7,1),'BDD'!$A$1:$S$600,15,FALSE)))</f>
        <v>27</v>
      </c>
      <c r="T11" s="86"/>
      <c r="U11" s="86"/>
      <c r="V11" s="86"/>
      <c r="W11" s="1082"/>
      <c r="X11" t="s" s="641">
        <v>28</v>
      </c>
      <c r="Y11" s="642"/>
      <c r="Z11" s="1083"/>
      <c r="AA11" s="644">
        <f>O51</f>
        <v>0</v>
      </c>
      <c r="AB11" s="90">
        <f>P51</f>
      </c>
      <c r="AC11" s="1080"/>
      <c r="AD11" s="1088"/>
      <c r="AE11" s="658"/>
      <c r="AF11" s="659"/>
      <c r="AG11" s="652"/>
      <c r="AH11" s="652"/>
      <c r="AI11" s="1085"/>
      <c r="AJ11" s="585"/>
    </row>
    <row r="12" ht="30" customHeight="1">
      <c r="A12" s="1039"/>
      <c r="B12" s="586"/>
      <c r="C12" s="586"/>
      <c r="D12" s="586"/>
      <c r="E12" s="586"/>
      <c r="F12" s="586"/>
      <c r="G12" t="s" s="660">
        <v>1826</v>
      </c>
      <c r="H12" s="587"/>
      <c r="I12" s="587"/>
      <c r="J12" s="25"/>
      <c r="K12" s="1089"/>
      <c r="L12" s="1090"/>
      <c r="M12" t="s" s="929">
        <f>IF(LEFT(RIGHT($B$1,2),1)=" ",RIGHT($B$1,1),RIGHT($B$1,2))&amp;5</f>
        <v>308</v>
      </c>
      <c r="N12" t="s" s="539">
        <f>RIGHT(M12,1)&amp;" : "&amp;VLOOKUP($M12&amp;"1",'BDD'!$A$2:$N$567,6,FALSE)</f>
        <v>2524</v>
      </c>
      <c r="O12" t="s" s="71">
        <f>IF(VLOOKUP($M12&amp;RIGHT(O$7,1),'BDD'!$A$1:$S$600,15,FALSE)=4,"NE",IF(VLOOKUP($M12&amp;RIGHT(O$7,1),'BDD'!$A$1:$S$600,15,FALSE)=0,"NE",VLOOKUP($M12&amp;RIGHT(O$7,1),'BDD'!$A$1:$S$600,15,FALSE)))</f>
        <v>27</v>
      </c>
      <c r="P12" t="s" s="71">
        <f>IF(VLOOKUP($M12&amp;RIGHT(P$7,1),'BDD'!$A$1:$S$600,15,FALSE)=4,"NE",IF(VLOOKUP($M12&amp;RIGHT(P$7,1),'BDD'!$A$1:$S$600,15,FALSE)=0,"NE",VLOOKUP($M12&amp;RIGHT(P$7,1),'BDD'!$A$1:$S$600,15,FALSE)))</f>
        <v>27</v>
      </c>
      <c r="Q12" t="s" s="71">
        <f>IF(VLOOKUP($M12&amp;RIGHT(Q$7,1),'BDD'!$A$1:$S$600,15,FALSE)=4,"NE",IF(VLOOKUP($M12&amp;RIGHT(Q$7,1),'BDD'!$A$1:$S$600,15,FALSE)=0,"NE",VLOOKUP($M12&amp;RIGHT(Q$7,1),'BDD'!$A$1:$S$600,15,FALSE)))</f>
        <v>27</v>
      </c>
      <c r="R12" t="s" s="71">
        <f>IF(VLOOKUP($M12&amp;RIGHT(R$7,1),'BDD'!$A$1:$S$600,15,FALSE)=4,"NE",IF(VLOOKUP($M12&amp;RIGHT(R$7,1),'BDD'!$A$1:$S$600,15,FALSE)=0,"NE",VLOOKUP($M12&amp;RIGHT(R$7,1),'BDD'!$A$1:$S$600,15,FALSE)))</f>
        <v>27</v>
      </c>
      <c r="S12" t="s" s="71">
        <f>IF(VLOOKUP($M12&amp;RIGHT(S$7,1),'BDD'!$A$1:$S$600,15,FALSE)=4,"NE",IF(VLOOKUP($M12&amp;RIGHT(S$7,1),'BDD'!$A$1:$S$600,15,FALSE)=0,"NE",VLOOKUP($M12&amp;RIGHT(S$7,1),'BDD'!$A$1:$S$600,15,FALSE)))</f>
        <v>27</v>
      </c>
      <c r="T12" t="s" s="71">
        <f>IF(VLOOKUP($M12&amp;RIGHT(T$7,1),'BDD'!$A$1:$S$600,15,FALSE)=4,"NE",IF(VLOOKUP($M12&amp;RIGHT(T$7,1),'BDD'!$A$1:$S$600,15,FALSE)=0,"NE",VLOOKUP($M12&amp;RIGHT(T$7,1),'BDD'!$A$1:$S$600,15,FALSE)))</f>
        <v>27</v>
      </c>
      <c r="U12" s="72"/>
      <c r="V12" s="72"/>
      <c r="W12" s="1082"/>
      <c r="X12" t="s" s="647">
        <v>28</v>
      </c>
      <c r="Y12" s="648"/>
      <c r="Z12" s="1083"/>
      <c r="AA12" s="637">
        <f>O58</f>
        <v>0</v>
      </c>
      <c r="AB12" s="77">
        <f>P58</f>
      </c>
      <c r="AC12" s="1080"/>
      <c r="AD12" s="1088"/>
      <c r="AE12" s="586"/>
      <c r="AF12" s="679"/>
      <c r="AG12" s="586"/>
      <c r="AH12" s="586"/>
      <c r="AI12" s="1040"/>
      <c r="AJ12" s="585"/>
    </row>
    <row r="13" ht="28.8" customHeight="1">
      <c r="A13" s="1039"/>
      <c r="B13" s="586"/>
      <c r="C13" s="586"/>
      <c r="D13" s="586"/>
      <c r="E13" t="s" s="744">
        <f>$C$25&amp;"11"</f>
        <v>2483</v>
      </c>
      <c r="F13" s="586"/>
      <c r="G13" t="s" s="667">
        <f>IF(VLOOKUP(E13,'BDD'!$A$2:$N$567,14,FALSE)=0,"",VLOOKUP(E13,'BDD'!$A$2:$N$567,14,FALSE))</f>
        <v>1551</v>
      </c>
      <c r="H13" s="591"/>
      <c r="I13" s="587"/>
      <c r="J13" s="25"/>
      <c r="K13" s="1086"/>
      <c r="L13" s="1087"/>
      <c r="M13" t="s" s="929">
        <f>IF(LEFT(RIGHT($B$1,2),1)=" ",RIGHT($B$1,1),RIGHT($B$1,2))&amp;6</f>
        <v>312</v>
      </c>
      <c r="N13" t="s" s="640">
        <f>RIGHT(M13,1)&amp;" : "&amp;VLOOKUP($M13&amp;"1",'BDD'!$A$2:$N$567,6,FALSE)</f>
        <v>2525</v>
      </c>
      <c r="O13" t="s" s="85">
        <f>IF(VLOOKUP($M13&amp;RIGHT(O$7,1),'BDD'!$A$1:$S$600,15,FALSE)=4,"NE",IF(VLOOKUP($M13&amp;RIGHT(O$7,1),'BDD'!$A$1:$S$600,15,FALSE)=0,"NE",VLOOKUP($M13&amp;RIGHT(O$7,1),'BDD'!$A$1:$S$600,15,FALSE)))</f>
        <v>27</v>
      </c>
      <c r="P13" t="s" s="85">
        <f>IF(VLOOKUP($M13&amp;RIGHT(P$7,1),'BDD'!$A$1:$S$600,15,FALSE)=4,"NE",IF(VLOOKUP($M13&amp;RIGHT(P$7,1),'BDD'!$A$1:$S$600,15,FALSE)=0,"NE",VLOOKUP($M13&amp;RIGHT(P$7,1),'BDD'!$A$1:$S$600,15,FALSE)))</f>
        <v>27</v>
      </c>
      <c r="Q13" t="s" s="85">
        <f>IF(VLOOKUP($M13&amp;RIGHT(Q$7,1),'BDD'!$A$1:$S$600,15,FALSE)=4,"NE",IF(VLOOKUP($M13&amp;RIGHT(Q$7,1),'BDD'!$A$1:$S$600,15,FALSE)=0,"NE",VLOOKUP($M13&amp;RIGHT(Q$7,1),'BDD'!$A$1:$S$600,15,FALSE)))</f>
        <v>27</v>
      </c>
      <c r="R13" t="s" s="85">
        <f>IF(VLOOKUP($M13&amp;RIGHT(R$7,1),'BDD'!$A$1:$S$600,15,FALSE)=4,"NE",IF(VLOOKUP($M13&amp;RIGHT(R$7,1),'BDD'!$A$1:$S$600,15,FALSE)=0,"NE",VLOOKUP($M13&amp;RIGHT(R$7,1),'BDD'!$A$1:$S$600,15,FALSE)))</f>
        <v>27</v>
      </c>
      <c r="S13" s="86"/>
      <c r="T13" s="86"/>
      <c r="U13" s="86"/>
      <c r="V13" s="86"/>
      <c r="W13" s="1082"/>
      <c r="X13" t="s" s="847">
        <v>28</v>
      </c>
      <c r="Y13" s="848"/>
      <c r="Z13" s="1083"/>
      <c r="AA13" s="644">
        <f>O66</f>
        <v>0</v>
      </c>
      <c r="AB13" s="90">
        <f>P66</f>
      </c>
      <c r="AC13" s="1080"/>
      <c r="AD13" s="1088"/>
      <c r="AE13" s="586"/>
      <c r="AF13" s="586"/>
      <c r="AG13" s="586"/>
      <c r="AH13" s="679"/>
      <c r="AI13" s="1091"/>
      <c r="AJ13" s="585"/>
    </row>
    <row r="14" ht="30" customHeight="1">
      <c r="A14" s="1039"/>
      <c r="B14" s="586"/>
      <c r="C14" s="586"/>
      <c r="D14" s="586"/>
      <c r="E14" t="s" s="744">
        <f>$C$25&amp;"12"</f>
        <v>2485</v>
      </c>
      <c r="F14" s="586"/>
      <c r="G14" t="s" s="667">
        <f>IF(VLOOKUP(E14,'BDD'!$A$2:$N$567,14,FALSE)=0,"",VLOOKUP(E14,'BDD'!$A$2:$N$567,14,FALSE))</f>
        <v>1555</v>
      </c>
      <c r="H14" s="681"/>
      <c r="I14" s="587"/>
      <c r="J14" s="25"/>
      <c r="K14" s="1092"/>
      <c r="L14" s="1093"/>
      <c r="M14" s="1094"/>
      <c r="N14" s="1095"/>
      <c r="O14" s="1096"/>
      <c r="P14" s="1096"/>
      <c r="Q14" s="1096"/>
      <c r="R14" s="1096"/>
      <c r="S14" s="1096"/>
      <c r="T14" s="1096"/>
      <c r="U14" s="1096"/>
      <c r="V14" s="1096"/>
      <c r="W14" s="1097"/>
      <c r="X14" s="1098"/>
      <c r="Y14" s="1099"/>
      <c r="Z14" s="1097"/>
      <c r="AA14" s="1100"/>
      <c r="AB14" s="1100"/>
      <c r="AC14" s="1101"/>
      <c r="AD14" s="1113"/>
      <c r="AE14" s="586"/>
      <c r="AF14" s="679"/>
      <c r="AG14" s="586"/>
      <c r="AH14" s="586"/>
      <c r="AI14" s="1040"/>
      <c r="AJ14" s="585"/>
    </row>
    <row r="15" ht="30" customHeight="1">
      <c r="A15" s="1039"/>
      <c r="B15" s="586"/>
      <c r="C15" s="586"/>
      <c r="D15" s="586"/>
      <c r="E15" t="s" s="744">
        <f>$C$25&amp;"13"</f>
        <v>2486</v>
      </c>
      <c r="F15" s="586"/>
      <c r="G15" t="s" s="667">
        <f>IF(VLOOKUP(E15,'BDD'!$A$2:$N$567,14,FALSE)=0,"",VLOOKUP(E15,'BDD'!$A$2:$N$567,14,FALSE))</f>
        <v>1560</v>
      </c>
      <c r="H15" s="694"/>
      <c r="I15" s="587"/>
      <c r="J15" s="25"/>
      <c r="K15" s="1148"/>
      <c r="L15" s="1103"/>
      <c r="M15" s="1104"/>
      <c r="N15" t="s" s="1105">
        <f>"Evaluation globale du vecteur "&amp;RIGHT(B1,2)</f>
        <v>2526</v>
      </c>
      <c r="O15" s="1106"/>
      <c r="P15" s="1107"/>
      <c r="Q15" s="1107"/>
      <c r="R15" s="1107"/>
      <c r="S15" s="1107"/>
      <c r="T15" s="1107"/>
      <c r="U15" s="1107"/>
      <c r="V15" s="1107"/>
      <c r="W15" s="1107"/>
      <c r="X15" s="1108"/>
      <c r="Y15" s="1109"/>
      <c r="Z15" s="1110"/>
      <c r="AA15" t="s" s="1111">
        <v>1829</v>
      </c>
      <c r="AB15" t="s" s="1111">
        <v>1830</v>
      </c>
      <c r="AC15" s="1112"/>
      <c r="AD15" s="1113"/>
      <c r="AE15" s="586"/>
      <c r="AF15" s="586"/>
      <c r="AG15" s="586"/>
      <c r="AH15" s="586"/>
      <c r="AI15" s="1040"/>
      <c r="AJ15" s="585"/>
    </row>
    <row r="16" ht="38.4" customHeight="1">
      <c r="A16" s="1039"/>
      <c r="B16" s="586"/>
      <c r="C16" s="586"/>
      <c r="D16" s="586"/>
      <c r="E16" t="s" s="744">
        <f>$C$25&amp;"14"</f>
        <v>2487</v>
      </c>
      <c r="F16" s="586"/>
      <c r="G16" t="s" s="667">
        <f>IF(VLOOKUP(E16,'BDD'!$A$2:$N$567,14,FALSE)=0,"",VLOOKUP(E16,'BDD'!$A$2:$N$567,14,FALSE))</f>
        <v>1564</v>
      </c>
      <c r="H16" s="694"/>
      <c r="I16" s="587"/>
      <c r="J16" s="25"/>
      <c r="K16" s="1102"/>
      <c r="L16" s="1090"/>
      <c r="M16" s="1114"/>
      <c r="N16" s="697"/>
      <c r="O16" s="1115"/>
      <c r="P16" s="1107"/>
      <c r="Q16" s="1107"/>
      <c r="R16" s="1107"/>
      <c r="S16" s="1107"/>
      <c r="T16" s="1107"/>
      <c r="U16" s="1107"/>
      <c r="V16" s="1107"/>
      <c r="W16" s="1116"/>
      <c r="X16" t="s" s="701">
        <v>28</v>
      </c>
      <c r="Y16" s="702"/>
      <c r="Z16" s="1117"/>
      <c r="AA16" s="1118">
        <f>O22</f>
        <v>0</v>
      </c>
      <c r="AB16" s="1119">
        <f>SUM($X$26:$X$73)</f>
      </c>
      <c r="AC16" s="1120"/>
      <c r="AD16" s="1113"/>
      <c r="AE16" s="586"/>
      <c r="AF16" s="586"/>
      <c r="AG16" s="586"/>
      <c r="AH16" s="586"/>
      <c r="AI16" s="1040"/>
      <c r="AJ16" s="585"/>
    </row>
    <row r="17" ht="38.4" customHeight="1">
      <c r="A17" s="1039"/>
      <c r="B17" s="586"/>
      <c r="C17" s="586"/>
      <c r="D17" s="586"/>
      <c r="E17" t="s" s="744">
        <f>$C$25&amp;"15"</f>
        <v>2488</v>
      </c>
      <c r="F17" s="586"/>
      <c r="G17" t="s" s="667">
        <f>IF(VLOOKUP(E17,'BDD'!$A$2:$N$567,14,FALSE)=0,"",VLOOKUP(E17,'BDD'!$A$2:$N$567,14,FALSE))</f>
      </c>
      <c r="H17" s="694"/>
      <c r="I17" s="587"/>
      <c r="J17" s="25"/>
      <c r="K17" s="1089"/>
      <c r="L17" s="1121"/>
      <c r="M17" s="1122"/>
      <c r="N17" s="1123"/>
      <c r="O17" s="1124"/>
      <c r="P17" s="1124"/>
      <c r="Q17" s="1124"/>
      <c r="R17" s="1124"/>
      <c r="S17" s="1124"/>
      <c r="T17" s="1124"/>
      <c r="U17" s="1124"/>
      <c r="V17" s="1124"/>
      <c r="W17" s="1124"/>
      <c r="X17" s="1125"/>
      <c r="Y17" s="1123"/>
      <c r="Z17" s="1124"/>
      <c r="AA17" s="1126"/>
      <c r="AB17" s="1126"/>
      <c r="AC17" s="1127"/>
      <c r="AD17" s="1113"/>
      <c r="AE17" s="586"/>
      <c r="AF17" s="586"/>
      <c r="AG17" s="586"/>
      <c r="AH17" s="586"/>
      <c r="AI17" s="1040"/>
      <c r="AJ17" s="585"/>
    </row>
    <row r="18" ht="24" customHeight="1">
      <c r="A18" s="1039"/>
      <c r="B18" s="586"/>
      <c r="C18" s="586"/>
      <c r="D18" s="586"/>
      <c r="E18" t="s" s="744">
        <f>$C$25&amp;"16"</f>
        <v>2489</v>
      </c>
      <c r="F18" s="586"/>
      <c r="G18" t="s" s="667">
        <f>IF(VLOOKUP(E18,'BDD'!$A$2:$N$567,14,FALSE)=0,"",VLOOKUP(E18,'BDD'!$A$2:$N$567,14,FALSE))</f>
      </c>
      <c r="H18" s="694"/>
      <c r="I18" s="587"/>
      <c r="J18" s="25"/>
      <c r="K18" s="25"/>
      <c r="L18" s="1142"/>
      <c r="M18" s="1143"/>
      <c r="N18" s="1144"/>
      <c r="O18" s="1144"/>
      <c r="P18" s="1144"/>
      <c r="Q18" s="1144"/>
      <c r="R18" s="1144"/>
      <c r="S18" s="1145"/>
      <c r="T18" s="1145"/>
      <c r="U18" s="1145"/>
      <c r="V18" s="1145"/>
      <c r="W18" s="1145"/>
      <c r="X18" s="1145"/>
      <c r="Y18" s="1145"/>
      <c r="Z18" s="1145"/>
      <c r="AA18" s="1145"/>
      <c r="AB18" s="1145"/>
      <c r="AC18" s="1145"/>
      <c r="AD18" s="25"/>
      <c r="AE18" s="586"/>
      <c r="AF18" s="586"/>
      <c r="AG18" s="586"/>
      <c r="AH18" s="586"/>
      <c r="AI18" s="1040"/>
      <c r="AJ18" s="585"/>
    </row>
    <row r="19" ht="24" customHeight="1" hidden="1">
      <c r="A19" s="1039"/>
      <c r="B19" s="586"/>
      <c r="C19" s="586"/>
      <c r="D19" s="586"/>
      <c r="E19" s="586"/>
      <c r="F19" s="586"/>
      <c r="G19" s="717"/>
      <c r="H19" s="694"/>
      <c r="I19" s="587"/>
      <c r="J19" s="25"/>
      <c r="K19" s="25"/>
      <c r="L19" s="25"/>
      <c r="M19" s="25"/>
      <c r="N19" s="1026"/>
      <c r="O19" s="1026"/>
      <c r="P19" s="1026"/>
      <c r="Q19" s="1026"/>
      <c r="R19" s="1026"/>
      <c r="S19" s="25"/>
      <c r="T19" s="25"/>
      <c r="U19" s="25"/>
      <c r="V19" s="25"/>
      <c r="W19" s="25"/>
      <c r="X19" s="25"/>
      <c r="Y19" s="25"/>
      <c r="Z19" s="25"/>
      <c r="AA19" s="25"/>
      <c r="AB19" s="25"/>
      <c r="AC19" s="25"/>
      <c r="AD19" s="25"/>
      <c r="AE19" s="586"/>
      <c r="AF19" s="586"/>
      <c r="AG19" s="586"/>
      <c r="AH19" s="586"/>
      <c r="AI19" s="1040"/>
      <c r="AJ19" s="585"/>
    </row>
    <row r="20" ht="30" customHeight="1">
      <c r="A20" s="1039"/>
      <c r="B20" s="586"/>
      <c r="C20" s="586"/>
      <c r="D20" s="586"/>
      <c r="E20" s="586"/>
      <c r="F20" s="586"/>
      <c r="G20" s="717"/>
      <c r="H20" s="694"/>
      <c r="I20" s="587"/>
      <c r="J20" s="25"/>
      <c r="K20" s="694"/>
      <c r="L20" s="694"/>
      <c r="M20" s="719"/>
      <c r="N20" t="s" s="536">
        <v>1831</v>
      </c>
      <c r="O20" s="721">
        <f>COUNTIF(N27:N100,"Non renseigné")</f>
        <v>35</v>
      </c>
      <c r="P20" s="722"/>
      <c r="Q20" s="722"/>
      <c r="R20" s="723"/>
      <c r="S20" s="724"/>
      <c r="T20" s="586"/>
      <c r="U20" s="586"/>
      <c r="V20" s="586"/>
      <c r="W20" s="586"/>
      <c r="X20" s="586"/>
      <c r="Y20" s="586"/>
      <c r="Z20" s="586"/>
      <c r="AA20" s="586"/>
      <c r="AB20" s="586"/>
      <c r="AC20" s="586"/>
      <c r="AD20" s="586"/>
      <c r="AE20" s="586"/>
      <c r="AF20" s="586"/>
      <c r="AG20" s="586"/>
      <c r="AH20" s="586"/>
      <c r="AI20" s="1040"/>
      <c r="AJ20" s="585"/>
    </row>
    <row r="21" ht="30" customHeight="1">
      <c r="A21" s="1039"/>
      <c r="B21" s="586"/>
      <c r="C21" s="586"/>
      <c r="D21" s="586"/>
      <c r="E21" t="s" s="744">
        <f>RIGHT($B$1,1)&amp;"17"</f>
        <v>408</v>
      </c>
      <c r="F21" s="586"/>
      <c r="G21" t="s" s="667">
        <f>IF(VLOOKUP(E21,'BDD'!$A$2:$N$567,14,FALSE)=0,"",VLOOKUP(E21,'BDD'!$A$2:$N$567,14,FALSE))</f>
      </c>
      <c r="H21" s="694"/>
      <c r="I21" s="694"/>
      <c r="J21" s="25"/>
      <c r="K21" s="694"/>
      <c r="L21" s="694"/>
      <c r="M21" s="719"/>
      <c r="N21" t="s" s="855">
        <v>1832</v>
      </c>
      <c r="O21" s="856">
        <f>COUNTIF($N$27:$N$91,"Non évalué")</f>
        <v>0</v>
      </c>
      <c r="P21" s="857"/>
      <c r="Q21" s="857"/>
      <c r="R21" s="858"/>
      <c r="S21" s="724"/>
      <c r="T21" s="586"/>
      <c r="U21" s="586"/>
      <c r="V21" s="586"/>
      <c r="W21" s="586"/>
      <c r="X21" s="586"/>
      <c r="Y21" s="586"/>
      <c r="Z21" s="586"/>
      <c r="AA21" s="586"/>
      <c r="AB21" s="586"/>
      <c r="AC21" s="586"/>
      <c r="AD21" s="586"/>
      <c r="AE21" s="586"/>
      <c r="AF21" s="586"/>
      <c r="AG21" s="586"/>
      <c r="AH21" s="586"/>
      <c r="AI21" s="1040"/>
      <c r="AJ21" s="585"/>
    </row>
    <row r="22" ht="50.4" customHeight="1">
      <c r="A22" s="1039"/>
      <c r="B22" s="586"/>
      <c r="C22" s="586"/>
      <c r="D22" s="586"/>
      <c r="E22" s="25"/>
      <c r="F22" s="586"/>
      <c r="G22" t="s" s="667">
        <f>IF(VLOOKUP($E33,'BDD'!$A$2:$N$567,14,FALSE)=0,"",VLOOKUP($E33,'BDD'!$A$2:$N$567,14,FALSE))</f>
      </c>
      <c r="H22" s="730"/>
      <c r="I22" s="730"/>
      <c r="J22" s="730"/>
      <c r="K22" s="730"/>
      <c r="L22" s="731"/>
      <c r="M22" s="719"/>
      <c r="N22" t="s" s="732">
        <v>1833</v>
      </c>
      <c r="O22" s="733">
        <v>0</v>
      </c>
      <c r="P22" s="734"/>
      <c r="Q22" s="734"/>
      <c r="R22" s="734"/>
      <c r="S22" s="586"/>
      <c r="T22" s="586"/>
      <c r="U22" s="586"/>
      <c r="V22" s="586"/>
      <c r="W22" s="586"/>
      <c r="X22" s="586"/>
      <c r="Y22" s="586"/>
      <c r="Z22" s="586"/>
      <c r="AA22" s="586"/>
      <c r="AB22" s="586"/>
      <c r="AC22" s="586"/>
      <c r="AD22" s="586"/>
      <c r="AE22" s="586"/>
      <c r="AF22" s="586"/>
      <c r="AG22" s="586"/>
      <c r="AH22" s="586"/>
      <c r="AI22" s="1040"/>
      <c r="AJ22" s="585"/>
    </row>
    <row r="23" ht="30" customHeight="1">
      <c r="A23" s="1039"/>
      <c r="B23" s="586"/>
      <c r="C23" s="25"/>
      <c r="D23" s="586"/>
      <c r="E23" s="586"/>
      <c r="F23" s="586"/>
      <c r="G23" s="736"/>
      <c r="H23" t="s" s="737">
        <v>245</v>
      </c>
      <c r="I23" s="738"/>
      <c r="J23" s="739"/>
      <c r="K23" s="739"/>
      <c r="L23" s="740"/>
      <c r="M23" s="741"/>
      <c r="N23" s="742"/>
      <c r="O23" s="730"/>
      <c r="P23" s="730"/>
      <c r="Q23" s="730"/>
      <c r="R23" s="730"/>
      <c r="S23" s="730"/>
      <c r="T23" s="730"/>
      <c r="U23" s="730"/>
      <c r="V23" s="730"/>
      <c r="W23" s="586"/>
      <c r="X23" s="586"/>
      <c r="Y23" s="586"/>
      <c r="Z23" s="586"/>
      <c r="AA23" s="586"/>
      <c r="AB23" s="586"/>
      <c r="AC23" s="586"/>
      <c r="AD23" s="586"/>
      <c r="AE23" s="586"/>
      <c r="AF23" s="586"/>
      <c r="AG23" s="586"/>
      <c r="AH23" s="586"/>
      <c r="AI23" s="1040"/>
      <c r="AJ23" s="585"/>
    </row>
    <row r="24" ht="39.6" customHeight="1">
      <c r="A24" s="1039"/>
      <c r="B24" s="586"/>
      <c r="C24" t="s" s="744">
        <v>10</v>
      </c>
      <c r="D24" t="s" s="745">
        <v>1745</v>
      </c>
      <c r="E24" t="s" s="745">
        <v>1834</v>
      </c>
      <c r="F24" s="746"/>
      <c r="G24" t="s" s="747">
        <v>244</v>
      </c>
      <c r="H24" t="s" s="747">
        <v>283</v>
      </c>
      <c r="I24" t="s" s="747">
        <v>263</v>
      </c>
      <c r="J24" t="s" s="747">
        <v>271</v>
      </c>
      <c r="K24" t="s" s="747">
        <v>291</v>
      </c>
      <c r="L24" t="s" s="747">
        <v>256</v>
      </c>
      <c r="M24" s="748"/>
      <c r="N24" t="s" s="747">
        <v>1764</v>
      </c>
      <c r="O24" t="s" s="749">
        <v>22</v>
      </c>
      <c r="P24" s="750"/>
      <c r="Q24" s="750"/>
      <c r="R24" s="752"/>
      <c r="S24" t="s" s="749">
        <v>223</v>
      </c>
      <c r="T24" s="750"/>
      <c r="U24" s="750"/>
      <c r="V24" s="752"/>
      <c r="W24" s="724"/>
      <c r="X24" s="586"/>
      <c r="Y24" s="586"/>
      <c r="Z24" s="586"/>
      <c r="AA24" s="586"/>
      <c r="AB24" s="586"/>
      <c r="AC24" s="586"/>
      <c r="AD24" s="586"/>
      <c r="AE24" s="586"/>
      <c r="AF24" s="586"/>
      <c r="AG24" s="586"/>
      <c r="AH24" s="586"/>
      <c r="AI24" s="1040"/>
      <c r="AJ24" s="585"/>
    </row>
    <row r="25" ht="30" customHeight="1">
      <c r="A25" s="1039"/>
      <c r="B25" s="753"/>
      <c r="C25" t="s" s="754">
        <f>IF(LEFT(RIGHT($B$1,2),1)=" ",RIGHT($B$1,1),RIGHT($B$1,2))</f>
        <v>267</v>
      </c>
      <c r="D25" s="755">
        <f>IF(LEFT(F25,5)="Bonne",B23+1,D24)</f>
        <v>1</v>
      </c>
      <c r="E25" s="756"/>
      <c r="F25" t="s" s="757">
        <v>1762</v>
      </c>
      <c r="G25" t="s" s="758">
        <f>VLOOKUP(E27,'BDD'!$A$2:$N$567,6,FALSE)</f>
        <v>1546</v>
      </c>
      <c r="H25" s="759"/>
      <c r="I25" s="760"/>
      <c r="J25" s="760"/>
      <c r="K25" s="760"/>
      <c r="L25" s="761"/>
      <c r="M25" s="762"/>
      <c r="N25" s="763"/>
      <c r="O25" s="764">
        <v>0</v>
      </c>
      <c r="P25" s="764"/>
      <c r="Q25" s="764"/>
      <c r="R25" s="764"/>
      <c r="S25" s="765">
        <f>_xlfn.SUMIFS(S1:S100,$D1:$D100,D25,$N1:$N100,"Exigences"&amp;"*")</f>
      </c>
      <c r="T25" s="765"/>
      <c r="U25" s="765"/>
      <c r="V25" s="1149"/>
      <c r="W25" s="724"/>
      <c r="X25" s="586"/>
      <c r="Y25" s="586"/>
      <c r="Z25" s="586"/>
      <c r="AA25" s="586"/>
      <c r="AB25" s="586"/>
      <c r="AC25" s="586"/>
      <c r="AD25" s="586"/>
      <c r="AE25" s="586"/>
      <c r="AF25" s="586"/>
      <c r="AG25" s="586"/>
      <c r="AH25" s="586"/>
      <c r="AI25" s="1040"/>
      <c r="AJ25" s="585"/>
    </row>
    <row r="26" ht="30" customHeight="1">
      <c r="A26" s="1039"/>
      <c r="B26" s="753"/>
      <c r="C26" t="s" s="754">
        <f>IF(LEFT(RIGHT($B$1,2),1)=" ",RIGHT($B$1,1),RIGHT($B$1,2))</f>
        <v>267</v>
      </c>
      <c r="D26" s="755">
        <f>IF(LEFT(F26,5)="Bonne",D24+1,D25)</f>
        <v>1</v>
      </c>
      <c r="E26" s="768"/>
      <c r="F26" t="s" s="769">
        <v>1835</v>
      </c>
      <c r="G26" t="s" s="809">
        <f>VLOOKUP(E28,'BDD'!$A$2:$N$567,7,FALSE)</f>
        <v>2527</v>
      </c>
      <c r="H26" s="810"/>
      <c r="I26" s="810"/>
      <c r="J26" s="810"/>
      <c r="K26" s="810"/>
      <c r="L26" s="810"/>
      <c r="M26" s="810"/>
      <c r="N26" s="811"/>
      <c r="O26" s="775"/>
      <c r="P26" s="775"/>
      <c r="Q26" s="775"/>
      <c r="R26" s="775"/>
      <c r="S26" s="776"/>
      <c r="T26" s="776"/>
      <c r="U26" s="776"/>
      <c r="V26" s="1150"/>
      <c r="W26" s="1151">
        <f>_xlfn.IFERROR(IF(M26='Suppl'!$E$65,0,IF(M26='Suppl'!$E$66,1/2/(_xlfn.COUNTIFS($N1:$N100,"Exigences"&amp;"*")+_xlfn.COUNTIFS($N1:$N100,"Non"&amp;"*")),IF(M26='Suppl'!$E$67,1/(_xlfn.COUNTIFS($N1:$N100,"Exigences"&amp;"*")+_xlfn.COUNTIFS($N1:$N100,"Non"&amp;"*")),0))),0)</f>
        <v>0</v>
      </c>
      <c r="X26" s="797">
        <f>_xlfn.IFERROR(IF(N26='Suppl'!$E$65,0,IF(N26='Suppl'!$E$66,1/2/(_xlfn.COUNTIFS($N1:$N100,"Exigences"&amp;"*")+_xlfn.COUNTIFS($N1:$N100,"Non"&amp;"*")),IF(N26='Suppl'!$E$67,1/(_xlfn.COUNTIFS($N1:$N100,"Exigences"&amp;"*")+_xlfn.COUNTIFS($N1:$N100,"Non"&amp;"*")),0))),0)</f>
        <v>0</v>
      </c>
      <c r="Y26" s="586"/>
      <c r="Z26" s="586"/>
      <c r="AA26" s="586"/>
      <c r="AB26" s="586"/>
      <c r="AC26" s="586"/>
      <c r="AD26" s="586"/>
      <c r="AE26" s="586"/>
      <c r="AF26" s="586"/>
      <c r="AG26" s="586"/>
      <c r="AH26" s="586"/>
      <c r="AI26" s="1040"/>
      <c r="AJ26" s="585"/>
    </row>
    <row r="27" ht="30" customHeight="1">
      <c r="A27" s="1039"/>
      <c r="B27" s="753"/>
      <c r="C27" t="s" s="754">
        <f>IF(LEFT(RIGHT($B$1,2),1)=" ",RIGHT($B$1,1),RIGHT($B$1,2))</f>
        <v>267</v>
      </c>
      <c r="D27" s="755">
        <f>IF(LEFT(F27,5)="Bonne",D25+1,D26)</f>
        <v>1</v>
      </c>
      <c r="E27" t="s" s="778">
        <f>C27&amp;D27&amp;RIGHT(F27,1)</f>
        <v>2483</v>
      </c>
      <c r="F27" t="s" s="779">
        <v>1769</v>
      </c>
      <c r="G27" t="s" s="780">
        <f>VLOOKUP(E27,'BDD'!$A$2:$N$567,MATCH(G$24,'BDD'!$A$1:$P$1,0),FALSE)</f>
        <v>2484</v>
      </c>
      <c r="H27" t="s" s="799">
        <f>IF(VLOOKUP($E27,'BDD'!$A$2:$N$567,MATCH($H$23,'BDD'!$A$1:$P$1,0),FALSE)=H$24,H$24,"")</f>
        <v>1966</v>
      </c>
      <c r="I27" t="s" s="792">
        <f>IF(VLOOKUP($E27,'BDD'!$A$2:$N$567,MATCH($H$23,'BDD'!$A$1:$P$1,0),FALSE)=I$24,I$24,"")</f>
      </c>
      <c r="J27" t="s" s="792">
        <f>IF(VLOOKUP($E27,'BDD'!$A$2:$N$567,MATCH($H$23,'BDD'!$A$1:$P$1,0),FALSE)=J$24,J$24,"")</f>
      </c>
      <c r="K27" t="s" s="792">
        <f>IF(VLOOKUP($E27,'BDD'!$A$2:$N$567,MATCH($H$23,'BDD'!$A$1:$P$1,0),FALSE)=K$24,K$24,"")</f>
      </c>
      <c r="L27" t="s" s="783">
        <f>IF(VLOOKUP($E27,'BDD'!$A$2:$N$567,MATCH($H$23,'BDD'!$A$1:$P$1,0),FALSE)=L$24,L$24,"")</f>
      </c>
      <c r="M27" s="784">
        <f>IF(N27="Exigences partiellement respectées",1,IF(N27="Exigences respectées",2,0))</f>
        <v>0</v>
      </c>
      <c r="N27" t="s" s="780">
        <f>VLOOKUP(VLOOKUP(E27,'BDD'!$A$2:$P$550,15,FALSE),'Suppl'!$D$64:$E$68,2,FALSE)</f>
        <v>1751</v>
      </c>
      <c r="O27" s="785"/>
      <c r="P27" s="786"/>
      <c r="Q27" s="786"/>
      <c r="R27" s="1152"/>
      <c r="S27" s="1153">
        <f>IF(N27='Suppl'!$E$65,0,IF(N27='Suppl'!$E$66,1/2/(_xlfn.COUNTIFS($D1:$D100,D27,$N1:$N100,"Exigences"&amp;"*",G1:G100,"&lt;&gt;0")+_xlfn.COUNTIFS($D1:$D100,D27,$N1:$N100,"Non"&amp;"*",G1:G100,"&lt;&gt;0")),IF(N27='Suppl'!$E$67,1/(_xlfn.COUNTIFS($D1:$D100,D27,$N1:$N100,"Exigences"&amp;"*",G1:G100,"&lt;&gt;0")+_xlfn.COUNTIFS($D1:$D100,D27,$N1:$N100,"Non"&amp;"*",G1:G100,"&lt;&gt;0")),0)))</f>
        <v>0</v>
      </c>
      <c r="T27" s="787"/>
      <c r="U27" s="787"/>
      <c r="V27" s="1154"/>
      <c r="W27" s="1151">
        <f>_xlfn.IFERROR(IF(M27='Suppl'!$E$65,0,IF(M27='Suppl'!$E$66,1/2/(_xlfn.COUNTIFS($N1:$N100,"Exigences"&amp;"*")+_xlfn.COUNTIFS($N1:$N100,"Non"&amp;"*")),IF(M27='Suppl'!$E$67,1/(_xlfn.COUNTIFS($N1:$N100,"Exigences"&amp;"*")+_xlfn.COUNTIFS($N1:$N100,"Non"&amp;"*")),0))),0)</f>
      </c>
      <c r="X27" s="797">
        <f>_xlfn.IFERROR(IF(N27='Suppl'!$E$65,0,IF(N27='Suppl'!$E$66,1/2/(_xlfn.COUNTIFS($N1:$N100,"Exigences"&amp;"*")+_xlfn.COUNTIFS($N1:$N100,"Non"&amp;"*")),IF(N27='Suppl'!$E$67,1/(_xlfn.COUNTIFS($N1:$N100,"Exigences"&amp;"*")+_xlfn.COUNTIFS($N1:$N100,"Non"&amp;"*")),0))),0)</f>
        <v>0</v>
      </c>
      <c r="Y27" s="586"/>
      <c r="Z27" s="586"/>
      <c r="AA27" s="586"/>
      <c r="AB27" s="586"/>
      <c r="AC27" s="586"/>
      <c r="AD27" s="586"/>
      <c r="AE27" s="586"/>
      <c r="AF27" s="586"/>
      <c r="AG27" s="586"/>
      <c r="AH27" s="586"/>
      <c r="AI27" s="1040"/>
      <c r="AJ27" s="585"/>
    </row>
    <row r="28" ht="30" customHeight="1">
      <c r="A28" s="1039"/>
      <c r="B28" s="753"/>
      <c r="C28" t="s" s="754">
        <f>IF(LEFT(RIGHT($B$1,2),1)=" ",RIGHT($B$1,1),RIGHT($B$1,2))</f>
        <v>267</v>
      </c>
      <c r="D28" s="755">
        <f>IF(LEFT(F28,5)="Bonne",D26+1,D27)</f>
        <v>1</v>
      </c>
      <c r="E28" t="s" s="778">
        <f>C28&amp;D28&amp;RIGHT(F28,1)</f>
        <v>2485</v>
      </c>
      <c r="F28" t="s" s="790">
        <v>1837</v>
      </c>
      <c r="G28" t="s" s="791">
        <f>VLOOKUP(E28,'BDD'!$A$2:$N$567,MATCH(G$24,'BDD'!$A$1:$P$1,0),FALSE)</f>
        <v>1553</v>
      </c>
      <c r="H28" t="s" s="799">
        <f>IF(VLOOKUP($E28,'BDD'!$A$2:$N$567,MATCH($H$23,'BDD'!$A$1:$P$1,0),FALSE)=H$24,H$24,"")</f>
      </c>
      <c r="I28" t="s" s="792">
        <f>IF(VLOOKUP($E28,'BDD'!$A$2:$N$567,MATCH($H$23,'BDD'!$A$1:$P$1,0),FALSE)=I$24,I$24,"")</f>
        <v>1969</v>
      </c>
      <c r="J28" t="s" s="792">
        <f>IF(VLOOKUP($E28,'BDD'!$A$2:$N$567,MATCH($H$23,'BDD'!$A$1:$P$1,0),FALSE)=J$24,J$24,"")</f>
      </c>
      <c r="K28" t="s" s="792">
        <f>IF(VLOOKUP($E28,'BDD'!$A$2:$N$567,MATCH($H$23,'BDD'!$A$1:$P$1,0),FALSE)=K$24,K$24,"")</f>
      </c>
      <c r="L28" t="s" s="783">
        <f>IF(VLOOKUP($E28,'BDD'!$A$2:$N$567,MATCH($H$23,'BDD'!$A$1:$P$1,0),FALSE)=L$24,L$24,"")</f>
      </c>
      <c r="M28" s="794">
        <f>IF(N28="Exigences partiellement respectées",1,IF(N28="Exigences respectées",2,0))</f>
        <v>0</v>
      </c>
      <c r="N28" t="s" s="791">
        <f>VLOOKUP(VLOOKUP(E28,'BDD'!$A$2:$P$550,15,FALSE),'Suppl'!$D$64:$E$68,2,FALSE)</f>
        <v>1751</v>
      </c>
      <c r="O28" s="795"/>
      <c r="P28" s="796"/>
      <c r="Q28" s="796"/>
      <c r="R28" s="1155"/>
      <c r="S28" s="1151">
        <f>IF(N28='Suppl'!$E$65,0,IF(N28='Suppl'!$E$66,1/2/(_xlfn.COUNTIFS($D1:$D100,D28,$N1:$N100,"Exigences"&amp;"*",G1:G100,"&lt;&gt;0")+_xlfn.COUNTIFS($D1:$D100,D28,$N1:$N100,"Non"&amp;"*",G1:G100,"&lt;&gt;0")),IF(N28='Suppl'!$E$67,1/(_xlfn.COUNTIFS($D1:$D100,D28,$N1:$N100,"Exigences"&amp;"*",G1:G100,"&lt;&gt;0")+_xlfn.COUNTIFS($D1:$D100,D28,$N1:$N100,"Non"&amp;"*",G1:G100,"&lt;&gt;0")),0)))</f>
        <v>0</v>
      </c>
      <c r="T28" s="797"/>
      <c r="U28" s="797"/>
      <c r="V28" s="1156"/>
      <c r="W28" s="1151">
        <f>_xlfn.IFERROR(IF(M28='Suppl'!$E$65,0,IF(M28='Suppl'!$E$66,1/2/(_xlfn.COUNTIFS($N1:$N100,"Exigences"&amp;"*")+_xlfn.COUNTIFS($N1:$N100,"Non"&amp;"*")),IF(M28='Suppl'!$E$67,1/(_xlfn.COUNTIFS($N1:$N100,"Exigences"&amp;"*")+_xlfn.COUNTIFS($N1:$N100,"Non"&amp;"*")),0))),0)</f>
      </c>
      <c r="X28" s="797">
        <f>_xlfn.IFERROR(IF(N28='Suppl'!$E$65,0,IF(N28='Suppl'!$E$66,1/2/(_xlfn.COUNTIFS($N1:$N100,"Exigences"&amp;"*")+_xlfn.COUNTIFS($N1:$N100,"Non"&amp;"*")),IF(N28='Suppl'!$E$67,1/(_xlfn.COUNTIFS($N1:$N100,"Exigences"&amp;"*")+_xlfn.COUNTIFS($N1:$N100,"Non"&amp;"*")),0))),0)</f>
        <v>0</v>
      </c>
      <c r="Y28" s="586"/>
      <c r="Z28" s="586"/>
      <c r="AA28" s="586"/>
      <c r="AB28" s="586"/>
      <c r="AC28" s="586"/>
      <c r="AD28" s="586"/>
      <c r="AE28" s="586"/>
      <c r="AF28" s="586"/>
      <c r="AG28" s="586"/>
      <c r="AH28" s="586"/>
      <c r="AI28" s="1040"/>
      <c r="AJ28" s="585"/>
    </row>
    <row r="29" ht="30" customHeight="1">
      <c r="A29" s="1039"/>
      <c r="B29" s="753"/>
      <c r="C29" t="s" s="754">
        <f>IF(LEFT(RIGHT($B$1,2),1)=" ",RIGHT($B$1,1),RIGHT($B$1,2))</f>
        <v>267</v>
      </c>
      <c r="D29" s="755">
        <f>IF(LEFT(F29,5)="Bonne",D27+1,D28)</f>
        <v>1</v>
      </c>
      <c r="E29" t="s" s="778">
        <f>C29&amp;D29&amp;RIGHT(F29,1)</f>
        <v>2486</v>
      </c>
      <c r="F29" t="s" s="779">
        <v>1774</v>
      </c>
      <c r="G29" t="s" s="780">
        <f>VLOOKUP(E29,'BDD'!$A$2:$N$567,MATCH(G$24,'BDD'!$A$1:$P$1,0),FALSE)</f>
        <v>1558</v>
      </c>
      <c r="H29" t="s" s="799">
        <f>IF(VLOOKUP($E29,'BDD'!$A$2:$N$567,MATCH($H$23,'BDD'!$A$1:$P$1,0),FALSE)=H$24,H$24,"")</f>
      </c>
      <c r="I29" t="s" s="792">
        <f>IF(VLOOKUP($E29,'BDD'!$A$2:$N$567,MATCH($H$23,'BDD'!$A$1:$P$1,0),FALSE)=I$24,I$24,"")</f>
      </c>
      <c r="J29" t="s" s="792">
        <f>IF(VLOOKUP($E29,'BDD'!$A$2:$N$567,MATCH($H$23,'BDD'!$A$1:$P$1,0),FALSE)=J$24,J$24,"")</f>
        <v>1967</v>
      </c>
      <c r="K29" t="s" s="792">
        <f>IF(VLOOKUP($E29,'BDD'!$A$2:$N$567,MATCH($H$23,'BDD'!$A$1:$P$1,0),FALSE)=K$24,K$24,"")</f>
      </c>
      <c r="L29" t="s" s="783">
        <f>IF(VLOOKUP($E29,'BDD'!$A$2:$N$567,MATCH($H$23,'BDD'!$A$1:$P$1,0),FALSE)=L$24,L$24,"")</f>
      </c>
      <c r="M29" s="794">
        <f>IF(N29="Exigences partiellement respectées",1,IF(N29="Exigences respectées",2,0))</f>
        <v>0</v>
      </c>
      <c r="N29" t="s" s="780">
        <f>VLOOKUP(VLOOKUP(E29,'BDD'!$A$2:$P$550,15,FALSE),'Suppl'!$D$64:$E$68,2,FALSE)</f>
        <v>1751</v>
      </c>
      <c r="O29" s="795"/>
      <c r="P29" s="796"/>
      <c r="Q29" s="796"/>
      <c r="R29" s="1155"/>
      <c r="S29" s="1151">
        <f>IF(N29='Suppl'!$E$65,0,IF(N29='Suppl'!$E$66,1/2/(_xlfn.COUNTIFS($D1:$D100,D29,$N1:$N100,"Exigences"&amp;"*",G1:G100,"&lt;&gt;0")+_xlfn.COUNTIFS($D1:$D100,D29,$N1:$N100,"Non"&amp;"*",G1:G100,"&lt;&gt;0")),IF(N29='Suppl'!$E$67,1/(_xlfn.COUNTIFS($D1:$D100,D29,$N1:$N100,"Exigences"&amp;"*",G1:G100,"&lt;&gt;0")+_xlfn.COUNTIFS($D1:$D100,D29,$N1:$N100,"Non"&amp;"*",G1:G100,"&lt;&gt;0")),0)))</f>
        <v>0</v>
      </c>
      <c r="T29" s="797"/>
      <c r="U29" s="797"/>
      <c r="V29" s="1156"/>
      <c r="W29" s="1151">
        <f>_xlfn.IFERROR(IF(M29='Suppl'!$E$65,0,IF(M29='Suppl'!$E$66,1/2/(_xlfn.COUNTIFS($N1:$N100,"Exigences"&amp;"*")+_xlfn.COUNTIFS($N1:$N100,"Non"&amp;"*")),IF(M29='Suppl'!$E$67,1/(_xlfn.COUNTIFS($N1:$N100,"Exigences"&amp;"*")+_xlfn.COUNTIFS($N1:$N100,"Non"&amp;"*")),0))),0)</f>
      </c>
      <c r="X29" s="797">
        <f>_xlfn.IFERROR(IF(N29='Suppl'!$E$65,0,IF(N29='Suppl'!$E$66,1/2/(_xlfn.COUNTIFS($N1:$N100,"Exigences"&amp;"*")+_xlfn.COUNTIFS($N1:$N100,"Non"&amp;"*")),IF(N29='Suppl'!$E$67,1/(_xlfn.COUNTIFS($N1:$N100,"Exigences"&amp;"*")+_xlfn.COUNTIFS($N1:$N100,"Non"&amp;"*")),0))),0)</f>
        <v>0</v>
      </c>
      <c r="Y29" s="586"/>
      <c r="Z29" s="586"/>
      <c r="AA29" s="586"/>
      <c r="AB29" s="586"/>
      <c r="AC29" s="586"/>
      <c r="AD29" s="586"/>
      <c r="AE29" s="586"/>
      <c r="AF29" s="586"/>
      <c r="AG29" s="586"/>
      <c r="AH29" s="586"/>
      <c r="AI29" s="1040"/>
      <c r="AJ29" s="585"/>
    </row>
    <row r="30" ht="30" customHeight="1">
      <c r="A30" s="1039"/>
      <c r="B30" s="753"/>
      <c r="C30" t="s" s="754">
        <f>IF(LEFT(RIGHT($B$1,2),1)=" ",RIGHT($B$1,1),RIGHT($B$1,2))</f>
        <v>267</v>
      </c>
      <c r="D30" s="755">
        <f>IF(LEFT(F30,5)="Bonne",D28+1,D29)</f>
        <v>1</v>
      </c>
      <c r="E30" t="s" s="778">
        <f>C30&amp;D30&amp;RIGHT(F30,1)</f>
        <v>2487</v>
      </c>
      <c r="F30" t="s" s="790">
        <v>1776</v>
      </c>
      <c r="G30" t="s" s="791">
        <f>VLOOKUP(E30,'BDD'!$A$2:$N$567,MATCH(G$24,'BDD'!$A$1:$P$1,0),FALSE)</f>
        <v>1562</v>
      </c>
      <c r="H30" t="s" s="799">
        <f>IF(VLOOKUP($E30,'BDD'!$A$2:$N$567,MATCH($H$23,'BDD'!$A$1:$P$1,0),FALSE)=H$24,H$24,"")</f>
      </c>
      <c r="I30" t="s" s="792">
        <f>IF(VLOOKUP($E30,'BDD'!$A$2:$N$567,MATCH($H$23,'BDD'!$A$1:$P$1,0),FALSE)=I$24,I$24,"")</f>
      </c>
      <c r="J30" t="s" s="792">
        <f>IF(VLOOKUP($E30,'BDD'!$A$2:$N$567,MATCH($H$23,'BDD'!$A$1:$P$1,0),FALSE)=J$24,J$24,"")</f>
        <v>1967</v>
      </c>
      <c r="K30" t="s" s="792">
        <f>IF(VLOOKUP($E30,'BDD'!$A$2:$N$567,MATCH($H$23,'BDD'!$A$1:$P$1,0),FALSE)=K$24,K$24,"")</f>
      </c>
      <c r="L30" t="s" s="783">
        <f>IF(VLOOKUP($E30,'BDD'!$A$2:$N$567,MATCH($H$23,'BDD'!$A$1:$P$1,0),FALSE)=L$24,L$24,"")</f>
      </c>
      <c r="M30" s="794">
        <f>IF(N30="Exigences partiellement respectées",1,IF(N30="Exigences respectées",2,0))</f>
        <v>0</v>
      </c>
      <c r="N30" t="s" s="791">
        <f>VLOOKUP(VLOOKUP(E30,'BDD'!$A$2:$P$550,15,FALSE),'Suppl'!$D$64:$E$68,2,FALSE)</f>
        <v>1751</v>
      </c>
      <c r="O30" s="795"/>
      <c r="P30" s="796"/>
      <c r="Q30" s="796"/>
      <c r="R30" s="1155"/>
      <c r="S30" s="1151">
        <f>IF(N30='Suppl'!$E$65,0,IF(N30='Suppl'!$E$66,1/2/(_xlfn.COUNTIFS($D1:$D100,D30,$N1:$N100,"Exigences"&amp;"*",G1:G100,"&lt;&gt;0")+_xlfn.COUNTIFS($D1:$D100,D30,$N1:$N100,"Non"&amp;"*",G1:G100,"&lt;&gt;0")),IF(N30='Suppl'!$E$67,1/(_xlfn.COUNTIFS($D1:$D100,D30,$N1:$N100,"Exigences"&amp;"*",G1:G100,"&lt;&gt;0")+_xlfn.COUNTIFS($D1:$D100,D30,$N1:$N100,"Non"&amp;"*",G1:G100,"&lt;&gt;0")),0)))</f>
        <v>0</v>
      </c>
      <c r="T30" s="797"/>
      <c r="U30" s="797"/>
      <c r="V30" s="1156"/>
      <c r="W30" s="1151">
        <f>_xlfn.IFERROR(IF(M30='Suppl'!$E$65,0,IF(M30='Suppl'!$E$66,1/2/(_xlfn.COUNTIFS($N1:$N100,"Exigences"&amp;"*")+_xlfn.COUNTIFS($N1:$N100,"Non"&amp;"*")),IF(M30='Suppl'!$E$67,1/(_xlfn.COUNTIFS($N1:$N100,"Exigences"&amp;"*")+_xlfn.COUNTIFS($N1:$N100,"Non"&amp;"*")),0))),0)</f>
      </c>
      <c r="X30" s="797">
        <f>_xlfn.IFERROR(IF(N30='Suppl'!$E$65,0,IF(N30='Suppl'!$E$66,1/2/(_xlfn.COUNTIFS($N1:$N100,"Exigences"&amp;"*")+_xlfn.COUNTIFS($N1:$N100,"Non"&amp;"*")),IF(N30='Suppl'!$E$67,1/(_xlfn.COUNTIFS($N1:$N100,"Exigences"&amp;"*")+_xlfn.COUNTIFS($N1:$N100,"Non"&amp;"*")),0))),0)</f>
        <v>0</v>
      </c>
      <c r="Y30" t="s" s="744">
        <v>171</v>
      </c>
      <c r="Z30" s="586"/>
      <c r="AA30" s="586"/>
      <c r="AB30" s="586"/>
      <c r="AC30" s="586"/>
      <c r="AD30" s="586"/>
      <c r="AE30" s="586"/>
      <c r="AF30" s="586"/>
      <c r="AG30" s="586"/>
      <c r="AH30" s="586"/>
      <c r="AI30" s="1040"/>
      <c r="AJ30" s="585"/>
    </row>
    <row r="31" ht="30" customHeight="1">
      <c r="A31" s="1039"/>
      <c r="B31" s="753"/>
      <c r="C31" t="s" s="754">
        <f>IF(LEFT(RIGHT($B$1,2),1)=" ",RIGHT($B$1,1),RIGHT($B$1,2))</f>
        <v>267</v>
      </c>
      <c r="D31" s="755">
        <f>IF(LEFT(F31,5)="Bonne",D29+1,D30)</f>
        <v>1</v>
      </c>
      <c r="E31" t="s" s="778">
        <f>C31&amp;D31&amp;RIGHT(F31,1)</f>
        <v>2488</v>
      </c>
      <c r="F31" t="s" s="779">
        <v>1778</v>
      </c>
      <c r="G31" t="s" s="780">
        <f>VLOOKUP(E31,'BDD'!$A$2:$N$567,MATCH(G$24,'BDD'!$A$1:$P$1,0),FALSE)</f>
        <v>1566</v>
      </c>
      <c r="H31" t="s" s="799">
        <f>IF(VLOOKUP($E31,'BDD'!$A$2:$N$567,MATCH($H$23,'BDD'!$A$1:$P$1,0),FALSE)=H$24,H$24,"")</f>
      </c>
      <c r="I31" t="s" s="792">
        <f>IF(VLOOKUP($E31,'BDD'!$A$2:$N$567,MATCH($H$23,'BDD'!$A$1:$P$1,0),FALSE)=I$24,I$24,"")</f>
      </c>
      <c r="J31" t="s" s="792">
        <f>IF(VLOOKUP($E31,'BDD'!$A$2:$N$567,MATCH($H$23,'BDD'!$A$1:$P$1,0),FALSE)=J$24,J$24,"")</f>
      </c>
      <c r="K31" t="s" s="792">
        <f>IF(VLOOKUP($E31,'BDD'!$A$2:$N$567,MATCH($H$23,'BDD'!$A$1:$P$1,0),FALSE)=K$24,K$24,"")</f>
        <v>1968</v>
      </c>
      <c r="L31" t="s" s="783">
        <f>IF(VLOOKUP($E31,'BDD'!$A$2:$N$567,MATCH($H$23,'BDD'!$A$1:$P$1,0),FALSE)=L$24,L$24,"")</f>
      </c>
      <c r="M31" s="794">
        <f>IF(N31="Exigences partiellement respectées",1,IF(N31="Exigences respectées",2,0))</f>
        <v>0</v>
      </c>
      <c r="N31" t="s" s="780">
        <f>VLOOKUP(VLOOKUP(E31,'BDD'!$A$2:$P$550,15,FALSE),'Suppl'!$D$64:$E$68,2,FALSE)</f>
        <v>1751</v>
      </c>
      <c r="O31" s="795"/>
      <c r="P31" s="796"/>
      <c r="Q31" s="796"/>
      <c r="R31" s="1155"/>
      <c r="S31" s="1151">
        <f>IF(N31='Suppl'!$E$65,0,IF(N31='Suppl'!$E$66,1/2/(_xlfn.COUNTIFS($D1:$D100,D31,$N1:$N100,"Exigences"&amp;"*",G1:G100,"&lt;&gt;0")+_xlfn.COUNTIFS($D1:$D100,D31,$N1:$N100,"Non"&amp;"*",G1:G100,"&lt;&gt;0")),IF(N31='Suppl'!$E$67,1/(_xlfn.COUNTIFS($D1:$D100,D31,$N1:$N100,"Exigences"&amp;"*",G1:G100,"&lt;&gt;0")+_xlfn.COUNTIFS($D1:$D100,D31,$N1:$N100,"Non"&amp;"*",G1:G100,"&lt;&gt;0")),0)))</f>
        <v>0</v>
      </c>
      <c r="T31" s="797"/>
      <c r="U31" s="797"/>
      <c r="V31" s="1156"/>
      <c r="W31" s="1151">
        <f>_xlfn.IFERROR(IF(M31='Suppl'!$E$65,0,IF(M31='Suppl'!$E$66,1/2/(_xlfn.COUNTIFS($N1:$N100,"Exigences"&amp;"*")+_xlfn.COUNTIFS($N1:$N100,"Non"&amp;"*")),IF(M31='Suppl'!$E$67,1/(_xlfn.COUNTIFS($N1:$N100,"Exigences"&amp;"*")+_xlfn.COUNTIFS($N1:$N100,"Non"&amp;"*")),0))),0)</f>
      </c>
      <c r="X31" s="797">
        <f>_xlfn.IFERROR(IF(N31='Suppl'!$E$65,0,IF(N31='Suppl'!$E$66,1/2/(_xlfn.COUNTIFS($N1:$N100,"Exigences"&amp;"*")+_xlfn.COUNTIFS($N1:$N100,"Non"&amp;"*")),IF(N31='Suppl'!$E$67,1/(_xlfn.COUNTIFS($N1:$N100,"Exigences"&amp;"*")+_xlfn.COUNTIFS($N1:$N100,"Non"&amp;"*")),0))),0)</f>
        <v>0</v>
      </c>
      <c r="Y31" s="586"/>
      <c r="Z31" s="586"/>
      <c r="AA31" s="586"/>
      <c r="AB31" s="586"/>
      <c r="AC31" s="586"/>
      <c r="AD31" s="586"/>
      <c r="AE31" s="586"/>
      <c r="AF31" s="586"/>
      <c r="AG31" s="586"/>
      <c r="AH31" s="586"/>
      <c r="AI31" s="1040"/>
      <c r="AJ31" s="585"/>
    </row>
    <row r="32" ht="30" customHeight="1">
      <c r="A32" s="1039"/>
      <c r="B32" s="753"/>
      <c r="C32" t="s" s="754">
        <f>IF(LEFT(RIGHT($B$1,2),1)=" ",RIGHT($B$1,1),RIGHT($B$1,2))</f>
        <v>267</v>
      </c>
      <c r="D32" s="755">
        <f>IF(LEFT(F32,5)="Bonne",D30+1,D31)</f>
        <v>1</v>
      </c>
      <c r="E32" t="s" s="778">
        <f>C32&amp;D32&amp;RIGHT(F32,1)</f>
        <v>2489</v>
      </c>
      <c r="F32" t="s" s="790">
        <v>1780</v>
      </c>
      <c r="G32" t="s" s="791">
        <f>VLOOKUP(E32,'BDD'!$A$2:$N$567,MATCH(G$24,'BDD'!$A$1:$P$1,0),FALSE)</f>
        <v>1569</v>
      </c>
      <c r="H32" t="s" s="799">
        <f>IF(VLOOKUP($E32,'BDD'!$A$2:$N$567,MATCH($H$23,'BDD'!$A$1:$P$1,0),FALSE)=H$24,H$24,"")</f>
      </c>
      <c r="I32" t="s" s="792">
        <f>IF(VLOOKUP($E32,'BDD'!$A$2:$N$567,MATCH($H$23,'BDD'!$A$1:$P$1,0),FALSE)=I$24,I$24,"")</f>
      </c>
      <c r="J32" t="s" s="792">
        <f>IF(VLOOKUP($E32,'BDD'!$A$2:$N$567,MATCH($H$23,'BDD'!$A$1:$P$1,0),FALSE)=J$24,J$24,"")</f>
      </c>
      <c r="K32" t="s" s="792">
        <f>IF(VLOOKUP($E32,'BDD'!$A$2:$N$567,MATCH($H$23,'BDD'!$A$1:$P$1,0),FALSE)=K$24,K$24,"")</f>
      </c>
      <c r="L32" t="s" s="783">
        <f>IF(VLOOKUP($E32,'BDD'!$A$2:$N$567,MATCH($H$23,'BDD'!$A$1:$P$1,0),FALSE)=L$24,L$24,"")</f>
        <v>1985</v>
      </c>
      <c r="M32" s="794">
        <f>IF(N32="Exigences partiellement respectées",1,IF(N32="Exigences respectées",2,0))</f>
        <v>0</v>
      </c>
      <c r="N32" t="s" s="791">
        <f>VLOOKUP(VLOOKUP(E32,'BDD'!$A$2:$P$550,15,FALSE),'Suppl'!$D$64:$E$68,2,FALSE)</f>
        <v>1751</v>
      </c>
      <c r="O32" s="795"/>
      <c r="P32" s="796"/>
      <c r="Q32" s="796"/>
      <c r="R32" s="1155"/>
      <c r="S32" s="1151">
        <f>IF(N32='Suppl'!$E$65,0,IF(N32='Suppl'!$E$66,1/2/(_xlfn.COUNTIFS($D1:$D100,D32,$N1:$N100,"Exigences"&amp;"*",G1:G100,"&lt;&gt;0")+_xlfn.COUNTIFS($D1:$D100,D32,$N1:$N100,"Non"&amp;"*",G1:G100,"&lt;&gt;0")),IF(N32='Suppl'!$E$67,1/(_xlfn.COUNTIFS($D1:$D100,D32,$N1:$N100,"Exigences"&amp;"*",G1:G100,"&lt;&gt;0")+_xlfn.COUNTIFS($D1:$D100,D32,$N1:$N100,"Non"&amp;"*",G1:G100,"&lt;&gt;0")),0)))</f>
        <v>0</v>
      </c>
      <c r="T32" s="797"/>
      <c r="U32" s="797"/>
      <c r="V32" s="1156"/>
      <c r="W32" s="1151">
        <f>_xlfn.IFERROR(IF(M32='Suppl'!$E$65,0,IF(M32='Suppl'!$E$66,1/2/(_xlfn.COUNTIFS($N1:$N100,"Exigences"&amp;"*")+_xlfn.COUNTIFS($N1:$N100,"Non"&amp;"*")),IF(M32='Suppl'!$E$67,1/(_xlfn.COUNTIFS($N1:$N100,"Exigences"&amp;"*")+_xlfn.COUNTIFS($N1:$N100,"Non"&amp;"*")),0))),0)</f>
      </c>
      <c r="X32" s="797">
        <f>_xlfn.IFERROR(IF(N32='Suppl'!$E$65,0,IF(N32='Suppl'!$E$66,1/2/(_xlfn.COUNTIFS($N1:$N100,"Exigences"&amp;"*")+_xlfn.COUNTIFS($N1:$N100,"Non"&amp;"*")),IF(N32='Suppl'!$E$67,1/(_xlfn.COUNTIFS($N1:$N100,"Exigences"&amp;"*")+_xlfn.COUNTIFS($N1:$N100,"Non"&amp;"*")),0))),0)</f>
        <v>0</v>
      </c>
      <c r="Y32" s="586"/>
      <c r="Z32" s="586"/>
      <c r="AA32" s="586"/>
      <c r="AB32" s="586"/>
      <c r="AC32" s="586"/>
      <c r="AD32" s="586"/>
      <c r="AE32" s="586"/>
      <c r="AF32" s="586"/>
      <c r="AG32" s="586"/>
      <c r="AH32" s="586"/>
      <c r="AI32" s="1040"/>
      <c r="AJ32" s="585"/>
    </row>
    <row r="33" ht="42" customHeight="1">
      <c r="A33" s="1039"/>
      <c r="B33" s="753"/>
      <c r="C33" t="s" s="754">
        <f>IF(LEFT(RIGHT($B$1,2),1)=" ",RIGHT($B$1,1),RIGHT($B$1,2))</f>
        <v>267</v>
      </c>
      <c r="D33" s="755">
        <f>IF(LEFT(F33,5)="Bonne",D31+1,D32)</f>
        <v>1</v>
      </c>
      <c r="E33" t="s" s="778">
        <f>C33&amp;D33&amp;RIGHT(F33,1)</f>
        <v>2490</v>
      </c>
      <c r="F33" t="s" s="779">
        <v>1782</v>
      </c>
      <c r="G33" t="s" s="780">
        <f>VLOOKUP(E33,'BDD'!$A$2:$N$567,MATCH(G$24,'BDD'!$A$1:$P$1,0),FALSE)</f>
        <v>1571</v>
      </c>
      <c r="H33" t="s" s="799">
        <f>IF(VLOOKUP($E33,'BDD'!$A$2:$N$567,MATCH($H$23,'BDD'!$A$1:$P$1,0),FALSE)=H$24,H$24,"")</f>
        <v>1966</v>
      </c>
      <c r="I33" t="s" s="792">
        <f>IF(VLOOKUP($E33,'BDD'!$A$2:$N$567,MATCH($H$23,'BDD'!$A$1:$P$1,0),FALSE)=I$24,I$24,"")</f>
      </c>
      <c r="J33" t="s" s="792">
        <f>IF(VLOOKUP($E33,'BDD'!$A$2:$N$567,MATCH($H$23,'BDD'!$A$1:$P$1,0),FALSE)=J$24,J$24,"")</f>
      </c>
      <c r="K33" t="s" s="792">
        <f>IF(VLOOKUP($E33,'BDD'!$A$2:$N$567,MATCH($H$23,'BDD'!$A$1:$P$1,0),FALSE)=K$24,K$24,"")</f>
      </c>
      <c r="L33" t="s" s="783">
        <f>IF(VLOOKUP($E33,'BDD'!$A$2:$N$567,MATCH($H$23,'BDD'!$A$1:$P$1,0),FALSE)=L$24,L$24,"")</f>
      </c>
      <c r="M33" s="794">
        <f>IF(N33="Exigences partiellement respectées",1,IF(N33="Exigences respectées",2,0))</f>
        <v>0</v>
      </c>
      <c r="N33" t="s" s="780">
        <f>VLOOKUP(VLOOKUP(E33,'BDD'!$A$2:$P$550,15,FALSE),'Suppl'!$D$64:$E$68,2,FALSE)</f>
        <v>1751</v>
      </c>
      <c r="O33" s="795"/>
      <c r="P33" s="796"/>
      <c r="Q33" s="796"/>
      <c r="R33" s="1155"/>
      <c r="S33" s="1151">
        <f>IF(N33='Suppl'!$E$65,0,IF(N33='Suppl'!$E$66,1/2/(_xlfn.COUNTIFS($D1:$D100,D33,$N1:$N100,"Exigences"&amp;"*",G1:G100,"&lt;&gt;0")+_xlfn.COUNTIFS($D1:$D100,D33,$N1:$N100,"Non"&amp;"*",G1:G100,"&lt;&gt;0")),IF(N33='Suppl'!$E$67,1/(_xlfn.COUNTIFS($D1:$D100,D33,$N1:$N100,"Exigences"&amp;"*",G1:G100,"&lt;&gt;0")+_xlfn.COUNTIFS($D1:$D100,D33,$N1:$N100,"Non"&amp;"*",G1:G100,"&lt;&gt;0")),0)))</f>
        <v>0</v>
      </c>
      <c r="T33" s="797"/>
      <c r="U33" s="797"/>
      <c r="V33" s="1156"/>
      <c r="W33" s="1151">
        <f>_xlfn.IFERROR(IF(M33='Suppl'!$E$65,0,IF(M33='Suppl'!$E$66,1/2/(_xlfn.COUNTIFS($N1:$N100,"Exigences"&amp;"*")+_xlfn.COUNTIFS($N1:$N100,"Non"&amp;"*")),IF(M33='Suppl'!$E$67,1/(_xlfn.COUNTIFS($N1:$N100,"Exigences"&amp;"*")+_xlfn.COUNTIFS($N1:$N100,"Non"&amp;"*")),0))),0)</f>
      </c>
      <c r="X33" s="797">
        <f>_xlfn.IFERROR(IF(N33='Suppl'!$E$65,0,IF(N33='Suppl'!$E$66,1/2/(_xlfn.COUNTIFS($N1:$N100,"Exigences"&amp;"*")+_xlfn.COUNTIFS($N1:$N100,"Non"&amp;"*")),IF(N33='Suppl'!$E$67,1/(_xlfn.COUNTIFS($N1:$N100,"Exigences"&amp;"*")+_xlfn.COUNTIFS($N1:$N100,"Non"&amp;"*")),0))),0)</f>
        <v>0</v>
      </c>
      <c r="Y33" s="586"/>
      <c r="Z33" s="586"/>
      <c r="AA33" s="586"/>
      <c r="AB33" s="586"/>
      <c r="AC33" s="586"/>
      <c r="AD33" s="586"/>
      <c r="AE33" s="586"/>
      <c r="AF33" s="586"/>
      <c r="AG33" s="586"/>
      <c r="AH33" s="586"/>
      <c r="AI33" s="1040"/>
      <c r="AJ33" s="585"/>
    </row>
    <row r="34" ht="39.6" customHeight="1">
      <c r="A34" s="1039"/>
      <c r="B34" s="753"/>
      <c r="C34" t="s" s="754">
        <f>IF(LEFT(RIGHT($B$1,2),1)=" ",RIGHT($B$1,1),RIGHT($B$1,2))</f>
        <v>267</v>
      </c>
      <c r="D34" s="755">
        <f>IF(LEFT(F34,5)="Bonne",D32+1,D33)</f>
        <v>1</v>
      </c>
      <c r="E34" t="s" s="778">
        <f>C34&amp;D34&amp;RIGHT(F34,1)</f>
        <v>2491</v>
      </c>
      <c r="F34" t="s" s="790">
        <v>2492</v>
      </c>
      <c r="G34" t="s" s="791">
        <f>VLOOKUP(E34,'BDD'!$A$2:$N$567,MATCH(G$24,'BDD'!$A$1:$P$1,0),FALSE)</f>
        <v>1573</v>
      </c>
      <c r="H34" t="s" s="799">
        <f>IF(VLOOKUP($E34,'BDD'!$A$2:$N$567,MATCH($H$23,'BDD'!$A$1:$P$1,0),FALSE)=H$24,H$24,"")</f>
      </c>
      <c r="I34" t="s" s="792">
        <f>IF(VLOOKUP($E34,'BDD'!$A$2:$N$567,MATCH($H$23,'BDD'!$A$1:$P$1,0),FALSE)=I$24,I$24,"")</f>
        <v>1969</v>
      </c>
      <c r="J34" t="s" s="792">
        <f>IF(VLOOKUP($E34,'BDD'!$A$2:$N$567,MATCH($H$23,'BDD'!$A$1:$P$1,0),FALSE)=J$24,J$24,"")</f>
      </c>
      <c r="K34" t="s" s="792">
        <f>IF(VLOOKUP($E34,'BDD'!$A$2:$N$567,MATCH($H$23,'BDD'!$A$1:$P$1,0),FALSE)=K$24,K$24,"")</f>
      </c>
      <c r="L34" t="s" s="783">
        <f>IF(VLOOKUP($E34,'BDD'!$A$2:$N$567,MATCH($H$23,'BDD'!$A$1:$P$1,0),FALSE)=L$24,L$24,"")</f>
      </c>
      <c r="M34" s="800">
        <f>IF(N34="Exigences partiellement respectées",1,IF(N34="Exigences respectées",2,0))</f>
        <v>0</v>
      </c>
      <c r="N34" t="s" s="791">
        <f>VLOOKUP(VLOOKUP(E34,'BDD'!$A$2:$P$550,15,FALSE),'Suppl'!$D$64:$E$68,2,FALSE)</f>
        <v>1751</v>
      </c>
      <c r="O34" s="801"/>
      <c r="P34" s="802"/>
      <c r="Q34" s="802"/>
      <c r="R34" s="1157"/>
      <c r="S34" s="1158">
        <f>IF(N34='Suppl'!$E$65,0,IF(N34='Suppl'!$E$66,1/2/(_xlfn.COUNTIFS($D1:$D100,D34,$N1:$N100,"Exigences"&amp;"*",G1:G100,"&lt;&gt;0")+_xlfn.COUNTIFS($D1:$D100,D34,$N1:$N100,"Non"&amp;"*",G1:G100,"&lt;&gt;0")),IF(N34='Suppl'!$E$67,1/(_xlfn.COUNTIFS($D1:$D100,D34,$N1:$N100,"Exigences"&amp;"*",G1:G100,"&lt;&gt;0")+_xlfn.COUNTIFS($D1:$D100,D34,$N1:$N100,"Non"&amp;"*",G1:G100,"&lt;&gt;0")),0)))</f>
        <v>0</v>
      </c>
      <c r="T34" s="803"/>
      <c r="U34" s="803"/>
      <c r="V34" s="1159"/>
      <c r="W34" s="1151">
        <f>_xlfn.IFERROR(IF(M34='Suppl'!$E$65,0,IF(M34='Suppl'!$E$66,1/2/(_xlfn.COUNTIFS($N1:$N100,"Exigences"&amp;"*")+_xlfn.COUNTIFS($N1:$N100,"Non"&amp;"*")),IF(M34='Suppl'!$E$67,1/(_xlfn.COUNTIFS($N1:$N100,"Exigences"&amp;"*")+_xlfn.COUNTIFS($N1:$N100,"Non"&amp;"*")),0))),0)</f>
      </c>
      <c r="X34" s="797">
        <f>_xlfn.IFERROR(IF(N34='Suppl'!$E$65,0,IF(N34='Suppl'!$E$66,1/2/(_xlfn.COUNTIFS($N1:$N100,"Exigences"&amp;"*")+_xlfn.COUNTIFS($N1:$N100,"Non"&amp;"*")),IF(N34='Suppl'!$E$67,1/(_xlfn.COUNTIFS($N1:$N100,"Exigences"&amp;"*")+_xlfn.COUNTIFS($N1:$N100,"Non"&amp;"*")),0))),0)</f>
        <v>0</v>
      </c>
      <c r="Y34" s="586"/>
      <c r="Z34" s="586"/>
      <c r="AA34" s="586"/>
      <c r="AB34" s="586"/>
      <c r="AC34" s="586"/>
      <c r="AD34" s="586"/>
      <c r="AE34" s="586"/>
      <c r="AF34" s="586"/>
      <c r="AG34" s="586"/>
      <c r="AH34" s="586"/>
      <c r="AI34" s="1040"/>
      <c r="AJ34" s="585"/>
    </row>
    <row r="35" ht="30" customHeight="1">
      <c r="A35" s="1039"/>
      <c r="B35" s="753"/>
      <c r="C35" t="s" s="754">
        <f>IF(LEFT(RIGHT($B$1,2),1)=" ",RIGHT($B$1,1),RIGHT($B$1,2))</f>
        <v>267</v>
      </c>
      <c r="D35" s="755">
        <f>IF(LEFT(F35,5)="Bonne",D33+1,D34)</f>
        <v>2</v>
      </c>
      <c r="E35" t="s" s="778">
        <f>C35&amp;D35&amp;RIGHT(F35,1)</f>
        <v>2493</v>
      </c>
      <c r="F35" t="s" s="757">
        <v>1785</v>
      </c>
      <c r="G35" t="s" s="758">
        <f>VLOOKUP(E37,'BDD'!$A$2:$N$567,6,FALSE)</f>
        <v>343</v>
      </c>
      <c r="H35" t="s" s="805">
        <f>VLOOKUP(E37,'BDD'!$A$2:$N$567,6,FALSE)</f>
        <v>343</v>
      </c>
      <c r="I35" s="760"/>
      <c r="J35" s="760"/>
      <c r="K35" s="760"/>
      <c r="L35" s="761"/>
      <c r="M35" s="762"/>
      <c r="N35" s="763"/>
      <c r="O35" s="764">
        <v>0</v>
      </c>
      <c r="P35" s="764"/>
      <c r="Q35" s="764"/>
      <c r="R35" s="764"/>
      <c r="S35" s="765">
        <f>_xlfn.SUMIFS(S1:S100,$D1:$D100,D35,$N1:$N100,"Exigences"&amp;"*")</f>
      </c>
      <c r="T35" s="765"/>
      <c r="U35" s="765"/>
      <c r="V35" s="1149"/>
      <c r="W35" s="1151">
        <f>_xlfn.IFERROR(IF(M35='Suppl'!$E$65,0,IF(M35='Suppl'!$E$66,1/2/(_xlfn.COUNTIFS($N1:$N100,"Exigences"&amp;"*")+_xlfn.COUNTIFS($N1:$N100,"Non"&amp;"*")),IF(M35='Suppl'!$E$67,1/(_xlfn.COUNTIFS($N1:$N100,"Exigences"&amp;"*")+_xlfn.COUNTIFS($N1:$N100,"Non"&amp;"*")),0))),0)</f>
        <v>0</v>
      </c>
      <c r="X35" s="797">
        <f>_xlfn.IFERROR(IF(N35='Suppl'!$E$65,0,IF(N35='Suppl'!$E$66,1/2/(_xlfn.COUNTIFS($N1:$N100,"Exigences"&amp;"*")+_xlfn.COUNTIFS($N1:$N100,"Non"&amp;"*")),IF(N35='Suppl'!$E$67,1/(_xlfn.COUNTIFS($N1:$N100,"Exigences"&amp;"*")+_xlfn.COUNTIFS($N1:$N100,"Non"&amp;"*")),0))),0)</f>
        <v>0</v>
      </c>
      <c r="Y35" s="586"/>
      <c r="Z35" s="586"/>
      <c r="AA35" s="586"/>
      <c r="AB35" s="586"/>
      <c r="AC35" s="586"/>
      <c r="AD35" s="586"/>
      <c r="AE35" s="586"/>
      <c r="AF35" s="586"/>
      <c r="AG35" s="586"/>
      <c r="AH35" s="586"/>
      <c r="AI35" s="1040"/>
      <c r="AJ35" s="585"/>
    </row>
    <row r="36" ht="30" customHeight="1">
      <c r="A36" s="1039"/>
      <c r="B36" s="753"/>
      <c r="C36" t="s" s="754">
        <f>IF(LEFT(RIGHT($B$1,2),1)=" ",RIGHT($B$1,1),RIGHT($B$1,2))</f>
        <v>267</v>
      </c>
      <c r="D36" s="755">
        <f>IF(LEFT(F36,5)="Bonne",D34+1,D35)</f>
        <v>2</v>
      </c>
      <c r="E36" t="s" s="778">
        <f>C36&amp;D36&amp;RIGHT(F36,1)</f>
        <v>2494</v>
      </c>
      <c r="F36" t="s" s="769">
        <v>1835</v>
      </c>
      <c r="G36" t="s" s="809">
        <f>VLOOKUP(E38,'BDD'!$A$2:$N$567,7,FALSE)</f>
        <v>2528</v>
      </c>
      <c r="H36" s="810"/>
      <c r="I36" s="810"/>
      <c r="J36" s="810"/>
      <c r="K36" s="810"/>
      <c r="L36" s="810"/>
      <c r="M36" s="810"/>
      <c r="N36" s="811"/>
      <c r="O36" s="775"/>
      <c r="P36" s="775"/>
      <c r="Q36" s="775"/>
      <c r="R36" s="775"/>
      <c r="S36" s="776"/>
      <c r="T36" s="776"/>
      <c r="U36" s="776"/>
      <c r="V36" s="1150"/>
      <c r="W36" s="1151">
        <f>_xlfn.IFERROR(IF(M36='Suppl'!$E$65,0,IF(M36='Suppl'!$E$66,1/2/(_xlfn.COUNTIFS($N1:$N100,"Exigences"&amp;"*")+_xlfn.COUNTIFS($N1:$N100,"Non"&amp;"*")),IF(M36='Suppl'!$E$67,1/(_xlfn.COUNTIFS($N1:$N100,"Exigences"&amp;"*")+_xlfn.COUNTIFS($N1:$N100,"Non"&amp;"*")),0))),0)</f>
        <v>0</v>
      </c>
      <c r="X36" s="797">
        <f>_xlfn.IFERROR(IF(N36='Suppl'!$E$65,0,IF(N36='Suppl'!$E$66,1/2/(_xlfn.COUNTIFS($N1:$N100,"Exigences"&amp;"*")+_xlfn.COUNTIFS($N1:$N100,"Non"&amp;"*")),IF(N36='Suppl'!$E$67,1/(_xlfn.COUNTIFS($N1:$N100,"Exigences"&amp;"*")+_xlfn.COUNTIFS($N1:$N100,"Non"&amp;"*")),0))),0)</f>
        <v>0</v>
      </c>
      <c r="Y36" s="586"/>
      <c r="Z36" s="586"/>
      <c r="AA36" s="586"/>
      <c r="AB36" s="586"/>
      <c r="AC36" s="586"/>
      <c r="AD36" s="586"/>
      <c r="AE36" s="586"/>
      <c r="AF36" s="586"/>
      <c r="AG36" s="586"/>
      <c r="AH36" s="586"/>
      <c r="AI36" s="1040"/>
      <c r="AJ36" s="585"/>
    </row>
    <row r="37" ht="42" customHeight="1">
      <c r="A37" s="1039"/>
      <c r="B37" s="753"/>
      <c r="C37" t="s" s="754">
        <f>IF(LEFT(RIGHT($B$1,2),1)=" ",RIGHT($B$1,1),RIGHT($B$1,2))</f>
        <v>267</v>
      </c>
      <c r="D37" s="755">
        <f>IF(LEFT(F37,5)="Bonne",D35+1,D36)</f>
        <v>2</v>
      </c>
      <c r="E37" t="s" s="778">
        <f>C37&amp;D37&amp;RIGHT(F37,1)</f>
        <v>2494</v>
      </c>
      <c r="F37" t="s" s="779">
        <v>1769</v>
      </c>
      <c r="G37" t="s" s="780">
        <f>VLOOKUP(E37,'BDD'!$A$2:$N$567,MATCH(G$24,'BDD'!$A$1:$P$1,0),FALSE)</f>
        <v>1577</v>
      </c>
      <c r="H37" t="s" s="799">
        <f>IF(VLOOKUP($E37,'BDD'!$A$2:$N$567,MATCH($H$23,'BDD'!$A$1:$P$1,0),FALSE)=H$24,H$24,"")</f>
        <v>1966</v>
      </c>
      <c r="I37" t="s" s="792">
        <f>IF(VLOOKUP($E37,'BDD'!$A$2:$N$567,MATCH($H$23,'BDD'!$A$1:$P$1,0),FALSE)=I$24,I$24,"")</f>
      </c>
      <c r="J37" t="s" s="792">
        <f>IF(VLOOKUP($E37,'BDD'!$A$2:$N$567,MATCH($H$23,'BDD'!$A$1:$P$1,0),FALSE)=J$24,J$24,"")</f>
      </c>
      <c r="K37" t="s" s="792">
        <f>IF(VLOOKUP($E37,'BDD'!$A$2:$N$567,MATCH($H$23,'BDD'!$A$1:$P$1,0),FALSE)=K$24,K$24,"")</f>
      </c>
      <c r="L37" t="s" s="783">
        <f>IF(VLOOKUP($E37,'BDD'!$A$2:$N$567,MATCH($H$23,'BDD'!$A$1:$P$1,0),FALSE)=L$24,L$24,"")</f>
      </c>
      <c r="M37" s="784">
        <f>IF(N37="Exigences partiellement respectées",1,IF(N37="Exigences respectées",2,0))</f>
        <v>0</v>
      </c>
      <c r="N37" t="s" s="780">
        <f>VLOOKUP(VLOOKUP(E37,'BDD'!$A$2:$P$550,15,FALSE),'Suppl'!$D$64:$E$68,2,FALSE)</f>
        <v>1751</v>
      </c>
      <c r="O37" s="785"/>
      <c r="P37" s="786"/>
      <c r="Q37" s="786"/>
      <c r="R37" s="1152"/>
      <c r="S37" s="1153">
        <f>IF(N37='Suppl'!$E$65,0,IF(N37='Suppl'!$E$66,1/2/(_xlfn.COUNTIFS($D1:$D100,D37,$N1:$N100,"Exigences"&amp;"*",G1:G100,"&lt;&gt;0")+_xlfn.COUNTIFS($D1:$D100,D37,$N1:$N100,"Non"&amp;"*",G1:G100,"&lt;&gt;0")),IF(N37='Suppl'!$E$67,1/(_xlfn.COUNTIFS($D1:$D100,D37,$N1:$N100,"Exigences"&amp;"*",G1:G100,"&lt;&gt;0")+_xlfn.COUNTIFS($D1:$D100,D37,$N1:$N100,"Non"&amp;"*",G1:G100,"&lt;&gt;0")),0)))</f>
        <v>0</v>
      </c>
      <c r="T37" s="787"/>
      <c r="U37" s="787"/>
      <c r="V37" s="1154"/>
      <c r="W37" s="1151">
        <f>_xlfn.IFERROR(IF(M37='Suppl'!$E$65,0,IF(M37='Suppl'!$E$66,1/2/(_xlfn.COUNTIFS($N1:$N100,"Exigences"&amp;"*")+_xlfn.COUNTIFS($N1:$N100,"Non"&amp;"*")),IF(M37='Suppl'!$E$67,1/(_xlfn.COUNTIFS($N1:$N100,"Exigences"&amp;"*")+_xlfn.COUNTIFS($N1:$N100,"Non"&amp;"*")),0))),0)</f>
      </c>
      <c r="X37" s="797">
        <f>_xlfn.IFERROR(IF(N37='Suppl'!$E$65,0,IF(N37='Suppl'!$E$66,1/2/(_xlfn.COUNTIFS($N1:$N100,"Exigences"&amp;"*")+_xlfn.COUNTIFS($N1:$N100,"Non"&amp;"*")),IF(N37='Suppl'!$E$67,1/(_xlfn.COUNTIFS($N1:$N100,"Exigences"&amp;"*")+_xlfn.COUNTIFS($N1:$N100,"Non"&amp;"*")),0))),0)</f>
        <v>0</v>
      </c>
      <c r="Y37" s="586"/>
      <c r="Z37" s="586"/>
      <c r="AA37" s="586"/>
      <c r="AB37" s="586"/>
      <c r="AC37" s="586"/>
      <c r="AD37" s="586"/>
      <c r="AE37" s="586"/>
      <c r="AF37" s="586"/>
      <c r="AG37" s="586"/>
      <c r="AH37" s="586"/>
      <c r="AI37" s="1040"/>
      <c r="AJ37" s="585"/>
    </row>
    <row r="38" ht="30" customHeight="1">
      <c r="A38" s="1039"/>
      <c r="B38" s="753"/>
      <c r="C38" t="s" s="754">
        <f>IF(LEFT(RIGHT($B$1,2),1)=" ",RIGHT($B$1,1),RIGHT($B$1,2))</f>
        <v>267</v>
      </c>
      <c r="D38" s="755">
        <f>IF(LEFT(F38,5)="Bonne",D36+1,D37)</f>
        <v>2</v>
      </c>
      <c r="E38" t="s" s="778">
        <f>C38&amp;D38&amp;RIGHT(F38,1)</f>
        <v>2493</v>
      </c>
      <c r="F38" t="s" s="790">
        <v>1837</v>
      </c>
      <c r="G38" t="s" s="791">
        <f>VLOOKUP(E38,'BDD'!$A$2:$N$567,MATCH(G$24,'BDD'!$A$1:$P$1,0),FALSE)</f>
        <v>1580</v>
      </c>
      <c r="H38" t="s" s="799">
        <f>IF(VLOOKUP($E38,'BDD'!$A$2:$N$567,MATCH($H$23,'BDD'!$A$1:$P$1,0),FALSE)=H$24,H$24,"")</f>
      </c>
      <c r="I38" t="s" s="792">
        <f>IF(VLOOKUP($E38,'BDD'!$A$2:$N$567,MATCH($H$23,'BDD'!$A$1:$P$1,0),FALSE)=I$24,I$24,"")</f>
        <v>1969</v>
      </c>
      <c r="J38" t="s" s="792">
        <f>IF(VLOOKUP($E38,'BDD'!$A$2:$N$567,MATCH($H$23,'BDD'!$A$1:$P$1,0),FALSE)=J$24,J$24,"")</f>
      </c>
      <c r="K38" t="s" s="792">
        <f>IF(VLOOKUP($E38,'BDD'!$A$2:$N$567,MATCH($H$23,'BDD'!$A$1:$P$1,0),FALSE)=K$24,K$24,"")</f>
      </c>
      <c r="L38" t="s" s="783">
        <f>IF(VLOOKUP($E38,'BDD'!$A$2:$N$567,MATCH($H$23,'BDD'!$A$1:$P$1,0),FALSE)=L$24,L$24,"")</f>
      </c>
      <c r="M38" s="794">
        <f>IF(N38="Exigences partiellement respectées",1,IF(N38="Exigences respectées",2,0))</f>
        <v>0</v>
      </c>
      <c r="N38" t="s" s="791">
        <f>VLOOKUP(VLOOKUP(E38,'BDD'!$A$2:$P$550,15,FALSE),'Suppl'!$D$64:$E$68,2,FALSE)</f>
        <v>1751</v>
      </c>
      <c r="O38" s="795"/>
      <c r="P38" s="796"/>
      <c r="Q38" s="796"/>
      <c r="R38" s="1155"/>
      <c r="S38" s="1151">
        <f>IF(N38='Suppl'!$E$65,0,IF(N38='Suppl'!$E$66,1/2/(_xlfn.COUNTIFS($D1:$D100,D38,$N1:$N100,"Exigences"&amp;"*",G1:G100,"&lt;&gt;0")+_xlfn.COUNTIFS($D1:$D100,D38,$N1:$N100,"Non"&amp;"*",G1:G100,"&lt;&gt;0")),IF(N38='Suppl'!$E$67,1/(_xlfn.COUNTIFS($D1:$D100,D38,$N1:$N100,"Exigences"&amp;"*",G1:G100,"&lt;&gt;0")+_xlfn.COUNTIFS($D1:$D100,D38,$N1:$N100,"Non"&amp;"*",G1:G100,"&lt;&gt;0")),0)))</f>
        <v>0</v>
      </c>
      <c r="T38" s="797"/>
      <c r="U38" s="797"/>
      <c r="V38" s="1156"/>
      <c r="W38" s="1151">
        <f>_xlfn.IFERROR(IF(M38='Suppl'!$E$65,0,IF(M38='Suppl'!$E$66,1/2/(_xlfn.COUNTIFS($N1:$N100,"Exigences"&amp;"*")+_xlfn.COUNTIFS($N1:$N100,"Non"&amp;"*")),IF(M38='Suppl'!$E$67,1/(_xlfn.COUNTIFS($N1:$N100,"Exigences"&amp;"*")+_xlfn.COUNTIFS($N1:$N100,"Non"&amp;"*")),0))),0)</f>
      </c>
      <c r="X38" s="797">
        <f>_xlfn.IFERROR(IF(N38='Suppl'!$E$65,0,IF(N38='Suppl'!$E$66,1/2/(_xlfn.COUNTIFS($N1:$N100,"Exigences"&amp;"*")+_xlfn.COUNTIFS($N1:$N100,"Non"&amp;"*")),IF(N38='Suppl'!$E$67,1/(_xlfn.COUNTIFS($N1:$N100,"Exigences"&amp;"*")+_xlfn.COUNTIFS($N1:$N100,"Non"&amp;"*")),0))),0)</f>
        <v>0</v>
      </c>
      <c r="Y38" s="586"/>
      <c r="Z38" s="586"/>
      <c r="AA38" s="586"/>
      <c r="AB38" s="586"/>
      <c r="AC38" s="586"/>
      <c r="AD38" s="586"/>
      <c r="AE38" s="586"/>
      <c r="AF38" s="586"/>
      <c r="AG38" s="586"/>
      <c r="AH38" s="586"/>
      <c r="AI38" s="1040"/>
      <c r="AJ38" s="585"/>
    </row>
    <row r="39" ht="41.4" customHeight="1">
      <c r="A39" s="1039"/>
      <c r="B39" s="753"/>
      <c r="C39" t="s" s="754">
        <f>IF(LEFT(RIGHT($B$1,2),1)=" ",RIGHT($B$1,1),RIGHT($B$1,2))</f>
        <v>267</v>
      </c>
      <c r="D39" s="755">
        <f>IF(LEFT(F39,5)="Bonne",D37+1,D38)</f>
        <v>2</v>
      </c>
      <c r="E39" t="s" s="778">
        <f>C39&amp;D39&amp;RIGHT(F39,1)</f>
        <v>2495</v>
      </c>
      <c r="F39" t="s" s="779">
        <v>1774</v>
      </c>
      <c r="G39" t="s" s="780">
        <f>VLOOKUP(E39,'BDD'!$A$2:$N$567,MATCH(G$24,'BDD'!$A$1:$P$1,0),FALSE)</f>
        <v>1583</v>
      </c>
      <c r="H39" t="s" s="799">
        <f>IF(VLOOKUP($E39,'BDD'!$A$2:$N$567,MATCH($H$23,'BDD'!$A$1:$P$1,0),FALSE)=H$24,H$24,"")</f>
      </c>
      <c r="I39" t="s" s="792">
        <f>IF(VLOOKUP($E39,'BDD'!$A$2:$N$567,MATCH($H$23,'BDD'!$A$1:$P$1,0),FALSE)=I$24,I$24,"")</f>
        <v>1969</v>
      </c>
      <c r="J39" t="s" s="792">
        <f>IF(VLOOKUP($E39,'BDD'!$A$2:$N$567,MATCH($H$23,'BDD'!$A$1:$P$1,0),FALSE)=J$24,J$24,"")</f>
      </c>
      <c r="K39" t="s" s="792">
        <f>IF(VLOOKUP($E39,'BDD'!$A$2:$N$567,MATCH($H$23,'BDD'!$A$1:$P$1,0),FALSE)=K$24,K$24,"")</f>
      </c>
      <c r="L39" t="s" s="783">
        <f>IF(VLOOKUP($E39,'BDD'!$A$2:$N$567,MATCH($H$23,'BDD'!$A$1:$P$1,0),FALSE)=L$24,L$24,"")</f>
      </c>
      <c r="M39" s="794">
        <f>IF(N39="Exigences partiellement respectées",1,IF(N39="Exigences respectées",2,0))</f>
        <v>0</v>
      </c>
      <c r="N39" t="s" s="780">
        <f>VLOOKUP(VLOOKUP(E39,'BDD'!$A$2:$P$550,15,FALSE),'Suppl'!$D$64:$E$68,2,FALSE)</f>
        <v>1751</v>
      </c>
      <c r="O39" s="795"/>
      <c r="P39" s="796"/>
      <c r="Q39" s="796"/>
      <c r="R39" s="1155"/>
      <c r="S39" s="1151">
        <f>IF(N39='Suppl'!$E$65,0,IF(N39='Suppl'!$E$66,1/2/(_xlfn.COUNTIFS($D1:$D100,D39,$N1:$N100,"Exigences"&amp;"*",G1:G100,"&lt;&gt;0")+_xlfn.COUNTIFS($D1:$D100,D39,$N1:$N100,"Non"&amp;"*",G1:G100,"&lt;&gt;0")),IF(N39='Suppl'!$E$67,1/(_xlfn.COUNTIFS($D1:$D100,D39,$N1:$N100,"Exigences"&amp;"*",G1:G100,"&lt;&gt;0")+_xlfn.COUNTIFS($D1:$D100,D39,$N1:$N100,"Non"&amp;"*",G1:G100,"&lt;&gt;0")),0)))</f>
        <v>0</v>
      </c>
      <c r="T39" s="797"/>
      <c r="U39" s="797"/>
      <c r="V39" s="1156"/>
      <c r="W39" s="1151">
        <f>_xlfn.IFERROR(IF(M39='Suppl'!$E$65,0,IF(M39='Suppl'!$E$66,1/2/(_xlfn.COUNTIFS($N1:$N100,"Exigences"&amp;"*")+_xlfn.COUNTIFS($N1:$N100,"Non"&amp;"*")),IF(M39='Suppl'!$E$67,1/(_xlfn.COUNTIFS($N1:$N100,"Exigences"&amp;"*")+_xlfn.COUNTIFS($N1:$N100,"Non"&amp;"*")),0))),0)</f>
      </c>
      <c r="X39" s="797">
        <f>_xlfn.IFERROR(IF(N39='Suppl'!$E$65,0,IF(N39='Suppl'!$E$66,1/2/(_xlfn.COUNTIFS($N1:$N100,"Exigences"&amp;"*")+_xlfn.COUNTIFS($N1:$N100,"Non"&amp;"*")),IF(N39='Suppl'!$E$67,1/(_xlfn.COUNTIFS($N1:$N100,"Exigences"&amp;"*")+_xlfn.COUNTIFS($N1:$N100,"Non"&amp;"*")),0))),0)</f>
        <v>0</v>
      </c>
      <c r="Y39" s="586"/>
      <c r="Z39" s="586"/>
      <c r="AA39" s="586"/>
      <c r="AB39" s="586"/>
      <c r="AC39" s="586"/>
      <c r="AD39" s="586"/>
      <c r="AE39" s="586"/>
      <c r="AF39" s="586"/>
      <c r="AG39" s="586"/>
      <c r="AH39" s="586"/>
      <c r="AI39" s="1040"/>
      <c r="AJ39" s="585"/>
    </row>
    <row r="40" ht="41.4" customHeight="1">
      <c r="A40" s="1039"/>
      <c r="B40" s="753"/>
      <c r="C40" t="s" s="754">
        <f>IF(LEFT(RIGHT($B$1,2),1)=" ",RIGHT($B$1,1),RIGHT($B$1,2))</f>
        <v>267</v>
      </c>
      <c r="D40" s="755">
        <f>IF(LEFT(F40,5)="Bonne",D38+1,D39)</f>
        <v>2</v>
      </c>
      <c r="E40" t="s" s="778">
        <f>C40&amp;D40&amp;RIGHT(F40,1)</f>
        <v>2496</v>
      </c>
      <c r="F40" t="s" s="790">
        <v>1776</v>
      </c>
      <c r="G40" t="s" s="791">
        <f>VLOOKUP(E40,'BDD'!$A$2:$N$567,MATCH(G$24,'BDD'!$A$1:$P$1,0),FALSE)</f>
        <v>1586</v>
      </c>
      <c r="H40" t="s" s="799">
        <f>IF(VLOOKUP($E40,'BDD'!$A$2:$N$567,MATCH($H$23,'BDD'!$A$1:$P$1,0),FALSE)=H$24,H$24,"")</f>
      </c>
      <c r="I40" t="s" s="792">
        <f>IF(VLOOKUP($E40,'BDD'!$A$2:$N$567,MATCH($H$23,'BDD'!$A$1:$P$1,0),FALSE)=I$24,I$24,"")</f>
      </c>
      <c r="J40" t="s" s="792">
        <f>IF(VLOOKUP($E40,'BDD'!$A$2:$N$567,MATCH($H$23,'BDD'!$A$1:$P$1,0),FALSE)=J$24,J$24,"")</f>
      </c>
      <c r="K40" t="s" s="792">
        <f>IF(VLOOKUP($E40,'BDD'!$A$2:$N$567,MATCH($H$23,'BDD'!$A$1:$P$1,0),FALSE)=K$24,K$24,"")</f>
        <v>1968</v>
      </c>
      <c r="L40" t="s" s="783">
        <f>IF(VLOOKUP($E40,'BDD'!$A$2:$N$567,MATCH($H$23,'BDD'!$A$1:$P$1,0),FALSE)=L$24,L$24,"")</f>
      </c>
      <c r="M40" s="794">
        <f>IF(N40="Exigences partiellement respectées",1,IF(N40="Exigences respectées",2,0))</f>
        <v>0</v>
      </c>
      <c r="N40" t="s" s="791">
        <f>VLOOKUP(VLOOKUP(E40,'BDD'!$A$2:$P$550,15,FALSE),'Suppl'!$D$64:$E$68,2,FALSE)</f>
        <v>1751</v>
      </c>
      <c r="O40" s="795"/>
      <c r="P40" s="796"/>
      <c r="Q40" s="796"/>
      <c r="R40" s="1155"/>
      <c r="S40" s="1151">
        <f>IF(N40='Suppl'!$E$65,0,IF(N40='Suppl'!$E$66,1/2/(_xlfn.COUNTIFS($D1:$D100,D40,$N1:$N100,"Exigences"&amp;"*",G1:G100,"&lt;&gt;0")+_xlfn.COUNTIFS($D1:$D100,D40,$N1:$N100,"Non"&amp;"*",G1:G100,"&lt;&gt;0")),IF(N40='Suppl'!$E$67,1/(_xlfn.COUNTIFS($D1:$D100,D40,$N1:$N100,"Exigences"&amp;"*",G1:G100,"&lt;&gt;0")+_xlfn.COUNTIFS($D1:$D100,D40,$N1:$N100,"Non"&amp;"*",G1:G100,"&lt;&gt;0")),0)))</f>
        <v>0</v>
      </c>
      <c r="T40" s="797"/>
      <c r="U40" s="797"/>
      <c r="V40" s="1156"/>
      <c r="W40" s="1151">
        <f>_xlfn.IFERROR(IF(M40='Suppl'!$E$65,0,IF(M40='Suppl'!$E$66,1/2/(_xlfn.COUNTIFS($N1:$N100,"Exigences"&amp;"*")+_xlfn.COUNTIFS($N1:$N100,"Non"&amp;"*")),IF(M40='Suppl'!$E$67,1/(_xlfn.COUNTIFS($N1:$N100,"Exigences"&amp;"*")+_xlfn.COUNTIFS($N1:$N100,"Non"&amp;"*")),0))),0)</f>
      </c>
      <c r="X40" s="797">
        <f>_xlfn.IFERROR(IF(N40='Suppl'!$E$65,0,IF(N40='Suppl'!$E$66,1/2/(_xlfn.COUNTIFS($N1:$N100,"Exigences"&amp;"*")+_xlfn.COUNTIFS($N1:$N100,"Non"&amp;"*")),IF(N40='Suppl'!$E$67,1/(_xlfn.COUNTIFS($N1:$N100,"Exigences"&amp;"*")+_xlfn.COUNTIFS($N1:$N100,"Non"&amp;"*")),0))),0)</f>
        <v>0</v>
      </c>
      <c r="Y40" s="586"/>
      <c r="Z40" s="586"/>
      <c r="AA40" s="586"/>
      <c r="AB40" s="586"/>
      <c r="AC40" s="586"/>
      <c r="AD40" s="586"/>
      <c r="AE40" s="586"/>
      <c r="AF40" s="586"/>
      <c r="AG40" s="586"/>
      <c r="AH40" s="586"/>
      <c r="AI40" s="1040"/>
      <c r="AJ40" s="585"/>
    </row>
    <row r="41" ht="41.4" customHeight="1">
      <c r="A41" s="1039"/>
      <c r="B41" s="753"/>
      <c r="C41" t="s" s="754">
        <f>IF(LEFT(RIGHT($B$1,2),1)=" ",RIGHT($B$1,1),RIGHT($B$1,2))</f>
        <v>267</v>
      </c>
      <c r="D41" s="755">
        <f>IF(LEFT(F41,5)="Bonne",D39+1,D40)</f>
        <v>2</v>
      </c>
      <c r="E41" t="s" s="778">
        <f>C41&amp;D41&amp;RIGHT(F41,1)</f>
        <v>2497</v>
      </c>
      <c r="F41" t="s" s="779">
        <v>1778</v>
      </c>
      <c r="G41" t="s" s="780">
        <f>VLOOKUP(E41,'BDD'!$A$2:$N$567,MATCH(G$24,'BDD'!$A$1:$P$1,0),FALSE)</f>
        <v>1589</v>
      </c>
      <c r="H41" t="s" s="799">
        <f>IF(VLOOKUP($E41,'BDD'!$A$2:$N$567,MATCH($H$23,'BDD'!$A$1:$P$1,0),FALSE)=H$24,H$24,"")</f>
      </c>
      <c r="I41" t="s" s="792">
        <f>IF(VLOOKUP($E41,'BDD'!$A$2:$N$567,MATCH($H$23,'BDD'!$A$1:$P$1,0),FALSE)=I$24,I$24,"")</f>
      </c>
      <c r="J41" t="s" s="792">
        <f>IF(VLOOKUP($E41,'BDD'!$A$2:$N$567,MATCH($H$23,'BDD'!$A$1:$P$1,0),FALSE)=J$24,J$24,"")</f>
      </c>
      <c r="K41" t="s" s="792">
        <f>IF(VLOOKUP($E41,'BDD'!$A$2:$N$567,MATCH($H$23,'BDD'!$A$1:$P$1,0),FALSE)=K$24,K$24,"")</f>
      </c>
      <c r="L41" t="s" s="783">
        <f>IF(VLOOKUP($E41,'BDD'!$A$2:$N$567,MATCH($H$23,'BDD'!$A$1:$P$1,0),FALSE)=L$24,L$24,"")</f>
        <v>1985</v>
      </c>
      <c r="M41" s="800">
        <f>IF(N41="Exigences partiellement respectées",1,IF(N41="Exigences respectées",2,0))</f>
        <v>0</v>
      </c>
      <c r="N41" t="s" s="780">
        <f>VLOOKUP(VLOOKUP(E41,'BDD'!$A$2:$P$550,15,FALSE),'Suppl'!$D$64:$E$68,2,FALSE)</f>
        <v>1751</v>
      </c>
      <c r="O41" s="801"/>
      <c r="P41" s="802"/>
      <c r="Q41" s="802"/>
      <c r="R41" s="1157"/>
      <c r="S41" s="1158">
        <f>IF(N41='Suppl'!$E$65,0,IF(N41='Suppl'!$E$66,1/2/(_xlfn.COUNTIFS($D1:$D100,D41,$N1:$N100,"Exigences"&amp;"*",G1:G100,"&lt;&gt;0")+_xlfn.COUNTIFS($D1:$D100,D41,$N1:$N100,"Non"&amp;"*",G1:G100,"&lt;&gt;0")),IF(N41='Suppl'!$E$67,1/(_xlfn.COUNTIFS($D1:$D100,D41,$N1:$N100,"Exigences"&amp;"*",G1:G100,"&lt;&gt;0")+_xlfn.COUNTIFS($D1:$D100,D41,$N1:$N100,"Non"&amp;"*",G1:G100,"&lt;&gt;0")),0)))</f>
        <v>0</v>
      </c>
      <c r="T41" s="803"/>
      <c r="U41" s="803"/>
      <c r="V41" s="1159"/>
      <c r="W41" s="1151">
        <f>_xlfn.IFERROR(IF(M41='Suppl'!$E$65,0,IF(M41='Suppl'!$E$66,1/2/(_xlfn.COUNTIFS($N1:$N100,"Exigences"&amp;"*")+_xlfn.COUNTIFS($N1:$N100,"Non"&amp;"*")),IF(M41='Suppl'!$E$67,1/(_xlfn.COUNTIFS($N1:$N100,"Exigences"&amp;"*")+_xlfn.COUNTIFS($N1:$N100,"Non"&amp;"*")),0))),0)</f>
      </c>
      <c r="X41" s="797">
        <f>_xlfn.IFERROR(IF(N41='Suppl'!$E$65,0,IF(N41='Suppl'!$E$66,1/2/(_xlfn.COUNTIFS($N1:$N100,"Exigences"&amp;"*")+_xlfn.COUNTIFS($N1:$N100,"Non"&amp;"*")),IF(N41='Suppl'!$E$67,1/(_xlfn.COUNTIFS($N1:$N100,"Exigences"&amp;"*")+_xlfn.COUNTIFS($N1:$N100,"Non"&amp;"*")),0))),0)</f>
        <v>0</v>
      </c>
      <c r="Y41" s="586"/>
      <c r="Z41" s="586"/>
      <c r="AA41" s="586"/>
      <c r="AB41" s="586"/>
      <c r="AC41" s="586"/>
      <c r="AD41" s="586"/>
      <c r="AE41" s="586"/>
      <c r="AF41" s="586"/>
      <c r="AG41" s="586"/>
      <c r="AH41" s="586"/>
      <c r="AI41" s="1040"/>
      <c r="AJ41" s="585"/>
    </row>
    <row r="42" ht="30" customHeight="1">
      <c r="A42" s="1039"/>
      <c r="B42" s="753"/>
      <c r="C42" t="s" s="754">
        <f>IF(LEFT(RIGHT($B$1,2),1)=" ",RIGHT($B$1,1),RIGHT($B$1,2))</f>
        <v>267</v>
      </c>
      <c r="D42" s="755">
        <f>IF(LEFT(F42,5)="Bonne",D40+1,D41)</f>
        <v>3</v>
      </c>
      <c r="E42" t="s" s="778">
        <f>C42&amp;D42&amp;RIGHT(F42,1)</f>
        <v>2500</v>
      </c>
      <c r="F42" t="s" s="757">
        <v>1797</v>
      </c>
      <c r="G42" t="s" s="758">
        <f>VLOOKUP(E44,'BDD'!$A$2:$N$567,6,FALSE)</f>
        <v>1593</v>
      </c>
      <c r="H42" s="759"/>
      <c r="I42" s="760"/>
      <c r="J42" s="760"/>
      <c r="K42" s="760"/>
      <c r="L42" s="761"/>
      <c r="M42" s="762"/>
      <c r="N42" s="763"/>
      <c r="O42" s="764">
        <v>0</v>
      </c>
      <c r="P42" s="764"/>
      <c r="Q42" s="764"/>
      <c r="R42" s="764"/>
      <c r="S42" s="765">
        <f>_xlfn.SUMIFS(S1:S100,$D1:$D100,D42,$N1:$N100,"Exigences"&amp;"*")</f>
      </c>
      <c r="T42" s="765"/>
      <c r="U42" s="765"/>
      <c r="V42" s="1149"/>
      <c r="W42" s="1151">
        <f>_xlfn.IFERROR(IF(M42='Suppl'!$E$65,0,IF(M42='Suppl'!$E$66,1/2/(_xlfn.COUNTIFS($N1:$N100,"Exigences"&amp;"*")+_xlfn.COUNTIFS($N1:$N100,"Non"&amp;"*")),IF(M42='Suppl'!$E$67,1/(_xlfn.COUNTIFS($N1:$N100,"Exigences"&amp;"*")+_xlfn.COUNTIFS($N1:$N100,"Non"&amp;"*")),0))),0)</f>
        <v>0</v>
      </c>
      <c r="X42" s="797">
        <f>_xlfn.IFERROR(IF(N42='Suppl'!$E$65,0,IF(N42='Suppl'!$E$66,1/2/(_xlfn.COUNTIFS($N1:$N100,"Exigences"&amp;"*")+_xlfn.COUNTIFS($N1:$N100,"Non"&amp;"*")),IF(N42='Suppl'!$E$67,1/(_xlfn.COUNTIFS($N1:$N100,"Exigences"&amp;"*")+_xlfn.COUNTIFS($N1:$N100,"Non"&amp;"*")),0))),0)</f>
        <v>0</v>
      </c>
      <c r="Y42" s="586"/>
      <c r="Z42" s="586"/>
      <c r="AA42" s="586"/>
      <c r="AB42" s="586"/>
      <c r="AC42" s="586"/>
      <c r="AD42" s="586"/>
      <c r="AE42" s="586"/>
      <c r="AF42" s="586"/>
      <c r="AG42" s="586"/>
      <c r="AH42" s="586"/>
      <c r="AI42" s="1040"/>
      <c r="AJ42" s="585"/>
    </row>
    <row r="43" ht="30" customHeight="1">
      <c r="A43" s="1039"/>
      <c r="B43" s="753"/>
      <c r="C43" t="s" s="754">
        <f>IF(LEFT(RIGHT($B$1,2),1)=" ",RIGHT($B$1,1),RIGHT($B$1,2))</f>
        <v>267</v>
      </c>
      <c r="D43" s="755">
        <f>IF(LEFT(F43,5)="Bonne",D41+1,D42)</f>
        <v>3</v>
      </c>
      <c r="E43" t="s" s="778">
        <f>C43&amp;D43&amp;RIGHT(F43,1)</f>
        <v>2503</v>
      </c>
      <c r="F43" t="s" s="769">
        <v>1835</v>
      </c>
      <c r="G43" t="s" s="809">
        <f>VLOOKUP(E45,'BDD'!$A$2:$N$567,7,FALSE)</f>
        <v>2529</v>
      </c>
      <c r="H43" s="810"/>
      <c r="I43" s="810"/>
      <c r="J43" s="810"/>
      <c r="K43" s="810"/>
      <c r="L43" s="810"/>
      <c r="M43" s="810"/>
      <c r="N43" s="811"/>
      <c r="O43" s="775"/>
      <c r="P43" s="775"/>
      <c r="Q43" s="775"/>
      <c r="R43" s="775"/>
      <c r="S43" s="776"/>
      <c r="T43" s="776"/>
      <c r="U43" s="776"/>
      <c r="V43" s="1150"/>
      <c r="W43" s="1151">
        <f>_xlfn.IFERROR(IF(M43='Suppl'!$E$65,0,IF(M43='Suppl'!$E$66,1/2/(_xlfn.COUNTIFS($N1:$N100,"Exigences"&amp;"*")+_xlfn.COUNTIFS($N1:$N100,"Non"&amp;"*")),IF(M43='Suppl'!$E$67,1/(_xlfn.COUNTIFS($N1:$N100,"Exigences"&amp;"*")+_xlfn.COUNTIFS($N1:$N100,"Non"&amp;"*")),0))),0)</f>
        <v>0</v>
      </c>
      <c r="X43" s="797">
        <f>_xlfn.IFERROR(IF(N43='Suppl'!$E$65,0,IF(N43='Suppl'!$E$66,1/2/(_xlfn.COUNTIFS($N1:$N100,"Exigences"&amp;"*")+_xlfn.COUNTIFS($N1:$N100,"Non"&amp;"*")),IF(N43='Suppl'!$E$67,1/(_xlfn.COUNTIFS($N1:$N100,"Exigences"&amp;"*")+_xlfn.COUNTIFS($N1:$N100,"Non"&amp;"*")),0))),0)</f>
        <v>0</v>
      </c>
      <c r="Y43" s="586"/>
      <c r="Z43" s="586"/>
      <c r="AA43" s="586"/>
      <c r="AB43" s="586"/>
      <c r="AC43" s="586"/>
      <c r="AD43" s="586"/>
      <c r="AE43" s="586"/>
      <c r="AF43" s="586"/>
      <c r="AG43" s="586"/>
      <c r="AH43" s="586"/>
      <c r="AI43" s="1040"/>
      <c r="AJ43" s="585"/>
    </row>
    <row r="44" ht="30" customHeight="1">
      <c r="A44" s="1039"/>
      <c r="B44" s="753"/>
      <c r="C44" t="s" s="754">
        <f>IF(LEFT(RIGHT($B$1,2),1)=" ",RIGHT($B$1,1),RIGHT($B$1,2))</f>
        <v>267</v>
      </c>
      <c r="D44" s="755">
        <f>IF(LEFT(F44,5)="Bonne",D42+1,D43)</f>
        <v>3</v>
      </c>
      <c r="E44" t="s" s="778">
        <f>C44&amp;D44&amp;RIGHT(F44,1)</f>
        <v>2503</v>
      </c>
      <c r="F44" t="s" s="779">
        <v>1769</v>
      </c>
      <c r="G44" t="s" s="780">
        <f>VLOOKUP(E44,'BDD'!$A$2:$N$567,MATCH(G$24,'BDD'!$A$1:$P$1,0),FALSE)</f>
        <v>1595</v>
      </c>
      <c r="H44" t="s" s="799">
        <f>IF(VLOOKUP($E44,'BDD'!$A$2:$N$567,MATCH($H$23,'BDD'!$A$1:$P$1,0),FALSE)=H$24,H$24,"")</f>
        <v>1966</v>
      </c>
      <c r="I44" t="s" s="792">
        <f>IF(VLOOKUP($E44,'BDD'!$A$2:$N$567,MATCH($H$23,'BDD'!$A$1:$P$1,0),FALSE)=I$24,I$24,"")</f>
      </c>
      <c r="J44" t="s" s="792">
        <f>IF(VLOOKUP($E44,'BDD'!$A$2:$N$567,MATCH($H$23,'BDD'!$A$1:$P$1,0),FALSE)=J$24,J$24,"")</f>
      </c>
      <c r="K44" t="s" s="792">
        <f>IF(VLOOKUP($E44,'BDD'!$A$2:$N$567,MATCH($H$23,'BDD'!$A$1:$P$1,0),FALSE)=K$24,K$24,"")</f>
      </c>
      <c r="L44" t="s" s="783">
        <f>IF(VLOOKUP($E44,'BDD'!$A$2:$N$567,MATCH($H$23,'BDD'!$A$1:$P$1,0),FALSE)=L$24,L$24,"")</f>
      </c>
      <c r="M44" s="784">
        <f>IF(N44="Exigences partiellement respectées",1,IF(N44="Exigences respectées",2,0))</f>
        <v>0</v>
      </c>
      <c r="N44" t="s" s="780">
        <f>VLOOKUP(VLOOKUP(E44,'BDD'!$A$2:$P$550,15,FALSE),'Suppl'!$D$64:$E$68,2,FALSE)</f>
        <v>1751</v>
      </c>
      <c r="O44" s="785"/>
      <c r="P44" s="786"/>
      <c r="Q44" s="786"/>
      <c r="R44" s="1152"/>
      <c r="S44" s="1153">
        <f>IF(N44='Suppl'!$E$65,0,IF(N44='Suppl'!$E$66,1/2/(_xlfn.COUNTIFS($D1:$D100,D44,$N1:$N100,"Exigences"&amp;"*",G1:G100,"&lt;&gt;0")+_xlfn.COUNTIFS($D1:$D100,D44,$N1:$N100,"Non"&amp;"*",G1:G100,"&lt;&gt;0")),IF(N44='Suppl'!$E$67,1/(_xlfn.COUNTIFS($D1:$D100,D44,$N1:$N100,"Exigences"&amp;"*",G1:G100,"&lt;&gt;0")+_xlfn.COUNTIFS($D1:$D100,D44,$N1:$N100,"Non"&amp;"*",G1:G100,"&lt;&gt;0")),0)))</f>
        <v>0</v>
      </c>
      <c r="T44" s="787"/>
      <c r="U44" s="787"/>
      <c r="V44" s="1154"/>
      <c r="W44" s="1151">
        <f>_xlfn.IFERROR(IF(M44='Suppl'!$E$65,0,IF(M44='Suppl'!$E$66,1/2/(_xlfn.COUNTIFS($N1:$N100,"Exigences"&amp;"*")+_xlfn.COUNTIFS($N1:$N100,"Non"&amp;"*")),IF(M44='Suppl'!$E$67,1/(_xlfn.COUNTIFS($N1:$N100,"Exigences"&amp;"*")+_xlfn.COUNTIFS($N1:$N100,"Non"&amp;"*")),0))),0)</f>
      </c>
      <c r="X44" s="797">
        <f>_xlfn.IFERROR(IF(N44='Suppl'!$E$65,0,IF(N44='Suppl'!$E$66,1/2/(_xlfn.COUNTIFS($N1:$N100,"Exigences"&amp;"*")+_xlfn.COUNTIFS($N1:$N100,"Non"&amp;"*")),IF(N44='Suppl'!$E$67,1/(_xlfn.COUNTIFS($N1:$N100,"Exigences"&amp;"*")+_xlfn.COUNTIFS($N1:$N100,"Non"&amp;"*")),0))),0)</f>
        <v>0</v>
      </c>
      <c r="Y44" s="586"/>
      <c r="Z44" s="586"/>
      <c r="AA44" s="586"/>
      <c r="AB44" s="586"/>
      <c r="AC44" s="586"/>
      <c r="AD44" s="586"/>
      <c r="AE44" s="586"/>
      <c r="AF44" s="586"/>
      <c r="AG44" s="586"/>
      <c r="AH44" s="586"/>
      <c r="AI44" s="1040"/>
      <c r="AJ44" s="585"/>
    </row>
    <row r="45" ht="30" customHeight="1">
      <c r="A45" s="1039"/>
      <c r="B45" s="753"/>
      <c r="C45" t="s" s="754">
        <f>IF(LEFT(RIGHT($B$1,2),1)=" ",RIGHT($B$1,1),RIGHT($B$1,2))</f>
        <v>267</v>
      </c>
      <c r="D45" s="755">
        <f>IF(LEFT(F45,5)="Bonne",D43+1,D44)</f>
        <v>3</v>
      </c>
      <c r="E45" t="s" s="778">
        <f>C45&amp;D45&amp;RIGHT(F45,1)</f>
        <v>2504</v>
      </c>
      <c r="F45" t="s" s="790">
        <v>1837</v>
      </c>
      <c r="G45" t="s" s="791">
        <f>VLOOKUP(E45,'BDD'!$A$2:$N$567,MATCH(G$24,'BDD'!$A$1:$P$1,0),FALSE)</f>
        <v>1597</v>
      </c>
      <c r="H45" t="s" s="799">
        <f>IF(VLOOKUP($E45,'BDD'!$A$2:$N$567,MATCH($H$23,'BDD'!$A$1:$P$1,0),FALSE)=H$24,H$24,"")</f>
        <v>1966</v>
      </c>
      <c r="I45" t="s" s="792">
        <f>IF(VLOOKUP($E45,'BDD'!$A$2:$N$567,MATCH($H$23,'BDD'!$A$1:$P$1,0),FALSE)=I$24,I$24,"")</f>
      </c>
      <c r="J45" t="s" s="792">
        <f>IF(VLOOKUP($E45,'BDD'!$A$2:$N$567,MATCH($H$23,'BDD'!$A$1:$P$1,0),FALSE)=J$24,J$24,"")</f>
      </c>
      <c r="K45" t="s" s="792">
        <f>IF(VLOOKUP($E45,'BDD'!$A$2:$N$567,MATCH($H$23,'BDD'!$A$1:$P$1,0),FALSE)=K$24,K$24,"")</f>
      </c>
      <c r="L45" t="s" s="783">
        <f>IF(VLOOKUP($E45,'BDD'!$A$2:$N$567,MATCH($H$23,'BDD'!$A$1:$P$1,0),FALSE)=L$24,L$24,"")</f>
      </c>
      <c r="M45" s="794">
        <f>IF(N45="Exigences partiellement respectées",1,IF(N45="Exigences respectées",2,0))</f>
        <v>0</v>
      </c>
      <c r="N45" t="s" s="791">
        <f>VLOOKUP(VLOOKUP(E45,'BDD'!$A$2:$P$550,15,FALSE),'Suppl'!$D$64:$E$68,2,FALSE)</f>
        <v>1751</v>
      </c>
      <c r="O45" s="795"/>
      <c r="P45" s="796"/>
      <c r="Q45" s="796"/>
      <c r="R45" s="1155"/>
      <c r="S45" s="1151">
        <f>IF(N45='Suppl'!$E$65,0,IF(N45='Suppl'!$E$66,1/2/(_xlfn.COUNTIFS($D1:$D100,D45,$N1:$N100,"Exigences"&amp;"*",G1:G100,"&lt;&gt;0")+_xlfn.COUNTIFS($D1:$D100,D45,$N1:$N100,"Non"&amp;"*",G1:G100,"&lt;&gt;0")),IF(N45='Suppl'!$E$67,1/(_xlfn.COUNTIFS($D1:$D100,D45,$N1:$N100,"Exigences"&amp;"*",G1:G100,"&lt;&gt;0")+_xlfn.COUNTIFS($D1:$D100,D45,$N1:$N100,"Non"&amp;"*",G1:G100,"&lt;&gt;0")),0)))</f>
        <v>0</v>
      </c>
      <c r="T45" s="797"/>
      <c r="U45" s="797"/>
      <c r="V45" s="1156"/>
      <c r="W45" s="1151">
        <f>_xlfn.IFERROR(IF(M45='Suppl'!$E$65,0,IF(M45='Suppl'!$E$66,1/2/(_xlfn.COUNTIFS($N1:$N100,"Exigences"&amp;"*")+_xlfn.COUNTIFS($N1:$N100,"Non"&amp;"*")),IF(M45='Suppl'!$E$67,1/(_xlfn.COUNTIFS($N1:$N100,"Exigences"&amp;"*")+_xlfn.COUNTIFS($N1:$N100,"Non"&amp;"*")),0))),0)</f>
      </c>
      <c r="X45" s="797">
        <f>_xlfn.IFERROR(IF(N45='Suppl'!$E$65,0,IF(N45='Suppl'!$E$66,1/2/(_xlfn.COUNTIFS($N1:$N100,"Exigences"&amp;"*")+_xlfn.COUNTIFS($N1:$N100,"Non"&amp;"*")),IF(N45='Suppl'!$E$67,1/(_xlfn.COUNTIFS($N1:$N100,"Exigences"&amp;"*")+_xlfn.COUNTIFS($N1:$N100,"Non"&amp;"*")),0))),0)</f>
        <v>0</v>
      </c>
      <c r="Y45" s="586"/>
      <c r="Z45" s="586"/>
      <c r="AA45" s="586"/>
      <c r="AB45" s="586"/>
      <c r="AC45" s="586"/>
      <c r="AD45" s="586"/>
      <c r="AE45" s="586"/>
      <c r="AF45" s="586"/>
      <c r="AG45" s="586"/>
      <c r="AH45" s="586"/>
      <c r="AI45" s="1040"/>
      <c r="AJ45" s="585"/>
    </row>
    <row r="46" ht="30" customHeight="1">
      <c r="A46" s="1039"/>
      <c r="B46" s="753"/>
      <c r="C46" t="s" s="754">
        <f>IF(LEFT(RIGHT($B$1,2),1)=" ",RIGHT($B$1,1),RIGHT($B$1,2))</f>
        <v>267</v>
      </c>
      <c r="D46" s="755">
        <f>IF(LEFT(F46,5)="Bonne",D44+1,D45)</f>
        <v>3</v>
      </c>
      <c r="E46" t="s" s="778">
        <f>C46&amp;D46&amp;RIGHT(F46,1)</f>
        <v>2500</v>
      </c>
      <c r="F46" t="s" s="779">
        <v>1774</v>
      </c>
      <c r="G46" t="s" s="780">
        <f>VLOOKUP(E46,'BDD'!$A$2:$N$567,MATCH(G$24,'BDD'!$A$1:$P$1,0),FALSE)</f>
        <v>1599</v>
      </c>
      <c r="H46" t="s" s="799">
        <f>IF(VLOOKUP($E46,'BDD'!$A$2:$N$567,MATCH($H$23,'BDD'!$A$1:$P$1,0),FALSE)=H$24,H$24,"")</f>
      </c>
      <c r="I46" t="s" s="792">
        <f>IF(VLOOKUP($E46,'BDD'!$A$2:$N$567,MATCH($H$23,'BDD'!$A$1:$P$1,0),FALSE)=I$24,I$24,"")</f>
      </c>
      <c r="J46" t="s" s="792">
        <f>IF(VLOOKUP($E46,'BDD'!$A$2:$N$567,MATCH($H$23,'BDD'!$A$1:$P$1,0),FALSE)=J$24,J$24,"")</f>
      </c>
      <c r="K46" t="s" s="792">
        <f>IF(VLOOKUP($E46,'BDD'!$A$2:$N$567,MATCH($H$23,'BDD'!$A$1:$P$1,0),FALSE)=K$24,K$24,"")</f>
        <v>1968</v>
      </c>
      <c r="L46" t="s" s="783">
        <f>IF(VLOOKUP($E46,'BDD'!$A$2:$N$567,MATCH($H$23,'BDD'!$A$1:$P$1,0),FALSE)=L$24,L$24,"")</f>
      </c>
      <c r="M46" s="794">
        <f>IF(N46="Exigences partiellement respectées",1,IF(N46="Exigences respectées",2,0))</f>
        <v>0</v>
      </c>
      <c r="N46" t="s" s="780">
        <f>VLOOKUP(VLOOKUP(E46,'BDD'!$A$2:$P$550,15,FALSE),'Suppl'!$D$64:$E$68,2,FALSE)</f>
        <v>1751</v>
      </c>
      <c r="O46" s="795"/>
      <c r="P46" s="796"/>
      <c r="Q46" s="796"/>
      <c r="R46" s="1155"/>
      <c r="S46" s="1151">
        <f>IF(N46='Suppl'!$E$65,0,IF(N46='Suppl'!$E$66,1/2/(_xlfn.COUNTIFS($D1:$D100,D46,$N1:$N100,"Exigences"&amp;"*",G1:G100,"&lt;&gt;0")+_xlfn.COUNTIFS($D1:$D100,D46,$N1:$N100,"Non"&amp;"*",G1:G100,"&lt;&gt;0")),IF(N46='Suppl'!$E$67,1/(_xlfn.COUNTIFS($D1:$D100,D46,$N1:$N100,"Exigences"&amp;"*",G1:G100,"&lt;&gt;0")+_xlfn.COUNTIFS($D1:$D100,D46,$N1:$N100,"Non"&amp;"*",G1:G100,"&lt;&gt;0")),0)))</f>
        <v>0</v>
      </c>
      <c r="T46" s="797"/>
      <c r="U46" s="797"/>
      <c r="V46" s="1156"/>
      <c r="W46" s="1151">
        <f>_xlfn.IFERROR(IF(M46='Suppl'!$E$65,0,IF(M46='Suppl'!$E$66,1/2/(_xlfn.COUNTIFS($N1:$N100,"Exigences"&amp;"*")+_xlfn.COUNTIFS($N1:$N100,"Non"&amp;"*")),IF(M46='Suppl'!$E$67,1/(_xlfn.COUNTIFS($N1:$N100,"Exigences"&amp;"*")+_xlfn.COUNTIFS($N1:$N100,"Non"&amp;"*")),0))),0)</f>
      </c>
      <c r="X46" s="797">
        <f>_xlfn.IFERROR(IF(N46='Suppl'!$E$65,0,IF(N46='Suppl'!$E$66,1/2/(_xlfn.COUNTIFS($N1:$N100,"Exigences"&amp;"*")+_xlfn.COUNTIFS($N1:$N100,"Non"&amp;"*")),IF(N46='Suppl'!$E$67,1/(_xlfn.COUNTIFS($N1:$N100,"Exigences"&amp;"*")+_xlfn.COUNTIFS($N1:$N100,"Non"&amp;"*")),0))),0)</f>
        <v>0</v>
      </c>
      <c r="Y46" s="586"/>
      <c r="Z46" s="586"/>
      <c r="AA46" s="586"/>
      <c r="AB46" s="586"/>
      <c r="AC46" s="586"/>
      <c r="AD46" s="586"/>
      <c r="AE46" s="586"/>
      <c r="AF46" s="586"/>
      <c r="AG46" s="586"/>
      <c r="AH46" s="586"/>
      <c r="AI46" s="1040"/>
      <c r="AJ46" s="585"/>
    </row>
    <row r="47" ht="30" customHeight="1">
      <c r="A47" s="1039"/>
      <c r="B47" s="753"/>
      <c r="C47" t="s" s="754">
        <f>IF(LEFT(RIGHT($B$1,2),1)=" ",RIGHT($B$1,1),RIGHT($B$1,2))</f>
        <v>267</v>
      </c>
      <c r="D47" s="755">
        <f>IF(LEFT(F47,5)="Bonne",D45+1,D46)</f>
        <v>3</v>
      </c>
      <c r="E47" t="s" s="778">
        <f>C47&amp;D47&amp;RIGHT(F47,1)</f>
        <v>2505</v>
      </c>
      <c r="F47" t="s" s="790">
        <v>1776</v>
      </c>
      <c r="G47" t="s" s="791">
        <f>VLOOKUP(E47,'BDD'!$A$2:$N$567,MATCH(G$24,'BDD'!$A$1:$P$1,0),FALSE)</f>
        <v>1602</v>
      </c>
      <c r="H47" t="s" s="799">
        <f>IF(VLOOKUP($E47,'BDD'!$A$2:$N$567,MATCH($H$23,'BDD'!$A$1:$P$1,0),FALSE)=H$24,H$24,"")</f>
        <v>1966</v>
      </c>
      <c r="I47" t="s" s="792">
        <f>IF(VLOOKUP($E47,'BDD'!$A$2:$N$567,MATCH($H$23,'BDD'!$A$1:$P$1,0),FALSE)=I$24,I$24,"")</f>
      </c>
      <c r="J47" t="s" s="792">
        <f>IF(VLOOKUP($E47,'BDD'!$A$2:$N$567,MATCH($H$23,'BDD'!$A$1:$P$1,0),FALSE)=J$24,J$24,"")</f>
      </c>
      <c r="K47" t="s" s="792">
        <f>IF(VLOOKUP($E47,'BDD'!$A$2:$N$567,MATCH($H$23,'BDD'!$A$1:$P$1,0),FALSE)=K$24,K$24,"")</f>
      </c>
      <c r="L47" t="s" s="783">
        <f>IF(VLOOKUP($E47,'BDD'!$A$2:$N$567,MATCH($H$23,'BDD'!$A$1:$P$1,0),FALSE)=L$24,L$24,"")</f>
      </c>
      <c r="M47" s="794">
        <f>IF(N47="Exigences partiellement respectées",1,IF(N47="Exigences respectées",2,0))</f>
        <v>0</v>
      </c>
      <c r="N47" t="s" s="791">
        <f>VLOOKUP(VLOOKUP(E47,'BDD'!$A$2:$P$550,15,FALSE),'Suppl'!$D$64:$E$68,2,FALSE)</f>
        <v>1751</v>
      </c>
      <c r="O47" s="795"/>
      <c r="P47" s="796"/>
      <c r="Q47" s="796"/>
      <c r="R47" s="1155"/>
      <c r="S47" s="1151">
        <f>IF(N47='Suppl'!$E$65,0,IF(N47='Suppl'!$E$66,1/2/(_xlfn.COUNTIFS($D1:$D100,D47,$N1:$N100,"Exigences"&amp;"*",G1:G100,"&lt;&gt;0")+_xlfn.COUNTIFS($D1:$D100,D47,$N1:$N100,"Non"&amp;"*",G1:G100,"&lt;&gt;0")),IF(N47='Suppl'!$E$67,1/(_xlfn.COUNTIFS($D1:$D100,D47,$N1:$N100,"Exigences"&amp;"*",G1:G100,"&lt;&gt;0")+_xlfn.COUNTIFS($D1:$D100,D47,$N1:$N100,"Non"&amp;"*",G1:G100,"&lt;&gt;0")),0)))</f>
        <v>0</v>
      </c>
      <c r="T47" s="797"/>
      <c r="U47" s="797"/>
      <c r="V47" s="1156"/>
      <c r="W47" s="1151">
        <f>_xlfn.IFERROR(IF(M47='Suppl'!$E$65,0,IF(M47='Suppl'!$E$66,1/2/(_xlfn.COUNTIFS($N1:$N100,"Exigences"&amp;"*")+_xlfn.COUNTIFS($N1:$N100,"Non"&amp;"*")),IF(M47='Suppl'!$E$67,1/(_xlfn.COUNTIFS($N1:$N100,"Exigences"&amp;"*")+_xlfn.COUNTIFS($N1:$N100,"Non"&amp;"*")),0))),0)</f>
      </c>
      <c r="X47" s="797">
        <f>_xlfn.IFERROR(IF(N47='Suppl'!$E$65,0,IF(N47='Suppl'!$E$66,1/2/(_xlfn.COUNTIFS($N1:$N100,"Exigences"&amp;"*")+_xlfn.COUNTIFS($N1:$N100,"Non"&amp;"*")),IF(N47='Suppl'!$E$67,1/(_xlfn.COUNTIFS($N1:$N100,"Exigences"&amp;"*")+_xlfn.COUNTIFS($N1:$N100,"Non"&amp;"*")),0))),0)</f>
        <v>0</v>
      </c>
      <c r="Y47" s="586"/>
      <c r="Z47" s="586"/>
      <c r="AA47" s="586"/>
      <c r="AB47" s="586"/>
      <c r="AC47" s="586"/>
      <c r="AD47" s="586"/>
      <c r="AE47" s="586"/>
      <c r="AF47" s="586"/>
      <c r="AG47" s="586"/>
      <c r="AH47" s="586"/>
      <c r="AI47" s="1040"/>
      <c r="AJ47" s="585"/>
    </row>
    <row r="48" ht="41.4" customHeight="1">
      <c r="A48" s="1039"/>
      <c r="B48" s="753"/>
      <c r="C48" t="s" s="754">
        <f>IF(LEFT(RIGHT($B$1,2),1)=" ",RIGHT($B$1,1),RIGHT($B$1,2))</f>
        <v>267</v>
      </c>
      <c r="D48" s="755">
        <f>IF(LEFT(F48,5)="Bonne",D46+1,D47)</f>
        <v>3</v>
      </c>
      <c r="E48" t="s" s="778">
        <f>C48&amp;D48&amp;RIGHT(F48,1)</f>
        <v>2506</v>
      </c>
      <c r="F48" t="s" s="779">
        <v>1778</v>
      </c>
      <c r="G48" t="s" s="780">
        <f>VLOOKUP(E48,'BDD'!$A$2:$N$567,MATCH(G$24,'BDD'!$A$1:$P$1,0),FALSE)</f>
        <v>1604</v>
      </c>
      <c r="H48" t="s" s="799">
        <f>IF(VLOOKUP($E48,'BDD'!$A$2:$N$567,MATCH($H$23,'BDD'!$A$1:$P$1,0),FALSE)=H$24,H$24,"")</f>
      </c>
      <c r="I48" t="s" s="792">
        <f>IF(VLOOKUP($E48,'BDD'!$A$2:$N$567,MATCH($H$23,'BDD'!$A$1:$P$1,0),FALSE)=I$24,I$24,"")</f>
        <v>1969</v>
      </c>
      <c r="J48" t="s" s="792">
        <f>IF(VLOOKUP($E48,'BDD'!$A$2:$N$567,MATCH($H$23,'BDD'!$A$1:$P$1,0),FALSE)=J$24,J$24,"")</f>
      </c>
      <c r="K48" t="s" s="792">
        <f>IF(VLOOKUP($E48,'BDD'!$A$2:$N$567,MATCH($H$23,'BDD'!$A$1:$P$1,0),FALSE)=K$24,K$24,"")</f>
      </c>
      <c r="L48" t="s" s="783">
        <f>IF(VLOOKUP($E48,'BDD'!$A$2:$N$567,MATCH($H$23,'BDD'!$A$1:$P$1,0),FALSE)=L$24,L$24,"")</f>
      </c>
      <c r="M48" s="794">
        <f>IF(N48="Exigences partiellement respectées",1,IF(N48="Exigences respectées",2,0))</f>
        <v>0</v>
      </c>
      <c r="N48" t="s" s="780">
        <f>VLOOKUP(VLOOKUP(E48,'BDD'!$A$2:$P$550,15,FALSE),'Suppl'!$D$64:$E$68,2,FALSE)</f>
        <v>1751</v>
      </c>
      <c r="O48" s="795"/>
      <c r="P48" s="796"/>
      <c r="Q48" s="796"/>
      <c r="R48" s="1155"/>
      <c r="S48" s="1151">
        <f>IF(N48='Suppl'!$E$65,0,IF(N48='Suppl'!$E$66,1/2/(_xlfn.COUNTIFS($D1:$D100,D48,$N1:$N100,"Exigences"&amp;"*",G1:G100,"&lt;&gt;0")+_xlfn.COUNTIFS($D1:$D100,D48,$N1:$N100,"Non"&amp;"*",G1:G100,"&lt;&gt;0")),IF(N48='Suppl'!$E$67,1/(_xlfn.COUNTIFS($D1:$D100,D48,$N1:$N100,"Exigences"&amp;"*",G1:G100,"&lt;&gt;0")+_xlfn.COUNTIFS($D1:$D100,D48,$N1:$N100,"Non"&amp;"*",G1:G100,"&lt;&gt;0")),0)))</f>
        <v>0</v>
      </c>
      <c r="T48" s="797"/>
      <c r="U48" s="797"/>
      <c r="V48" s="1156"/>
      <c r="W48" s="1151">
        <f>_xlfn.IFERROR(IF(M48='Suppl'!$E$65,0,IF(M48='Suppl'!$E$66,1/2/(_xlfn.COUNTIFS($N1:$N100,"Exigences"&amp;"*")+_xlfn.COUNTIFS($N1:$N100,"Non"&amp;"*")),IF(M48='Suppl'!$E$67,1/(_xlfn.COUNTIFS($N1:$N100,"Exigences"&amp;"*")+_xlfn.COUNTIFS($N1:$N100,"Non"&amp;"*")),0))),0)</f>
      </c>
      <c r="X48" s="797">
        <f>_xlfn.IFERROR(IF(N48='Suppl'!$E$65,0,IF(N48='Suppl'!$E$66,1/2/(_xlfn.COUNTIFS($N1:$N100,"Exigences"&amp;"*")+_xlfn.COUNTIFS($N1:$N100,"Non"&amp;"*")),IF(N48='Suppl'!$E$67,1/(_xlfn.COUNTIFS($N1:$N100,"Exigences"&amp;"*")+_xlfn.COUNTIFS($N1:$N100,"Non"&amp;"*")),0))),0)</f>
        <v>0</v>
      </c>
      <c r="Y48" s="586"/>
      <c r="Z48" s="586"/>
      <c r="AA48" s="586"/>
      <c r="AB48" s="586"/>
      <c r="AC48" s="586"/>
      <c r="AD48" s="586"/>
      <c r="AE48" s="586"/>
      <c r="AF48" s="586"/>
      <c r="AG48" s="586"/>
      <c r="AH48" s="586"/>
      <c r="AI48" s="1040"/>
      <c r="AJ48" s="585"/>
    </row>
    <row r="49" ht="30" customHeight="1">
      <c r="A49" s="1039"/>
      <c r="B49" s="753"/>
      <c r="C49" t="s" s="754">
        <f>IF(LEFT(RIGHT($B$1,2),1)=" ",RIGHT($B$1,1),RIGHT($B$1,2))</f>
        <v>267</v>
      </c>
      <c r="D49" s="755">
        <f>IF(LEFT(F49,5)="Bonne",D47+1,D48)</f>
        <v>3</v>
      </c>
      <c r="E49" t="s" s="778">
        <f>C49&amp;D49&amp;RIGHT(F49,1)</f>
        <v>2507</v>
      </c>
      <c r="F49" t="s" s="790">
        <v>1780</v>
      </c>
      <c r="G49" t="s" s="791">
        <f>VLOOKUP(E49,'BDD'!$A$2:$N$567,MATCH(G$24,'BDD'!$A$1:$P$1,0),FALSE)</f>
        <v>1607</v>
      </c>
      <c r="H49" t="s" s="799">
        <f>IF(VLOOKUP($E49,'BDD'!$A$2:$N$567,MATCH($H$23,'BDD'!$A$1:$P$1,0),FALSE)=H$24,H$24,"")</f>
        <v>1966</v>
      </c>
      <c r="I49" t="s" s="792">
        <f>IF(VLOOKUP($E49,'BDD'!$A$2:$N$567,MATCH($H$23,'BDD'!$A$1:$P$1,0),FALSE)=I$24,I$24,"")</f>
      </c>
      <c r="J49" t="s" s="792">
        <f>IF(VLOOKUP($E49,'BDD'!$A$2:$N$567,MATCH($H$23,'BDD'!$A$1:$P$1,0),FALSE)=J$24,J$24,"")</f>
      </c>
      <c r="K49" t="s" s="792">
        <f>IF(VLOOKUP($E49,'BDD'!$A$2:$N$567,MATCH($H$23,'BDD'!$A$1:$P$1,0),FALSE)=K$24,K$24,"")</f>
      </c>
      <c r="L49" t="s" s="783">
        <f>IF(VLOOKUP($E49,'BDD'!$A$2:$N$567,MATCH($H$23,'BDD'!$A$1:$P$1,0),FALSE)=L$24,L$24,"")</f>
      </c>
      <c r="M49" s="794">
        <f>IF(N49="Exigences partiellement respectées",1,IF(N49="Exigences respectées",2,0))</f>
        <v>0</v>
      </c>
      <c r="N49" t="s" s="791">
        <f>VLOOKUP(VLOOKUP(E49,'BDD'!$A$2:$P$550,15,FALSE),'Suppl'!$D$64:$E$68,2,FALSE)</f>
        <v>1751</v>
      </c>
      <c r="O49" s="795"/>
      <c r="P49" s="796"/>
      <c r="Q49" s="796"/>
      <c r="R49" s="1155"/>
      <c r="S49" s="1151">
        <f>IF(N49='Suppl'!$E$65,0,IF(N49='Suppl'!$E$66,1/2/(_xlfn.COUNTIFS($D1:$D100,D49,$N1:$N100,"Exigences"&amp;"*",G1:G100,"&lt;&gt;0")+_xlfn.COUNTIFS($D1:$D100,D49,$N1:$N100,"Non"&amp;"*",G1:G100,"&lt;&gt;0")),IF(N49='Suppl'!$E$67,1/(_xlfn.COUNTIFS($D1:$D100,D49,$N1:$N100,"Exigences"&amp;"*",G1:G100,"&lt;&gt;0")+_xlfn.COUNTIFS($D1:$D100,D49,$N1:$N100,"Non"&amp;"*",G1:G100,"&lt;&gt;0")),0)))</f>
        <v>0</v>
      </c>
      <c r="T49" s="797"/>
      <c r="U49" s="797"/>
      <c r="V49" s="1156"/>
      <c r="W49" s="1151">
        <f>_xlfn.IFERROR(IF(M49='Suppl'!$E$65,0,IF(M49='Suppl'!$E$66,1/2/(_xlfn.COUNTIFS($N1:$N100,"Exigences"&amp;"*")+_xlfn.COUNTIFS($N1:$N100,"Non"&amp;"*")),IF(M49='Suppl'!$E$67,1/(_xlfn.COUNTIFS($N1:$N100,"Exigences"&amp;"*")+_xlfn.COUNTIFS($N1:$N100,"Non"&amp;"*")),0))),0)</f>
      </c>
      <c r="X49" s="797">
        <f>_xlfn.IFERROR(IF(N49='Suppl'!$E$65,0,IF(N49='Suppl'!$E$66,1/2/(_xlfn.COUNTIFS($N1:$N100,"Exigences"&amp;"*")+_xlfn.COUNTIFS($N1:$N100,"Non"&amp;"*")),IF(N49='Suppl'!$E$67,1/(_xlfn.COUNTIFS($N1:$N100,"Exigences"&amp;"*")+_xlfn.COUNTIFS($N1:$N100,"Non"&amp;"*")),0))),0)</f>
        <v>0</v>
      </c>
      <c r="Y49" s="586"/>
      <c r="Z49" s="586"/>
      <c r="AA49" s="586"/>
      <c r="AB49" s="586"/>
      <c r="AC49" s="586"/>
      <c r="AD49" s="586"/>
      <c r="AE49" s="586"/>
      <c r="AF49" s="586"/>
      <c r="AG49" s="586"/>
      <c r="AH49" s="586"/>
      <c r="AI49" s="1040"/>
      <c r="AJ49" s="585"/>
    </row>
    <row r="50" ht="41.4" customHeight="1">
      <c r="A50" s="1039"/>
      <c r="B50" s="753"/>
      <c r="C50" t="s" s="754">
        <f>IF(LEFT(RIGHT($B$1,2),1)=" ",RIGHT($B$1,1),RIGHT($B$1,2))</f>
        <v>267</v>
      </c>
      <c r="D50" s="755">
        <f>IF(LEFT(F50,5)="Bonne",D48+1,D49)</f>
        <v>3</v>
      </c>
      <c r="E50" t="s" s="778">
        <f>C50&amp;D50&amp;RIGHT(F50,1)</f>
        <v>2508</v>
      </c>
      <c r="F50" t="s" s="779">
        <v>1782</v>
      </c>
      <c r="G50" t="s" s="780">
        <f>VLOOKUP(E50,'BDD'!$A$2:$N$567,MATCH(G$24,'BDD'!$A$1:$P$1,0),FALSE)</f>
        <v>1609</v>
      </c>
      <c r="H50" t="s" s="799">
        <f>IF(VLOOKUP($E50,'BDD'!$A$2:$N$567,MATCH($H$23,'BDD'!$A$1:$P$1,0),FALSE)=H$24,H$24,"")</f>
      </c>
      <c r="I50" t="s" s="792">
        <f>IF(VLOOKUP($E50,'BDD'!$A$2:$N$567,MATCH($H$23,'BDD'!$A$1:$P$1,0),FALSE)=I$24,I$24,"")</f>
        <v>1969</v>
      </c>
      <c r="J50" t="s" s="792">
        <f>IF(VLOOKUP($E50,'BDD'!$A$2:$N$567,MATCH($H$23,'BDD'!$A$1:$P$1,0),FALSE)=J$24,J$24,"")</f>
      </c>
      <c r="K50" t="s" s="792">
        <f>IF(VLOOKUP($E50,'BDD'!$A$2:$N$567,MATCH($H$23,'BDD'!$A$1:$P$1,0),FALSE)=K$24,K$24,"")</f>
      </c>
      <c r="L50" t="s" s="783">
        <f>IF(VLOOKUP($E50,'BDD'!$A$2:$N$567,MATCH($H$23,'BDD'!$A$1:$P$1,0),FALSE)=L$24,L$24,"")</f>
      </c>
      <c r="M50" s="800">
        <f>IF(N50="Exigences partiellement respectées",1,IF(N50="Exigences respectées",2,0))</f>
        <v>0</v>
      </c>
      <c r="N50" t="s" s="780">
        <f>VLOOKUP(VLOOKUP(E50,'BDD'!$A$2:$P$550,15,FALSE),'Suppl'!$D$64:$E$68,2,FALSE)</f>
        <v>1751</v>
      </c>
      <c r="O50" s="801"/>
      <c r="P50" s="802"/>
      <c r="Q50" s="802"/>
      <c r="R50" s="1157"/>
      <c r="S50" s="1158">
        <f>IF(N50='Suppl'!$E$65,0,IF(N50='Suppl'!$E$66,1/2/(_xlfn.COUNTIFS($D1:$D100,D50,$N1:$N100,"Exigences"&amp;"*",G1:G100,"&lt;&gt;0")+_xlfn.COUNTIFS($D1:$D100,D50,$N1:$N100,"Non"&amp;"*",G1:G100,"&lt;&gt;0")),IF(N50='Suppl'!$E$67,1/(_xlfn.COUNTIFS($D1:$D100,D50,$N1:$N100,"Exigences"&amp;"*",G1:G100,"&lt;&gt;0")+_xlfn.COUNTIFS($D1:$D100,D50,$N1:$N100,"Non"&amp;"*",G1:G100,"&lt;&gt;0")),0)))</f>
        <v>0</v>
      </c>
      <c r="T50" s="803"/>
      <c r="U50" s="803"/>
      <c r="V50" s="1159"/>
      <c r="W50" s="1151">
        <f>_xlfn.IFERROR(IF(M50='Suppl'!$E$65,0,IF(M50='Suppl'!$E$66,1/2/(_xlfn.COUNTIFS($N1:$N100,"Exigences"&amp;"*")+_xlfn.COUNTIFS($N1:$N100,"Non"&amp;"*")),IF(M50='Suppl'!$E$67,1/(_xlfn.COUNTIFS($N1:$N100,"Exigences"&amp;"*")+_xlfn.COUNTIFS($N1:$N100,"Non"&amp;"*")),0))),0)</f>
      </c>
      <c r="X50" s="797">
        <f>_xlfn.IFERROR(IF(N50='Suppl'!$E$65,0,IF(N50='Suppl'!$E$66,1/2/(_xlfn.COUNTIFS($N1:$N100,"Exigences"&amp;"*")+_xlfn.COUNTIFS($N1:$N100,"Non"&amp;"*")),IF(N50='Suppl'!$E$67,1/(_xlfn.COUNTIFS($N1:$N100,"Exigences"&amp;"*")+_xlfn.COUNTIFS($N1:$N100,"Non"&amp;"*")),0))),0)</f>
        <v>0</v>
      </c>
      <c r="Y50" s="586"/>
      <c r="Z50" s="586"/>
      <c r="AA50" s="586"/>
      <c r="AB50" s="586"/>
      <c r="AC50" s="586"/>
      <c r="AD50" s="586"/>
      <c r="AE50" s="586"/>
      <c r="AF50" s="586"/>
      <c r="AG50" s="586"/>
      <c r="AH50" s="586"/>
      <c r="AI50" s="1040"/>
      <c r="AJ50" s="585"/>
    </row>
    <row r="51" ht="30" customHeight="1">
      <c r="A51" s="1039"/>
      <c r="B51" s="753"/>
      <c r="C51" t="s" s="754">
        <f>IF(LEFT(RIGHT($B$1,2),1)=" ",RIGHT($B$1,1),RIGHT($B$1,2))</f>
        <v>267</v>
      </c>
      <c r="D51" s="755">
        <f>IF(LEFT(F51,5)="Bonne",D49+1,D50)</f>
        <v>4</v>
      </c>
      <c r="E51" t="s" s="778">
        <f>C51&amp;D51&amp;RIGHT(F51,1)</f>
        <v>2509</v>
      </c>
      <c r="F51" t="s" s="757">
        <v>1806</v>
      </c>
      <c r="G51" t="s" s="758">
        <f>VLOOKUP(E53,'BDD'!$A$2:$N$567,6,FALSE)</f>
        <v>1611</v>
      </c>
      <c r="H51" s="759"/>
      <c r="I51" s="760"/>
      <c r="J51" s="760"/>
      <c r="K51" s="760"/>
      <c r="L51" s="761"/>
      <c r="M51" s="762"/>
      <c r="N51" s="763"/>
      <c r="O51" s="764">
        <v>0</v>
      </c>
      <c r="P51" s="764"/>
      <c r="Q51" s="764"/>
      <c r="R51" s="764"/>
      <c r="S51" s="765">
        <f>_xlfn.SUMIFS(S1:S100,$D1:$D100,D51,$N1:$N100,"Exigences"&amp;"*")</f>
      </c>
      <c r="T51" s="765"/>
      <c r="U51" s="765"/>
      <c r="V51" s="1149"/>
      <c r="W51" s="1151">
        <f>_xlfn.IFERROR(IF(M51='Suppl'!$E$65,0,IF(M51='Suppl'!$E$66,1/2/(_xlfn.COUNTIFS($N1:$N100,"Exigences"&amp;"*")+_xlfn.COUNTIFS($N1:$N100,"Non"&amp;"*")),IF(M51='Suppl'!$E$67,1/(_xlfn.COUNTIFS($N1:$N100,"Exigences"&amp;"*")+_xlfn.COUNTIFS($N1:$N100,"Non"&amp;"*")),0))),0)</f>
        <v>0</v>
      </c>
      <c r="X51" s="797">
        <f>_xlfn.IFERROR(IF(N51='Suppl'!$E$65,0,IF(N51='Suppl'!$E$66,1/2/(_xlfn.COUNTIFS($N1:$N100,"Exigences"&amp;"*")+_xlfn.COUNTIFS($N1:$N100,"Non"&amp;"*")),IF(N51='Suppl'!$E$67,1/(_xlfn.COUNTIFS($N1:$N100,"Exigences"&amp;"*")+_xlfn.COUNTIFS($N1:$N100,"Non"&amp;"*")),0))),0)</f>
        <v>0</v>
      </c>
      <c r="Y51" s="586"/>
      <c r="Z51" s="586"/>
      <c r="AA51" s="586"/>
      <c r="AB51" s="586"/>
      <c r="AC51" s="586"/>
      <c r="AD51" s="586"/>
      <c r="AE51" s="586"/>
      <c r="AF51" s="586"/>
      <c r="AG51" s="586"/>
      <c r="AH51" s="586"/>
      <c r="AI51" s="1040"/>
      <c r="AJ51" s="585"/>
    </row>
    <row r="52" ht="30" customHeight="1">
      <c r="A52" s="1039"/>
      <c r="B52" s="753"/>
      <c r="C52" t="s" s="754">
        <f>IF(LEFT(RIGHT($B$1,2),1)=" ",RIGHT($B$1,1),RIGHT($B$1,2))</f>
        <v>267</v>
      </c>
      <c r="D52" s="755">
        <f>IF(LEFT(F52,5)="Bonne",D50+1,D51)</f>
        <v>4</v>
      </c>
      <c r="E52" t="s" s="778">
        <f>C52&amp;D52&amp;RIGHT(F52,1)</f>
        <v>2512</v>
      </c>
      <c r="F52" t="s" s="769">
        <v>1835</v>
      </c>
      <c r="G52" t="s" s="809">
        <f>VLOOKUP(E54,'BDD'!$A$2:$N$567,7,FALSE)</f>
        <v>2530</v>
      </c>
      <c r="H52" s="810"/>
      <c r="I52" s="810"/>
      <c r="J52" s="810"/>
      <c r="K52" s="810"/>
      <c r="L52" s="810"/>
      <c r="M52" s="810"/>
      <c r="N52" s="811"/>
      <c r="O52" s="775"/>
      <c r="P52" s="775"/>
      <c r="Q52" s="775"/>
      <c r="R52" s="775"/>
      <c r="S52" s="776"/>
      <c r="T52" s="776"/>
      <c r="U52" s="776"/>
      <c r="V52" s="1150"/>
      <c r="W52" s="1151">
        <f>_xlfn.IFERROR(IF(M52='Suppl'!$E$65,0,IF(M52='Suppl'!$E$66,1/2/(_xlfn.COUNTIFS($N1:$N100,"Exigences"&amp;"*")+_xlfn.COUNTIFS($N1:$N100,"Non"&amp;"*")),IF(M52='Suppl'!$E$67,1/(_xlfn.COUNTIFS($N1:$N100,"Exigences"&amp;"*")+_xlfn.COUNTIFS($N1:$N100,"Non"&amp;"*")),0))),0)</f>
        <v>0</v>
      </c>
      <c r="X52" s="797">
        <f>_xlfn.IFERROR(IF(N52='Suppl'!$E$65,0,IF(N52='Suppl'!$E$66,1/2/(_xlfn.COUNTIFS($N1:$N100,"Exigences"&amp;"*")+_xlfn.COUNTIFS($N1:$N100,"Non"&amp;"*")),IF(N52='Suppl'!$E$67,1/(_xlfn.COUNTIFS($N1:$N100,"Exigences"&amp;"*")+_xlfn.COUNTIFS($N1:$N100,"Non"&amp;"*")),0))),0)</f>
        <v>0</v>
      </c>
      <c r="Y52" s="586"/>
      <c r="Z52" s="586"/>
      <c r="AA52" s="586"/>
      <c r="AB52" s="586"/>
      <c r="AC52" s="586"/>
      <c r="AD52" s="586"/>
      <c r="AE52" s="586"/>
      <c r="AF52" s="586"/>
      <c r="AG52" s="586"/>
      <c r="AH52" s="586"/>
      <c r="AI52" s="1040"/>
      <c r="AJ52" s="585"/>
    </row>
    <row r="53" ht="30" customHeight="1">
      <c r="A53" s="1039"/>
      <c r="B53" s="753"/>
      <c r="C53" t="s" s="754">
        <f>IF(LEFT(RIGHT($B$1,2),1)=" ",RIGHT($B$1,1),RIGHT($B$1,2))</f>
        <v>267</v>
      </c>
      <c r="D53" s="755">
        <f>IF(LEFT(F53,5)="Bonne",D51+1,D52)</f>
        <v>4</v>
      </c>
      <c r="E53" t="s" s="778">
        <f>C53&amp;D53&amp;RIGHT(F53,1)</f>
        <v>2512</v>
      </c>
      <c r="F53" t="s" s="779">
        <v>1769</v>
      </c>
      <c r="G53" t="s" s="780">
        <f>VLOOKUP(E53,'BDD'!$A$2:$N$567,MATCH(G$24,'BDD'!$A$1:$P$1,0),FALSE)</f>
        <v>1613</v>
      </c>
      <c r="H53" t="s" s="799">
        <f>IF(VLOOKUP($E53,'BDD'!$A$2:$N$567,MATCH($H$23,'BDD'!$A$1:$P$1,0),FALSE)=H$24,H$24,"")</f>
      </c>
      <c r="I53" t="s" s="792">
        <f>IF(VLOOKUP($E53,'BDD'!$A$2:$N$567,MATCH($H$23,'BDD'!$A$1:$P$1,0),FALSE)=I$24,I$24,"")</f>
        <v>1969</v>
      </c>
      <c r="J53" t="s" s="792">
        <f>IF(VLOOKUP($E53,'BDD'!$A$2:$N$567,MATCH($H$23,'BDD'!$A$1:$P$1,0),FALSE)=J$24,J$24,"")</f>
      </c>
      <c r="K53" t="s" s="792">
        <f>IF(VLOOKUP($E53,'BDD'!$A$2:$N$567,MATCH($H$23,'BDD'!$A$1:$P$1,0),FALSE)=K$24,K$24,"")</f>
      </c>
      <c r="L53" t="s" s="783">
        <f>IF(VLOOKUP($E53,'BDD'!$A$2:$N$567,MATCH($H$23,'BDD'!$A$1:$P$1,0),FALSE)=L$24,L$24,"")</f>
      </c>
      <c r="M53" s="784">
        <f>IF(N53="Exigences partiellement respectées",1,IF(N53="Exigences respectées",2,0))</f>
        <v>0</v>
      </c>
      <c r="N53" t="s" s="780">
        <f>VLOOKUP(VLOOKUP(E53,'BDD'!$A$2:$P$550,15,FALSE),'Suppl'!$D$64:$E$68,2,FALSE)</f>
        <v>1751</v>
      </c>
      <c r="O53" s="785"/>
      <c r="P53" s="786"/>
      <c r="Q53" s="786"/>
      <c r="R53" s="1152"/>
      <c r="S53" s="1153">
        <f>IF(N53='Suppl'!$E$65,0,IF(N53='Suppl'!$E$66,1/2/(_xlfn.COUNTIFS($D1:$D100,D53,$N1:$N100,"Exigences"&amp;"*",G1:G100,"&lt;&gt;0")+_xlfn.COUNTIFS($D1:$D100,D53,$N1:$N100,"Non"&amp;"*",G1:G100,"&lt;&gt;0")),IF(N53='Suppl'!$E$67,1/(_xlfn.COUNTIFS($D1:$D100,D53,$N1:$N100,"Exigences"&amp;"*",G1:G100,"&lt;&gt;0")+_xlfn.COUNTIFS($D1:$D100,D53,$N1:$N100,"Non"&amp;"*",G1:G100,"&lt;&gt;0")),0)))</f>
        <v>0</v>
      </c>
      <c r="T53" s="787"/>
      <c r="U53" s="787"/>
      <c r="V53" s="1154"/>
      <c r="W53" s="1151">
        <f>_xlfn.IFERROR(IF(M53='Suppl'!$E$65,0,IF(M53='Suppl'!$E$66,1/2/(_xlfn.COUNTIFS($N1:$N100,"Exigences"&amp;"*")+_xlfn.COUNTIFS($N1:$N100,"Non"&amp;"*")),IF(M53='Suppl'!$E$67,1/(_xlfn.COUNTIFS($N1:$N100,"Exigences"&amp;"*")+_xlfn.COUNTIFS($N1:$N100,"Non"&amp;"*")),0))),0)</f>
      </c>
      <c r="X53" s="797">
        <f>_xlfn.IFERROR(IF(N53='Suppl'!$E$65,0,IF(N53='Suppl'!$E$66,1/2/(_xlfn.COUNTIFS($N1:$N100,"Exigences"&amp;"*")+_xlfn.COUNTIFS($N1:$N100,"Non"&amp;"*")),IF(N53='Suppl'!$E$67,1/(_xlfn.COUNTIFS($N1:$N100,"Exigences"&amp;"*")+_xlfn.COUNTIFS($N1:$N100,"Non"&amp;"*")),0))),0)</f>
        <v>0</v>
      </c>
      <c r="Y53" s="586"/>
      <c r="Z53" s="586"/>
      <c r="AA53" s="586"/>
      <c r="AB53" s="586"/>
      <c r="AC53" s="586"/>
      <c r="AD53" s="586"/>
      <c r="AE53" s="586"/>
      <c r="AF53" s="586"/>
      <c r="AG53" s="586"/>
      <c r="AH53" s="586"/>
      <c r="AI53" s="1040"/>
      <c r="AJ53" s="585"/>
    </row>
    <row r="54" ht="41.4" customHeight="1">
      <c r="A54" s="1039"/>
      <c r="B54" s="753"/>
      <c r="C54" t="s" s="754">
        <f>IF(LEFT(RIGHT($B$1,2),1)=" ",RIGHT($B$1,1),RIGHT($B$1,2))</f>
        <v>267</v>
      </c>
      <c r="D54" s="755">
        <f>IF(LEFT(F54,5)="Bonne",D52+1,D53)</f>
        <v>4</v>
      </c>
      <c r="E54" t="s" s="778">
        <f>C54&amp;D54&amp;RIGHT(F54,1)</f>
        <v>2513</v>
      </c>
      <c r="F54" t="s" s="790">
        <v>1837</v>
      </c>
      <c r="G54" t="s" s="791">
        <f>VLOOKUP(E54,'BDD'!$A$2:$N$567,MATCH(G$24,'BDD'!$A$1:$P$1,0),FALSE)</f>
        <v>1616</v>
      </c>
      <c r="H54" t="s" s="799">
        <f>IF(VLOOKUP($E54,'BDD'!$A$2:$N$567,MATCH($H$23,'BDD'!$A$1:$P$1,0),FALSE)=H$24,H$24,"")</f>
      </c>
      <c r="I54" t="s" s="792">
        <f>IF(VLOOKUP($E54,'BDD'!$A$2:$N$567,MATCH($H$23,'BDD'!$A$1:$P$1,0),FALSE)=I$24,I$24,"")</f>
      </c>
      <c r="J54" t="s" s="792">
        <f>IF(VLOOKUP($E54,'BDD'!$A$2:$N$567,MATCH($H$23,'BDD'!$A$1:$P$1,0),FALSE)=J$24,J$24,"")</f>
        <v>1967</v>
      </c>
      <c r="K54" t="s" s="792">
        <f>IF(VLOOKUP($E54,'BDD'!$A$2:$N$567,MATCH($H$23,'BDD'!$A$1:$P$1,0),FALSE)=K$24,K$24,"")</f>
      </c>
      <c r="L54" t="s" s="783">
        <f>IF(VLOOKUP($E54,'BDD'!$A$2:$N$567,MATCH($H$23,'BDD'!$A$1:$P$1,0),FALSE)=L$24,L$24,"")</f>
      </c>
      <c r="M54" s="794">
        <f>IF(N54="Exigences partiellement respectées",1,IF(N54="Exigences respectées",2,0))</f>
        <v>0</v>
      </c>
      <c r="N54" t="s" s="791">
        <f>VLOOKUP(VLOOKUP(E54,'BDD'!$A$2:$P$550,15,FALSE),'Suppl'!$D$64:$E$68,2,FALSE)</f>
        <v>1751</v>
      </c>
      <c r="O54" s="795"/>
      <c r="P54" s="796"/>
      <c r="Q54" s="796"/>
      <c r="R54" s="1155"/>
      <c r="S54" s="1151">
        <f>IF(N54='Suppl'!$E$65,0,IF(N54='Suppl'!$E$66,1/2/(_xlfn.COUNTIFS($D1:$D100,D54,$N1:$N100,"Exigences"&amp;"*",G1:G100,"&lt;&gt;0")+_xlfn.COUNTIFS($D1:$D100,D54,$N1:$N100,"Non"&amp;"*",G1:G100,"&lt;&gt;0")),IF(N54='Suppl'!$E$67,1/(_xlfn.COUNTIFS($D1:$D100,D54,$N1:$N100,"Exigences"&amp;"*",G1:G100,"&lt;&gt;0")+_xlfn.COUNTIFS($D1:$D100,D54,$N1:$N100,"Non"&amp;"*",G1:G100,"&lt;&gt;0")),0)))</f>
        <v>0</v>
      </c>
      <c r="T54" s="797"/>
      <c r="U54" s="797"/>
      <c r="V54" s="1156"/>
      <c r="W54" s="1151">
        <f>_xlfn.IFERROR(IF(M54='Suppl'!$E$65,0,IF(M54='Suppl'!$E$66,1/2/(_xlfn.COUNTIFS($N1:$N100,"Exigences"&amp;"*")+_xlfn.COUNTIFS($N1:$N100,"Non"&amp;"*")),IF(M54='Suppl'!$E$67,1/(_xlfn.COUNTIFS($N1:$N100,"Exigences"&amp;"*")+_xlfn.COUNTIFS($N1:$N100,"Non"&amp;"*")),0))),0)</f>
      </c>
      <c r="X54" s="797">
        <f>_xlfn.IFERROR(IF(N54='Suppl'!$E$65,0,IF(N54='Suppl'!$E$66,1/2/(_xlfn.COUNTIFS($N1:$N100,"Exigences"&amp;"*")+_xlfn.COUNTIFS($N1:$N100,"Non"&amp;"*")),IF(N54='Suppl'!$E$67,1/(_xlfn.COUNTIFS($N1:$N100,"Exigences"&amp;"*")+_xlfn.COUNTIFS($N1:$N100,"Non"&amp;"*")),0))),0)</f>
        <v>0</v>
      </c>
      <c r="Y54" s="586"/>
      <c r="Z54" s="586"/>
      <c r="AA54" s="586"/>
      <c r="AB54" s="586"/>
      <c r="AC54" s="586"/>
      <c r="AD54" s="586"/>
      <c r="AE54" s="586"/>
      <c r="AF54" s="586"/>
      <c r="AG54" s="586"/>
      <c r="AH54" s="586"/>
      <c r="AI54" s="1040"/>
      <c r="AJ54" s="585"/>
    </row>
    <row r="55" ht="41.4" customHeight="1">
      <c r="A55" s="1039"/>
      <c r="B55" s="753"/>
      <c r="C55" t="s" s="754">
        <f>IF(LEFT(RIGHT($B$1,2),1)=" ",RIGHT($B$1,1),RIGHT($B$1,2))</f>
        <v>267</v>
      </c>
      <c r="D55" s="755">
        <f>IF(LEFT(F55,5)="Bonne",D53+1,D54)</f>
        <v>4</v>
      </c>
      <c r="E55" t="s" s="778">
        <f>C55&amp;D55&amp;RIGHT(F55,1)</f>
        <v>2514</v>
      </c>
      <c r="F55" t="s" s="779">
        <v>1774</v>
      </c>
      <c r="G55" t="s" s="780">
        <f>VLOOKUP(E55,'BDD'!$A$2:$N$567,MATCH(G$24,'BDD'!$A$1:$P$1,0),FALSE)</f>
        <v>1619</v>
      </c>
      <c r="H55" t="s" s="799">
        <f>IF(VLOOKUP($E55,'BDD'!$A$2:$N$567,MATCH($H$23,'BDD'!$A$1:$P$1,0),FALSE)=H$24,H$24,"")</f>
      </c>
      <c r="I55" t="s" s="792">
        <f>IF(VLOOKUP($E55,'BDD'!$A$2:$N$567,MATCH($H$23,'BDD'!$A$1:$P$1,0),FALSE)=I$24,I$24,"")</f>
      </c>
      <c r="J55" t="s" s="792">
        <f>IF(VLOOKUP($E55,'BDD'!$A$2:$N$567,MATCH($H$23,'BDD'!$A$1:$P$1,0),FALSE)=J$24,J$24,"")</f>
      </c>
      <c r="K55" t="s" s="792">
        <f>IF(VLOOKUP($E55,'BDD'!$A$2:$N$567,MATCH($H$23,'BDD'!$A$1:$P$1,0),FALSE)=K$24,K$24,"")</f>
        <v>1968</v>
      </c>
      <c r="L55" t="s" s="783">
        <f>IF(VLOOKUP($E55,'BDD'!$A$2:$N$567,MATCH($H$23,'BDD'!$A$1:$P$1,0),FALSE)=L$24,L$24,"")</f>
      </c>
      <c r="M55" s="794">
        <f>IF(N55="Exigences partiellement respectées",1,IF(N55="Exigences respectées",2,0))</f>
        <v>0</v>
      </c>
      <c r="N55" t="s" s="780">
        <f>VLOOKUP(VLOOKUP(E55,'BDD'!$A$2:$P$550,15,FALSE),'Suppl'!$D$64:$E$68,2,FALSE)</f>
        <v>1751</v>
      </c>
      <c r="O55" s="795"/>
      <c r="P55" s="796"/>
      <c r="Q55" s="796"/>
      <c r="R55" s="1155"/>
      <c r="S55" s="1151">
        <f>IF(N55='Suppl'!$E$65,0,IF(N55='Suppl'!$E$66,1/2/(_xlfn.COUNTIFS($D1:$D100,D55,$N1:$N100,"Exigences"&amp;"*",G1:G100,"&lt;&gt;0")+_xlfn.COUNTIFS($D1:$D100,D55,$N1:$N100,"Non"&amp;"*",G1:G100,"&lt;&gt;0")),IF(N55='Suppl'!$E$67,1/(_xlfn.COUNTIFS($D1:$D100,D55,$N1:$N100,"Exigences"&amp;"*",G1:G100,"&lt;&gt;0")+_xlfn.COUNTIFS($D1:$D100,D55,$N1:$N100,"Non"&amp;"*",G1:G100,"&lt;&gt;0")),0)))</f>
        <v>0</v>
      </c>
      <c r="T55" s="797"/>
      <c r="U55" s="797"/>
      <c r="V55" s="1156"/>
      <c r="W55" s="1151">
        <f>_xlfn.IFERROR(IF(M55='Suppl'!$E$65,0,IF(M55='Suppl'!$E$66,1/2/(_xlfn.COUNTIFS($N1:$N100,"Exigences"&amp;"*")+_xlfn.COUNTIFS($N1:$N100,"Non"&amp;"*")),IF(M55='Suppl'!$E$67,1/(_xlfn.COUNTIFS($N1:$N100,"Exigences"&amp;"*")+_xlfn.COUNTIFS($N1:$N100,"Non"&amp;"*")),0))),0)</f>
      </c>
      <c r="X55" s="797">
        <f>_xlfn.IFERROR(IF(N55='Suppl'!$E$65,0,IF(N55='Suppl'!$E$66,1/2/(_xlfn.COUNTIFS($N1:$N100,"Exigences"&amp;"*")+_xlfn.COUNTIFS($N1:$N100,"Non"&amp;"*")),IF(N55='Suppl'!$E$67,1/(_xlfn.COUNTIFS($N1:$N100,"Exigences"&amp;"*")+_xlfn.COUNTIFS($N1:$N100,"Non"&amp;"*")),0))),0)</f>
        <v>0</v>
      </c>
      <c r="Y55" s="586"/>
      <c r="Z55" s="586"/>
      <c r="AA55" s="586"/>
      <c r="AB55" s="586"/>
      <c r="AC55" s="586"/>
      <c r="AD55" s="586"/>
      <c r="AE55" s="586"/>
      <c r="AF55" s="586"/>
      <c r="AG55" s="586"/>
      <c r="AH55" s="586"/>
      <c r="AI55" s="1040"/>
      <c r="AJ55" s="585"/>
    </row>
    <row r="56" ht="30" customHeight="1">
      <c r="A56" s="1039"/>
      <c r="B56" s="753"/>
      <c r="C56" t="s" s="754">
        <f>IF(LEFT(RIGHT($B$1,2),1)=" ",RIGHT($B$1,1),RIGHT($B$1,2))</f>
        <v>267</v>
      </c>
      <c r="D56" s="755">
        <f>IF(LEFT(F56,5)="Bonne",D54+1,D55)</f>
        <v>4</v>
      </c>
      <c r="E56" t="s" s="778">
        <f>C56&amp;D56&amp;RIGHT(F56,1)</f>
        <v>2509</v>
      </c>
      <c r="F56" t="s" s="790">
        <v>1776</v>
      </c>
      <c r="G56" t="s" s="791">
        <f>VLOOKUP(E56,'BDD'!$A$2:$N$567,MATCH(G$24,'BDD'!$A$1:$P$1,0),FALSE)</f>
        <v>1622</v>
      </c>
      <c r="H56" t="s" s="799">
        <f>IF(VLOOKUP($E56,'BDD'!$A$2:$N$567,MATCH($H$23,'BDD'!$A$1:$P$1,0),FALSE)=H$24,H$24,"")</f>
      </c>
      <c r="I56" t="s" s="792">
        <f>IF(VLOOKUP($E56,'BDD'!$A$2:$N$567,MATCH($H$23,'BDD'!$A$1:$P$1,0),FALSE)=I$24,I$24,"")</f>
      </c>
      <c r="J56" t="s" s="792">
        <f>IF(VLOOKUP($E56,'BDD'!$A$2:$N$567,MATCH($H$23,'BDD'!$A$1:$P$1,0),FALSE)=J$24,J$24,"")</f>
      </c>
      <c r="K56" t="s" s="792">
        <f>IF(VLOOKUP($E56,'BDD'!$A$2:$N$567,MATCH($H$23,'BDD'!$A$1:$P$1,0),FALSE)=K$24,K$24,"")</f>
        <v>1968</v>
      </c>
      <c r="L56" t="s" s="783">
        <f>IF(VLOOKUP($E56,'BDD'!$A$2:$N$567,MATCH($H$23,'BDD'!$A$1:$P$1,0),FALSE)=L$24,L$24,"")</f>
      </c>
      <c r="M56" s="794">
        <f>IF(N56="Exigences partiellement respectées",1,IF(N56="Exigences respectées",2,0))</f>
        <v>0</v>
      </c>
      <c r="N56" t="s" s="791">
        <f>VLOOKUP(VLOOKUP(E56,'BDD'!$A$2:$P$550,15,FALSE),'Suppl'!$D$64:$E$68,2,FALSE)</f>
        <v>1751</v>
      </c>
      <c r="O56" s="795"/>
      <c r="P56" s="796"/>
      <c r="Q56" s="796"/>
      <c r="R56" s="1155"/>
      <c r="S56" s="1151">
        <f>IF(N56='Suppl'!$E$65,0,IF(N56='Suppl'!$E$66,1/2/(_xlfn.COUNTIFS($D1:$D100,D56,$N1:$N100,"Exigences"&amp;"*",G1:G100,"&lt;&gt;0")+_xlfn.COUNTIFS($D1:$D100,D56,$N1:$N100,"Non"&amp;"*",G1:G100,"&lt;&gt;0")),IF(N56='Suppl'!$E$67,1/(_xlfn.COUNTIFS($D1:$D100,D56,$N1:$N100,"Exigences"&amp;"*",G1:G100,"&lt;&gt;0")+_xlfn.COUNTIFS($D1:$D100,D56,$N1:$N100,"Non"&amp;"*",G1:G100,"&lt;&gt;0")),0)))</f>
        <v>0</v>
      </c>
      <c r="T56" s="797"/>
      <c r="U56" s="797"/>
      <c r="V56" s="1156"/>
      <c r="W56" s="1151">
        <f>_xlfn.IFERROR(IF(M56='Suppl'!$E$65,0,IF(M56='Suppl'!$E$66,1/2/(_xlfn.COUNTIFS($N1:$N100,"Exigences"&amp;"*")+_xlfn.COUNTIFS($N1:$N100,"Non"&amp;"*")),IF(M56='Suppl'!$E$67,1/(_xlfn.COUNTIFS($N1:$N100,"Exigences"&amp;"*")+_xlfn.COUNTIFS($N1:$N100,"Non"&amp;"*")),0))),0)</f>
      </c>
      <c r="X56" s="797">
        <f>_xlfn.IFERROR(IF(N56='Suppl'!$E$65,0,IF(N56='Suppl'!$E$66,1/2/(_xlfn.COUNTIFS($N1:$N100,"Exigences"&amp;"*")+_xlfn.COUNTIFS($N1:$N100,"Non"&amp;"*")),IF(N56='Suppl'!$E$67,1/(_xlfn.COUNTIFS($N1:$N100,"Exigences"&amp;"*")+_xlfn.COUNTIFS($N1:$N100,"Non"&amp;"*")),0))),0)</f>
        <v>0</v>
      </c>
      <c r="Y56" s="586"/>
      <c r="Z56" s="586"/>
      <c r="AA56" s="586"/>
      <c r="AB56" s="586"/>
      <c r="AC56" s="586"/>
      <c r="AD56" s="586"/>
      <c r="AE56" s="586"/>
      <c r="AF56" s="586"/>
      <c r="AG56" s="586"/>
      <c r="AH56" s="586"/>
      <c r="AI56" s="1040"/>
      <c r="AJ56" s="585"/>
    </row>
    <row r="57" ht="30" customHeight="1">
      <c r="A57" s="1039"/>
      <c r="B57" s="753"/>
      <c r="C57" t="s" s="754">
        <f>IF(LEFT(RIGHT($B$1,2),1)=" ",RIGHT($B$1,1),RIGHT($B$1,2))</f>
        <v>267</v>
      </c>
      <c r="D57" s="755">
        <f>IF(LEFT(F57,5)="Bonne",D55+1,D56)</f>
        <v>4</v>
      </c>
      <c r="E57" t="s" s="778">
        <f>C57&amp;D57&amp;RIGHT(F57,1)</f>
        <v>2515</v>
      </c>
      <c r="F57" t="s" s="779">
        <v>1778</v>
      </c>
      <c r="G57" t="s" s="780">
        <f>VLOOKUP(E57,'BDD'!$A$2:$N$567,MATCH(G$24,'BDD'!$A$1:$P$1,0),FALSE)</f>
        <v>1625</v>
      </c>
      <c r="H57" t="s" s="799">
        <f>IF(VLOOKUP($E57,'BDD'!$A$2:$N$567,MATCH($H$23,'BDD'!$A$1:$P$1,0),FALSE)=H$24,H$24,"")</f>
      </c>
      <c r="I57" t="s" s="792">
        <f>IF(VLOOKUP($E57,'BDD'!$A$2:$N$567,MATCH($H$23,'BDD'!$A$1:$P$1,0),FALSE)=I$24,I$24,"")</f>
      </c>
      <c r="J57" t="s" s="792">
        <f>IF(VLOOKUP($E57,'BDD'!$A$2:$N$567,MATCH($H$23,'BDD'!$A$1:$P$1,0),FALSE)=J$24,J$24,"")</f>
      </c>
      <c r="K57" t="s" s="792">
        <f>IF(VLOOKUP($E57,'BDD'!$A$2:$N$567,MATCH($H$23,'BDD'!$A$1:$P$1,0),FALSE)=K$24,K$24,"")</f>
      </c>
      <c r="L57" t="s" s="783">
        <f>IF(VLOOKUP($E57,'BDD'!$A$2:$N$567,MATCH($H$23,'BDD'!$A$1:$P$1,0),FALSE)=L$24,L$24,"")</f>
        <v>1985</v>
      </c>
      <c r="M57" s="800">
        <f>IF(N57="Exigences partiellement respectées",1,IF(N57="Exigences respectées",2,0))</f>
        <v>0</v>
      </c>
      <c r="N57" t="s" s="780">
        <f>VLOOKUP(VLOOKUP(E57,'BDD'!$A$2:$P$550,15,FALSE),'Suppl'!$D$64:$E$68,2,FALSE)</f>
        <v>1751</v>
      </c>
      <c r="O57" s="801"/>
      <c r="P57" s="802"/>
      <c r="Q57" s="802"/>
      <c r="R57" s="1157"/>
      <c r="S57" s="1158">
        <f>IF(N57='Suppl'!$E$65,0,IF(N57='Suppl'!$E$66,1/2/(_xlfn.COUNTIFS($D1:$D100,D57,$N1:$N100,"Exigences"&amp;"*",G1:G100,"&lt;&gt;0")+_xlfn.COUNTIFS($D1:$D100,D57,$N1:$N100,"Non"&amp;"*",G1:G100,"&lt;&gt;0")),IF(N57='Suppl'!$E$67,1/(_xlfn.COUNTIFS($D1:$D100,D57,$N1:$N100,"Exigences"&amp;"*",G1:G100,"&lt;&gt;0")+_xlfn.COUNTIFS($D1:$D100,D57,$N1:$N100,"Non"&amp;"*",G1:G100,"&lt;&gt;0")),0)))</f>
        <v>0</v>
      </c>
      <c r="T57" s="803"/>
      <c r="U57" s="803"/>
      <c r="V57" s="1159"/>
      <c r="W57" s="1151">
        <f>_xlfn.IFERROR(IF(M57='Suppl'!$E$65,0,IF(M57='Suppl'!$E$66,1/2/(_xlfn.COUNTIFS($N1:$N100,"Exigences"&amp;"*")+_xlfn.COUNTIFS($N1:$N100,"Non"&amp;"*")),IF(M57='Suppl'!$E$67,1/(_xlfn.COUNTIFS($N1:$N100,"Exigences"&amp;"*")+_xlfn.COUNTIFS($N1:$N100,"Non"&amp;"*")),0))),0)</f>
      </c>
      <c r="X57" s="797">
        <f>_xlfn.IFERROR(IF(N57='Suppl'!$E$65,0,IF(N57='Suppl'!$E$66,1/2/(_xlfn.COUNTIFS($N1:$N100,"Exigences"&amp;"*")+_xlfn.COUNTIFS($N1:$N100,"Non"&amp;"*")),IF(N57='Suppl'!$E$67,1/(_xlfn.COUNTIFS($N1:$N100,"Exigences"&amp;"*")+_xlfn.COUNTIFS($N1:$N100,"Non"&amp;"*")),0))),0)</f>
        <v>0</v>
      </c>
      <c r="Y57" s="586"/>
      <c r="Z57" s="586"/>
      <c r="AA57" s="586"/>
      <c r="AB57" s="586"/>
      <c r="AC57" s="586"/>
      <c r="AD57" s="586"/>
      <c r="AE57" s="586"/>
      <c r="AF57" s="586"/>
      <c r="AG57" s="586"/>
      <c r="AH57" s="586"/>
      <c r="AI57" s="1040"/>
      <c r="AJ57" s="585"/>
    </row>
    <row r="58" ht="30" customHeight="1">
      <c r="A58" s="1039"/>
      <c r="B58" s="753"/>
      <c r="C58" t="s" s="754">
        <f>IF(LEFT(RIGHT($B$1,2),1)=" ",RIGHT($B$1,1),RIGHT($B$1,2))</f>
        <v>267</v>
      </c>
      <c r="D58" s="755">
        <f>IF(LEFT(F58,5)="Bonne",D56+1,D57)</f>
        <v>5</v>
      </c>
      <c r="E58" t="s" s="778">
        <f>C58&amp;D58&amp;RIGHT(F58,1)</f>
        <v>2531</v>
      </c>
      <c r="F58" t="s" s="757">
        <v>1814</v>
      </c>
      <c r="G58" t="s" s="758">
        <f>VLOOKUP(E60,'BDD'!$A$2:$N$567,6,FALSE)</f>
        <v>1628</v>
      </c>
      <c r="H58" s="759"/>
      <c r="I58" s="760"/>
      <c r="J58" s="760"/>
      <c r="K58" s="760"/>
      <c r="L58" s="761"/>
      <c r="M58" s="762"/>
      <c r="N58" s="763"/>
      <c r="O58" s="764">
        <v>0</v>
      </c>
      <c r="P58" s="764"/>
      <c r="Q58" s="764"/>
      <c r="R58" s="764"/>
      <c r="S58" s="765">
        <f>_xlfn.SUMIFS(S1:S100,$D1:$D100,D58,$N1:$N100,"Exigences"&amp;"*")</f>
      </c>
      <c r="T58" s="765"/>
      <c r="U58" s="765"/>
      <c r="V58" s="1149"/>
      <c r="W58" s="1151">
        <f>_xlfn.IFERROR(IF(M58='Suppl'!$E$65,0,IF(M58='Suppl'!$E$66,1/2/(_xlfn.COUNTIFS($N1:$N100,"Exigences"&amp;"*")+_xlfn.COUNTIFS($N1:$N100,"Non"&amp;"*")),IF(M58='Suppl'!$E$67,1/(_xlfn.COUNTIFS($N1:$N100,"Exigences"&amp;"*")+_xlfn.COUNTIFS($N1:$N100,"Non"&amp;"*")),0))),0)</f>
        <v>0</v>
      </c>
      <c r="X58" s="797">
        <f>_xlfn.IFERROR(IF(N58='Suppl'!$E$65,0,IF(N58='Suppl'!$E$66,1/2/(_xlfn.COUNTIFS($N1:$N100,"Exigences"&amp;"*")+_xlfn.COUNTIFS($N1:$N100,"Non"&amp;"*")),IF(N58='Suppl'!$E$67,1/(_xlfn.COUNTIFS($N1:$N100,"Exigences"&amp;"*")+_xlfn.COUNTIFS($N1:$N100,"Non"&amp;"*")),0))),0)</f>
        <v>0</v>
      </c>
      <c r="Y58" s="586"/>
      <c r="Z58" s="586"/>
      <c r="AA58" s="586"/>
      <c r="AB58" s="586"/>
      <c r="AC58" s="586"/>
      <c r="AD58" s="586"/>
      <c r="AE58" s="586"/>
      <c r="AF58" s="586"/>
      <c r="AG58" s="586"/>
      <c r="AH58" s="586"/>
      <c r="AI58" s="1040"/>
      <c r="AJ58" s="585"/>
    </row>
    <row r="59" ht="30" customHeight="1">
      <c r="A59" s="1039"/>
      <c r="B59" s="753"/>
      <c r="C59" t="s" s="754">
        <f>IF(LEFT(RIGHT($B$1,2),1)=" ",RIGHT($B$1,1),RIGHT($B$1,2))</f>
        <v>267</v>
      </c>
      <c r="D59" s="755">
        <f>IF(LEFT(F59,5)="Bonne",D57+1,D58)</f>
        <v>5</v>
      </c>
      <c r="E59" t="s" s="778">
        <f>C59&amp;D59&amp;RIGHT(F59,1)</f>
        <v>2532</v>
      </c>
      <c r="F59" t="s" s="769">
        <v>1835</v>
      </c>
      <c r="G59" t="s" s="809">
        <f>VLOOKUP(E61,'BDD'!$A$2:$N$567,7,FALSE)</f>
        <v>2533</v>
      </c>
      <c r="H59" s="810"/>
      <c r="I59" s="810"/>
      <c r="J59" s="810"/>
      <c r="K59" s="810"/>
      <c r="L59" s="810"/>
      <c r="M59" s="810"/>
      <c r="N59" s="811"/>
      <c r="O59" s="775"/>
      <c r="P59" s="775"/>
      <c r="Q59" s="775"/>
      <c r="R59" s="775"/>
      <c r="S59" s="776"/>
      <c r="T59" s="776"/>
      <c r="U59" s="776"/>
      <c r="V59" s="1150"/>
      <c r="W59" s="1151">
        <f>_xlfn.IFERROR(IF(M59='Suppl'!$E$65,0,IF(M59='Suppl'!$E$66,1/2/(_xlfn.COUNTIFS($N1:$N100,"Exigences"&amp;"*")+_xlfn.COUNTIFS($N1:$N100,"Non"&amp;"*")),IF(M59='Suppl'!$E$67,1/(_xlfn.COUNTIFS($N1:$N100,"Exigences"&amp;"*")+_xlfn.COUNTIFS($N1:$N100,"Non"&amp;"*")),0))),0)</f>
        <v>0</v>
      </c>
      <c r="X59" s="797">
        <f>_xlfn.IFERROR(IF(N59='Suppl'!$E$65,0,IF(N59='Suppl'!$E$66,1/2/(_xlfn.COUNTIFS($N1:$N100,"Exigences"&amp;"*")+_xlfn.COUNTIFS($N1:$N100,"Non"&amp;"*")),IF(N59='Suppl'!$E$67,1/(_xlfn.COUNTIFS($N1:$N100,"Exigences"&amp;"*")+_xlfn.COUNTIFS($N1:$N100,"Non"&amp;"*")),0))),0)</f>
        <v>0</v>
      </c>
      <c r="Y59" s="586"/>
      <c r="Z59" s="586"/>
      <c r="AA59" s="586"/>
      <c r="AB59" s="586"/>
      <c r="AC59" s="586"/>
      <c r="AD59" s="586"/>
      <c r="AE59" s="586"/>
      <c r="AF59" s="586"/>
      <c r="AG59" s="586"/>
      <c r="AH59" s="586"/>
      <c r="AI59" s="1040"/>
      <c r="AJ59" s="585"/>
    </row>
    <row r="60" ht="41.4" customHeight="1">
      <c r="A60" s="1039"/>
      <c r="B60" s="753"/>
      <c r="C60" t="s" s="754">
        <f>IF(LEFT(RIGHT($B$1,2),1)=" ",RIGHT($B$1,1),RIGHT($B$1,2))</f>
        <v>267</v>
      </c>
      <c r="D60" s="755">
        <f>IF(LEFT(F60,5)="Bonne",D58+1,D59)</f>
        <v>5</v>
      </c>
      <c r="E60" t="s" s="778">
        <f>C60&amp;D60&amp;RIGHT(F60,1)</f>
        <v>2532</v>
      </c>
      <c r="F60" t="s" s="779">
        <v>1769</v>
      </c>
      <c r="G60" t="s" s="780">
        <f>VLOOKUP(E60,'BDD'!$A$2:$N$567,MATCH(G$24,'BDD'!$A$1:$P$1,0),FALSE)</f>
        <v>1630</v>
      </c>
      <c r="H60" t="s" s="799">
        <f>IF(VLOOKUP($E60,'BDD'!$A$2:$N$567,MATCH($H$23,'BDD'!$A$1:$P$1,0),FALSE)=H$24,H$24,"")</f>
      </c>
      <c r="I60" t="s" s="792">
        <f>IF(VLOOKUP($E60,'BDD'!$A$2:$N$567,MATCH($H$23,'BDD'!$A$1:$P$1,0),FALSE)=I$24,I$24,"")</f>
      </c>
      <c r="J60" t="s" s="792">
        <f>IF(VLOOKUP($E60,'BDD'!$A$2:$N$567,MATCH($H$23,'BDD'!$A$1:$P$1,0),FALSE)=J$24,J$24,"")</f>
      </c>
      <c r="K60" t="s" s="792">
        <f>IF(VLOOKUP($E60,'BDD'!$A$2:$N$567,MATCH($H$23,'BDD'!$A$1:$P$1,0),FALSE)=K$24,K$24,"")</f>
        <v>1968</v>
      </c>
      <c r="L60" t="s" s="783">
        <f>IF(VLOOKUP($E60,'BDD'!$A$2:$N$567,MATCH($H$23,'BDD'!$A$1:$P$1,0),FALSE)=L$24,L$24,"")</f>
      </c>
      <c r="M60" s="784">
        <f>IF(N60="Exigences partiellement respectées",1,IF(N60="Exigences respectées",2,0))</f>
        <v>0</v>
      </c>
      <c r="N60" t="s" s="780">
        <f>VLOOKUP(VLOOKUP(E60,'BDD'!$A$2:$P$550,15,FALSE),'Suppl'!$D$64:$E$68,2,FALSE)</f>
        <v>1751</v>
      </c>
      <c r="O60" s="785"/>
      <c r="P60" s="786"/>
      <c r="Q60" s="786"/>
      <c r="R60" s="1152"/>
      <c r="S60" s="1153">
        <f>IF(N60='Suppl'!$E$65,0,IF(N60='Suppl'!$E$66,1/2/(_xlfn.COUNTIFS($D1:$D100,D60,$N1:$N100,"Exigences"&amp;"*",G1:G100,"&lt;&gt;0")+_xlfn.COUNTIFS($D1:$D100,D60,$N1:$N100,"Non"&amp;"*",G1:G100,"&lt;&gt;0")),IF(N60='Suppl'!$E$67,1/(_xlfn.COUNTIFS($D1:$D100,D60,$N1:$N100,"Exigences"&amp;"*",G1:G100,"&lt;&gt;0")+_xlfn.COUNTIFS($D1:$D100,D60,$N1:$N100,"Non"&amp;"*",G1:G100,"&lt;&gt;0")),0)))</f>
        <v>0</v>
      </c>
      <c r="T60" s="787"/>
      <c r="U60" s="787"/>
      <c r="V60" s="1154"/>
      <c r="W60" s="1151">
        <f>_xlfn.IFERROR(IF(M60='Suppl'!$E$65,0,IF(M60='Suppl'!$E$66,1/2/(_xlfn.COUNTIFS($N1:$N100,"Exigences"&amp;"*")+_xlfn.COUNTIFS($N1:$N100,"Non"&amp;"*")),IF(M60='Suppl'!$E$67,1/(_xlfn.COUNTIFS($N1:$N100,"Exigences"&amp;"*")+_xlfn.COUNTIFS($N1:$N100,"Non"&amp;"*")),0))),0)</f>
      </c>
      <c r="X60" s="797">
        <f>_xlfn.IFERROR(IF(N60='Suppl'!$E$65,0,IF(N60='Suppl'!$E$66,1/2/(_xlfn.COUNTIFS($N1:$N100,"Exigences"&amp;"*")+_xlfn.COUNTIFS($N1:$N100,"Non"&amp;"*")),IF(N60='Suppl'!$E$67,1/(_xlfn.COUNTIFS($N1:$N100,"Exigences"&amp;"*")+_xlfn.COUNTIFS($N1:$N100,"Non"&amp;"*")),0))),0)</f>
        <v>0</v>
      </c>
      <c r="Y60" s="586"/>
      <c r="Z60" s="586"/>
      <c r="AA60" s="586"/>
      <c r="AB60" s="586"/>
      <c r="AC60" s="586"/>
      <c r="AD60" s="586"/>
      <c r="AE60" s="586"/>
      <c r="AF60" s="586"/>
      <c r="AG60" s="586"/>
      <c r="AH60" s="586"/>
      <c r="AI60" s="1040"/>
      <c r="AJ60" s="585"/>
    </row>
    <row r="61" ht="55.2" customHeight="1">
      <c r="A61" s="1039"/>
      <c r="B61" s="753"/>
      <c r="C61" t="s" s="754">
        <f>IF(LEFT(RIGHT($B$1,2),1)=" ",RIGHT($B$1,1),RIGHT($B$1,2))</f>
        <v>267</v>
      </c>
      <c r="D61" s="755">
        <f>IF(LEFT(F61,5)="Bonne",D59+1,D60)</f>
        <v>5</v>
      </c>
      <c r="E61" t="s" s="778">
        <f>C61&amp;D61&amp;RIGHT(F61,1)</f>
        <v>2534</v>
      </c>
      <c r="F61" t="s" s="790">
        <v>1837</v>
      </c>
      <c r="G61" t="s" s="791">
        <f>VLOOKUP(E61,'BDD'!$A$2:$N$567,MATCH(G$24,'BDD'!$A$1:$P$1,0),FALSE)</f>
        <v>1635</v>
      </c>
      <c r="H61" t="s" s="799">
        <f>IF(VLOOKUP($E61,'BDD'!$A$2:$N$567,MATCH($H$23,'BDD'!$A$1:$P$1,0),FALSE)=H$24,H$24,"")</f>
        <v>1966</v>
      </c>
      <c r="I61" t="s" s="792">
        <f>IF(VLOOKUP($E61,'BDD'!$A$2:$N$567,MATCH($H$23,'BDD'!$A$1:$P$1,0),FALSE)=I$24,I$24,"")</f>
      </c>
      <c r="J61" t="s" s="792">
        <f>IF(VLOOKUP($E61,'BDD'!$A$2:$N$567,MATCH($H$23,'BDD'!$A$1:$P$1,0),FALSE)=J$24,J$24,"")</f>
      </c>
      <c r="K61" t="s" s="792">
        <f>IF(VLOOKUP($E61,'BDD'!$A$2:$N$567,MATCH($H$23,'BDD'!$A$1:$P$1,0),FALSE)=K$24,K$24,"")</f>
      </c>
      <c r="L61" t="s" s="783">
        <f>IF(VLOOKUP($E61,'BDD'!$A$2:$N$567,MATCH($H$23,'BDD'!$A$1:$P$1,0),FALSE)=L$24,L$24,"")</f>
      </c>
      <c r="M61" s="794">
        <f>IF(N61="Exigences partiellement respectées",1,IF(N61="Exigences respectées",2,0))</f>
        <v>0</v>
      </c>
      <c r="N61" t="s" s="791">
        <f>VLOOKUP(VLOOKUP(E61,'BDD'!$A$2:$P$550,15,FALSE),'Suppl'!$D$64:$E$68,2,FALSE)</f>
        <v>1751</v>
      </c>
      <c r="O61" s="795"/>
      <c r="P61" s="796"/>
      <c r="Q61" s="796"/>
      <c r="R61" s="1155"/>
      <c r="S61" s="1151">
        <f>IF(N61='Suppl'!$E$65,0,IF(N61='Suppl'!$E$66,1/2/(_xlfn.COUNTIFS($D1:$D100,D61,$N1:$N100,"Exigences"&amp;"*",G1:G100,"&lt;&gt;0")+_xlfn.COUNTIFS($D1:$D100,D61,$N1:$N100,"Non"&amp;"*",G1:G100,"&lt;&gt;0")),IF(N61='Suppl'!$E$67,1/(_xlfn.COUNTIFS($D1:$D100,D61,$N1:$N100,"Exigences"&amp;"*",G1:G100,"&lt;&gt;0")+_xlfn.COUNTIFS($D1:$D100,D61,$N1:$N100,"Non"&amp;"*",G1:G100,"&lt;&gt;0")),0)))</f>
        <v>0</v>
      </c>
      <c r="T61" s="797"/>
      <c r="U61" s="797"/>
      <c r="V61" s="1156"/>
      <c r="W61" s="1151">
        <f>_xlfn.IFERROR(IF(M61='Suppl'!$E$65,0,IF(M61='Suppl'!$E$66,1/2/(_xlfn.COUNTIFS($N1:$N100,"Exigences"&amp;"*")+_xlfn.COUNTIFS($N1:$N100,"Non"&amp;"*")),IF(M61='Suppl'!$E$67,1/(_xlfn.COUNTIFS($N1:$N100,"Exigences"&amp;"*")+_xlfn.COUNTIFS($N1:$N100,"Non"&amp;"*")),0))),0)</f>
      </c>
      <c r="X61" s="797">
        <f>_xlfn.IFERROR(IF(N61='Suppl'!$E$65,0,IF(N61='Suppl'!$E$66,1/2/(_xlfn.COUNTIFS($N1:$N100,"Exigences"&amp;"*")+_xlfn.COUNTIFS($N1:$N100,"Non"&amp;"*")),IF(N61='Suppl'!$E$67,1/(_xlfn.COUNTIFS($N1:$N100,"Exigences"&amp;"*")+_xlfn.COUNTIFS($N1:$N100,"Non"&amp;"*")),0))),0)</f>
        <v>0</v>
      </c>
      <c r="Y61" s="586"/>
      <c r="Z61" s="586"/>
      <c r="AA61" s="586"/>
      <c r="AB61" s="586"/>
      <c r="AC61" s="586"/>
      <c r="AD61" s="586"/>
      <c r="AE61" s="586"/>
      <c r="AF61" s="586"/>
      <c r="AG61" s="586"/>
      <c r="AH61" s="586"/>
      <c r="AI61" s="1040"/>
      <c r="AJ61" s="585"/>
    </row>
    <row r="62" ht="30" customHeight="1">
      <c r="A62" s="1039"/>
      <c r="B62" s="753"/>
      <c r="C62" t="s" s="754">
        <f>IF(LEFT(RIGHT($B$1,2),1)=" ",RIGHT($B$1,1),RIGHT($B$1,2))</f>
        <v>267</v>
      </c>
      <c r="D62" s="755">
        <f>IF(LEFT(F62,5)="Bonne",D60+1,D61)</f>
        <v>5</v>
      </c>
      <c r="E62" t="s" s="778">
        <f>C62&amp;D62&amp;RIGHT(F62,1)</f>
        <v>2535</v>
      </c>
      <c r="F62" t="s" s="779">
        <v>1774</v>
      </c>
      <c r="G62" t="s" s="780">
        <f>VLOOKUP(E62,'BDD'!$A$2:$N$567,MATCH(G$24,'BDD'!$A$1:$P$1,0),FALSE)</f>
        <v>1637</v>
      </c>
      <c r="H62" t="s" s="799">
        <f>IF(VLOOKUP($E62,'BDD'!$A$2:$N$567,MATCH($H$23,'BDD'!$A$1:$P$1,0),FALSE)=H$24,H$24,"")</f>
      </c>
      <c r="I62" t="s" s="792">
        <f>IF(VLOOKUP($E62,'BDD'!$A$2:$N$567,MATCH($H$23,'BDD'!$A$1:$P$1,0),FALSE)=I$24,I$24,"")</f>
      </c>
      <c r="J62" t="s" s="792">
        <f>IF(VLOOKUP($E62,'BDD'!$A$2:$N$567,MATCH($H$23,'BDD'!$A$1:$P$1,0),FALSE)=J$24,J$24,"")</f>
        <v>1967</v>
      </c>
      <c r="K62" t="s" s="792">
        <f>IF(VLOOKUP($E62,'BDD'!$A$2:$N$567,MATCH($H$23,'BDD'!$A$1:$P$1,0),FALSE)=K$24,K$24,"")</f>
      </c>
      <c r="L62" t="s" s="783">
        <f>IF(VLOOKUP($E62,'BDD'!$A$2:$N$567,MATCH($H$23,'BDD'!$A$1:$P$1,0),FALSE)=L$24,L$24,"")</f>
      </c>
      <c r="M62" s="794">
        <f>IF(N62="Exigences partiellement respectées",1,IF(N62="Exigences respectées",2,0))</f>
        <v>0</v>
      </c>
      <c r="N62" t="s" s="780">
        <f>VLOOKUP(VLOOKUP(E62,'BDD'!$A$2:$P$550,15,FALSE),'Suppl'!$D$64:$E$68,2,FALSE)</f>
        <v>1751</v>
      </c>
      <c r="O62" s="795"/>
      <c r="P62" s="796"/>
      <c r="Q62" s="796"/>
      <c r="R62" s="1155"/>
      <c r="S62" s="1151">
        <f>IF(N62='Suppl'!$E$65,0,IF(N62='Suppl'!$E$66,1/2/(_xlfn.COUNTIFS($D1:$D100,D62,$N1:$N100,"Exigences"&amp;"*",G1:G100,"&lt;&gt;0")+_xlfn.COUNTIFS($D1:$D100,D62,$N1:$N100,"Non"&amp;"*",G1:G100,"&lt;&gt;0")),IF(N62='Suppl'!$E$67,1/(_xlfn.COUNTIFS($D1:$D100,D62,$N1:$N100,"Exigences"&amp;"*",G1:G100,"&lt;&gt;0")+_xlfn.COUNTIFS($D1:$D100,D62,$N1:$N100,"Non"&amp;"*",G1:G100,"&lt;&gt;0")),0)))</f>
        <v>0</v>
      </c>
      <c r="T62" s="797"/>
      <c r="U62" s="797"/>
      <c r="V62" s="1156"/>
      <c r="W62" s="1151">
        <f>_xlfn.IFERROR(IF(M62='Suppl'!$E$65,0,IF(M62='Suppl'!$E$66,1/2/(_xlfn.COUNTIFS($N1:$N100,"Exigences"&amp;"*")+_xlfn.COUNTIFS($N1:$N100,"Non"&amp;"*")),IF(M62='Suppl'!$E$67,1/(_xlfn.COUNTIFS($N1:$N100,"Exigences"&amp;"*")+_xlfn.COUNTIFS($N1:$N100,"Non"&amp;"*")),0))),0)</f>
      </c>
      <c r="X62" s="797">
        <f>_xlfn.IFERROR(IF(N62='Suppl'!$E$65,0,IF(N62='Suppl'!$E$66,1/2/(_xlfn.COUNTIFS($N1:$N100,"Exigences"&amp;"*")+_xlfn.COUNTIFS($N1:$N100,"Non"&amp;"*")),IF(N62='Suppl'!$E$67,1/(_xlfn.COUNTIFS($N1:$N100,"Exigences"&amp;"*")+_xlfn.COUNTIFS($N1:$N100,"Non"&amp;"*")),0))),0)</f>
        <v>0</v>
      </c>
      <c r="Y62" s="586"/>
      <c r="Z62" s="586"/>
      <c r="AA62" s="586"/>
      <c r="AB62" s="586"/>
      <c r="AC62" s="586"/>
      <c r="AD62" s="586"/>
      <c r="AE62" s="586"/>
      <c r="AF62" s="586"/>
      <c r="AG62" s="586"/>
      <c r="AH62" s="586"/>
      <c r="AI62" s="1040"/>
      <c r="AJ62" s="585"/>
    </row>
    <row r="63" ht="30" customHeight="1">
      <c r="A63" s="1039"/>
      <c r="B63" s="753"/>
      <c r="C63" t="s" s="754">
        <f>IF(LEFT(RIGHT($B$1,2),1)=" ",RIGHT($B$1,1),RIGHT($B$1,2))</f>
        <v>267</v>
      </c>
      <c r="D63" s="755">
        <f>IF(LEFT(F63,5)="Bonne",D61+1,D62)</f>
        <v>5</v>
      </c>
      <c r="E63" t="s" s="778">
        <f>C63&amp;D63&amp;RIGHT(F63,1)</f>
        <v>2536</v>
      </c>
      <c r="F63" t="s" s="790">
        <v>1776</v>
      </c>
      <c r="G63" t="s" s="791">
        <f>VLOOKUP(E63,'BDD'!$A$2:$N$567,MATCH(G$24,'BDD'!$A$1:$P$1,0),FALSE)</f>
        <v>1639</v>
      </c>
      <c r="H63" t="s" s="799">
        <f>IF(VLOOKUP($E63,'BDD'!$A$2:$N$567,MATCH($H$23,'BDD'!$A$1:$P$1,0),FALSE)=H$24,H$24,"")</f>
      </c>
      <c r="I63" t="s" s="792">
        <f>IF(VLOOKUP($E63,'BDD'!$A$2:$N$567,MATCH($H$23,'BDD'!$A$1:$P$1,0),FALSE)=I$24,I$24,"")</f>
      </c>
      <c r="J63" t="s" s="792">
        <f>IF(VLOOKUP($E63,'BDD'!$A$2:$N$567,MATCH($H$23,'BDD'!$A$1:$P$1,0),FALSE)=J$24,J$24,"")</f>
        <v>1967</v>
      </c>
      <c r="K63" t="s" s="792">
        <f>IF(VLOOKUP($E63,'BDD'!$A$2:$N$567,MATCH($H$23,'BDD'!$A$1:$P$1,0),FALSE)=K$24,K$24,"")</f>
      </c>
      <c r="L63" t="s" s="783">
        <f>IF(VLOOKUP($E63,'BDD'!$A$2:$N$567,MATCH($H$23,'BDD'!$A$1:$P$1,0),FALSE)=L$24,L$24,"")</f>
      </c>
      <c r="M63" s="794">
        <f>IF(N63="Exigences partiellement respectées",1,IF(N63="Exigences respectées",2,0))</f>
        <v>0</v>
      </c>
      <c r="N63" t="s" s="791">
        <f>VLOOKUP(VLOOKUP(E63,'BDD'!$A$2:$P$550,15,FALSE),'Suppl'!$D$64:$E$68,2,FALSE)</f>
        <v>1751</v>
      </c>
      <c r="O63" s="795"/>
      <c r="P63" s="796"/>
      <c r="Q63" s="796"/>
      <c r="R63" s="1155"/>
      <c r="S63" s="1151">
        <f>IF(N63='Suppl'!$E$65,0,IF(N63='Suppl'!$E$66,1/2/(_xlfn.COUNTIFS($D1:$D100,D63,$N1:$N100,"Exigences"&amp;"*",G1:G100,"&lt;&gt;0")+_xlfn.COUNTIFS($D1:$D100,D63,$N1:$N100,"Non"&amp;"*",G1:G100,"&lt;&gt;0")),IF(N63='Suppl'!$E$67,1/(_xlfn.COUNTIFS($D1:$D100,D63,$N1:$N100,"Exigences"&amp;"*",G1:G100,"&lt;&gt;0")+_xlfn.COUNTIFS($D1:$D100,D63,$N1:$N100,"Non"&amp;"*",G1:G100,"&lt;&gt;0")),0)))</f>
        <v>0</v>
      </c>
      <c r="T63" s="797"/>
      <c r="U63" s="797"/>
      <c r="V63" s="1156"/>
      <c r="W63" s="1151">
        <f>_xlfn.IFERROR(IF(M63='Suppl'!$E$65,0,IF(M63='Suppl'!$E$66,1/2/(_xlfn.COUNTIFS($N1:$N100,"Exigences"&amp;"*")+_xlfn.COUNTIFS($N1:$N100,"Non"&amp;"*")),IF(M63='Suppl'!$E$67,1/(_xlfn.COUNTIFS($N1:$N100,"Exigences"&amp;"*")+_xlfn.COUNTIFS($N1:$N100,"Non"&amp;"*")),0))),0)</f>
      </c>
      <c r="X63" s="797">
        <f>_xlfn.IFERROR(IF(N63='Suppl'!$E$65,0,IF(N63='Suppl'!$E$66,1/2/(_xlfn.COUNTIFS($N1:$N100,"Exigences"&amp;"*")+_xlfn.COUNTIFS($N1:$N100,"Non"&amp;"*")),IF(N63='Suppl'!$E$67,1/(_xlfn.COUNTIFS($N1:$N100,"Exigences"&amp;"*")+_xlfn.COUNTIFS($N1:$N100,"Non"&amp;"*")),0))),0)</f>
        <v>0</v>
      </c>
      <c r="Y63" s="586"/>
      <c r="Z63" s="586"/>
      <c r="AA63" s="586"/>
      <c r="AB63" s="586"/>
      <c r="AC63" s="586"/>
      <c r="AD63" s="586"/>
      <c r="AE63" s="586"/>
      <c r="AF63" s="586"/>
      <c r="AG63" s="586"/>
      <c r="AH63" s="586"/>
      <c r="AI63" s="1040"/>
      <c r="AJ63" s="585"/>
    </row>
    <row r="64" ht="30" customHeight="1">
      <c r="A64" s="1039"/>
      <c r="B64" s="753"/>
      <c r="C64" t="s" s="754">
        <f>IF(LEFT(RIGHT($B$1,2),1)=" ",RIGHT($B$1,1),RIGHT($B$1,2))</f>
        <v>267</v>
      </c>
      <c r="D64" s="755">
        <f>IF(LEFT(F64,5)="Bonne",D62+1,D63)</f>
        <v>5</v>
      </c>
      <c r="E64" t="s" s="778">
        <f>C64&amp;D64&amp;RIGHT(F64,1)</f>
        <v>2531</v>
      </c>
      <c r="F64" t="s" s="779">
        <v>1778</v>
      </c>
      <c r="G64" t="s" s="780">
        <f>VLOOKUP(E64,'BDD'!$A$2:$N$567,MATCH(G$24,'BDD'!$A$1:$P$1,0),FALSE)</f>
        <v>1642</v>
      </c>
      <c r="H64" t="s" s="799">
        <f>IF(VLOOKUP($E64,'BDD'!$A$2:$N$567,MATCH($H$23,'BDD'!$A$1:$P$1,0),FALSE)=H$24,H$24,"")</f>
      </c>
      <c r="I64" t="s" s="792">
        <f>IF(VLOOKUP($E64,'BDD'!$A$2:$N$567,MATCH($H$23,'BDD'!$A$1:$P$1,0),FALSE)=I$24,I$24,"")</f>
      </c>
      <c r="J64" t="s" s="792">
        <f>IF(VLOOKUP($E64,'BDD'!$A$2:$N$567,MATCH($H$23,'BDD'!$A$1:$P$1,0),FALSE)=J$24,J$24,"")</f>
        <v>1967</v>
      </c>
      <c r="K64" t="s" s="792">
        <f>IF(VLOOKUP($E64,'BDD'!$A$2:$N$567,MATCH($H$23,'BDD'!$A$1:$P$1,0),FALSE)=K$24,K$24,"")</f>
      </c>
      <c r="L64" t="s" s="783">
        <f>IF(VLOOKUP($E64,'BDD'!$A$2:$N$567,MATCH($H$23,'BDD'!$A$1:$P$1,0),FALSE)=L$24,L$24,"")</f>
      </c>
      <c r="M64" s="794">
        <f>IF(N64="Exigences partiellement respectées",1,IF(N64="Exigences respectées",2,0))</f>
        <v>0</v>
      </c>
      <c r="N64" t="s" s="780">
        <f>VLOOKUP(VLOOKUP(E64,'BDD'!$A$2:$P$550,15,FALSE),'Suppl'!$D$64:$E$68,2,FALSE)</f>
        <v>1751</v>
      </c>
      <c r="O64" s="795"/>
      <c r="P64" s="796"/>
      <c r="Q64" s="796"/>
      <c r="R64" s="1155"/>
      <c r="S64" s="1151">
        <f>IF(N64='Suppl'!$E$65,0,IF(N64='Suppl'!$E$66,1/2/(_xlfn.COUNTIFS($D1:$D100,D64,$N1:$N100,"Exigences"&amp;"*",G1:G100,"&lt;&gt;0")+_xlfn.COUNTIFS($D1:$D100,D64,$N1:$N100,"Non"&amp;"*",G1:G100,"&lt;&gt;0")),IF(N64='Suppl'!$E$67,1/(_xlfn.COUNTIFS($D1:$D100,D64,$N1:$N100,"Exigences"&amp;"*",G1:G100,"&lt;&gt;0")+_xlfn.COUNTIFS($D1:$D100,D64,$N1:$N100,"Non"&amp;"*",G1:G100,"&lt;&gt;0")),0)))</f>
        <v>0</v>
      </c>
      <c r="T64" s="797"/>
      <c r="U64" s="797"/>
      <c r="V64" s="1156"/>
      <c r="W64" s="1151">
        <f>_xlfn.IFERROR(IF(M64='Suppl'!$E$65,0,IF(M64='Suppl'!$E$66,1/2/(_xlfn.COUNTIFS($N1:$N100,"Exigences"&amp;"*")+_xlfn.COUNTIFS($N1:$N100,"Non"&amp;"*")),IF(M64='Suppl'!$E$67,1/(_xlfn.COUNTIFS($N1:$N100,"Exigences"&amp;"*")+_xlfn.COUNTIFS($N1:$N100,"Non"&amp;"*")),0))),0)</f>
      </c>
      <c r="X64" s="797">
        <f>_xlfn.IFERROR(IF(N64='Suppl'!$E$65,0,IF(N64='Suppl'!$E$66,1/2/(_xlfn.COUNTIFS($N1:$N100,"Exigences"&amp;"*")+_xlfn.COUNTIFS($N1:$N100,"Non"&amp;"*")),IF(N64='Suppl'!$E$67,1/(_xlfn.COUNTIFS($N1:$N100,"Exigences"&amp;"*")+_xlfn.COUNTIFS($N1:$N100,"Non"&amp;"*")),0))),0)</f>
        <v>0</v>
      </c>
      <c r="Y64" s="586"/>
      <c r="Z64" s="586"/>
      <c r="AA64" s="586"/>
      <c r="AB64" s="586"/>
      <c r="AC64" s="586"/>
      <c r="AD64" s="586"/>
      <c r="AE64" s="586"/>
      <c r="AF64" s="586"/>
      <c r="AG64" s="586"/>
      <c r="AH64" s="586"/>
      <c r="AI64" s="1040"/>
      <c r="AJ64" s="585"/>
    </row>
    <row r="65" ht="30" customHeight="1">
      <c r="A65" s="1039"/>
      <c r="B65" s="753"/>
      <c r="C65" t="s" s="754">
        <f>IF(LEFT(RIGHT($B$1,2),1)=" ",RIGHT($B$1,1),RIGHT($B$1,2))</f>
        <v>267</v>
      </c>
      <c r="D65" s="755">
        <f>IF(LEFT(F65,5)="Bonne",D63+1,D64)</f>
        <v>5</v>
      </c>
      <c r="E65" t="s" s="778">
        <f>C65&amp;D65&amp;RIGHT(F65,1)</f>
        <v>2537</v>
      </c>
      <c r="F65" t="s" s="790">
        <v>1780</v>
      </c>
      <c r="G65" t="s" s="791">
        <f>VLOOKUP(E65,'BDD'!$A$2:$N$567,MATCH(G$24,'BDD'!$A$1:$P$1,0),FALSE)</f>
        <v>2538</v>
      </c>
      <c r="H65" t="s" s="799">
        <f>IF(VLOOKUP($E65,'BDD'!$A$2:$N$567,MATCH($H$23,'BDD'!$A$1:$P$1,0),FALSE)=H$24,H$24,"")</f>
      </c>
      <c r="I65" t="s" s="792">
        <f>IF(VLOOKUP($E65,'BDD'!$A$2:$N$567,MATCH($H$23,'BDD'!$A$1:$P$1,0),FALSE)=I$24,I$24,"")</f>
      </c>
      <c r="J65" t="s" s="792">
        <f>IF(VLOOKUP($E65,'BDD'!$A$2:$N$567,MATCH($H$23,'BDD'!$A$1:$P$1,0),FALSE)=J$24,J$24,"")</f>
      </c>
      <c r="K65" t="s" s="792">
        <f>IF(VLOOKUP($E65,'BDD'!$A$2:$N$567,MATCH($H$23,'BDD'!$A$1:$P$1,0),FALSE)=K$24,K$24,"")</f>
      </c>
      <c r="L65" t="s" s="783">
        <f>IF(VLOOKUP($E65,'BDD'!$A$2:$N$567,MATCH($H$23,'BDD'!$A$1:$P$1,0),FALSE)=L$24,L$24,"")</f>
        <v>1985</v>
      </c>
      <c r="M65" s="800">
        <f>IF(N65="Exigences partiellement respectées",1,IF(N65="Exigences respectées",2,0))</f>
        <v>0</v>
      </c>
      <c r="N65" t="s" s="980">
        <f>VLOOKUP(VLOOKUP(E65,'BDD'!$A$2:$P$550,15,FALSE),'Suppl'!$D$64:$E$68,2,FALSE)</f>
        <v>1751</v>
      </c>
      <c r="O65" s="801"/>
      <c r="P65" s="802"/>
      <c r="Q65" s="802"/>
      <c r="R65" s="1157"/>
      <c r="S65" s="1158">
        <f>IF(N65='Suppl'!$E$65,0,IF(N65='Suppl'!$E$66,1/2/(_xlfn.COUNTIFS($D1:$D100,D65,$N1:$N100,"Exigences"&amp;"*",G1:G100,"&lt;&gt;0")+_xlfn.COUNTIFS($D1:$D100,D65,$N1:$N100,"Non"&amp;"*",G1:G100,"&lt;&gt;0")),IF(N65='Suppl'!$E$67,1/(_xlfn.COUNTIFS($D1:$D100,D65,$N1:$N100,"Exigences"&amp;"*",G1:G100,"&lt;&gt;0")+_xlfn.COUNTIFS($D1:$D100,D65,$N1:$N100,"Non"&amp;"*",G1:G100,"&lt;&gt;0")),0)))</f>
        <v>0</v>
      </c>
      <c r="T65" s="803"/>
      <c r="U65" s="803"/>
      <c r="V65" s="1159"/>
      <c r="W65" s="1151">
        <f>_xlfn.IFERROR(IF(M65='Suppl'!$E$65,0,IF(M65='Suppl'!$E$66,1/2/(_xlfn.COUNTIFS($N1:$N100,"Exigences"&amp;"*")+_xlfn.COUNTIFS($N1:$N100,"Non"&amp;"*")),IF(M65='Suppl'!$E$67,1/(_xlfn.COUNTIFS($N1:$N100,"Exigences"&amp;"*")+_xlfn.COUNTIFS($N1:$N100,"Non"&amp;"*")),0))),0)</f>
      </c>
      <c r="X65" s="797">
        <f>_xlfn.IFERROR(IF(N65='Suppl'!$E$65,0,IF(N65='Suppl'!$E$66,1/2/(_xlfn.COUNTIFS($N1:$N100,"Exigences"&amp;"*")+_xlfn.COUNTIFS($N1:$N100,"Non"&amp;"*")),IF(N65='Suppl'!$E$67,1/(_xlfn.COUNTIFS($N1:$N100,"Exigences"&amp;"*")+_xlfn.COUNTIFS($N1:$N100,"Non"&amp;"*")),0))),0)</f>
        <v>0</v>
      </c>
      <c r="Y65" s="586"/>
      <c r="Z65" s="586"/>
      <c r="AA65" s="586"/>
      <c r="AB65" s="586"/>
      <c r="AC65" s="586"/>
      <c r="AD65" s="586"/>
      <c r="AE65" s="586"/>
      <c r="AF65" s="586"/>
      <c r="AG65" s="586"/>
      <c r="AH65" s="586"/>
      <c r="AI65" s="1040"/>
      <c r="AJ65" s="585"/>
    </row>
    <row r="66" ht="30" customHeight="1">
      <c r="A66" s="1039"/>
      <c r="B66" s="753"/>
      <c r="C66" t="s" s="754">
        <f>IF(LEFT(RIGHT($B$1,2),1)=" ",RIGHT($B$1,1),RIGHT($B$1,2))</f>
        <v>267</v>
      </c>
      <c r="D66" s="755">
        <f>IF(LEFT(F66,5)="Bonne",D64+1,D65)</f>
        <v>6</v>
      </c>
      <c r="E66" t="s" s="778">
        <f>C66&amp;D66&amp;RIGHT(F66,1)</f>
        <v>2539</v>
      </c>
      <c r="F66" t="s" s="757">
        <v>1887</v>
      </c>
      <c r="G66" t="s" s="758">
        <f>VLOOKUP(E68,'BDD'!$A$2:$N$567,6,FALSE)</f>
        <v>1646</v>
      </c>
      <c r="H66" s="759"/>
      <c r="I66" s="760"/>
      <c r="J66" s="760"/>
      <c r="K66" s="760"/>
      <c r="L66" s="761"/>
      <c r="M66" s="762"/>
      <c r="N66" s="763"/>
      <c r="O66" s="764">
        <v>0</v>
      </c>
      <c r="P66" s="764"/>
      <c r="Q66" s="764"/>
      <c r="R66" s="764"/>
      <c r="S66" s="765">
        <f>_xlfn.SUMIFS(S1:S100,$D1:$D100,D66,$N1:$N100,"Exigences"&amp;"*")</f>
      </c>
      <c r="T66" s="765"/>
      <c r="U66" s="765"/>
      <c r="V66" s="1149"/>
      <c r="W66" s="1151">
        <f>_xlfn.IFERROR(IF(M66='Suppl'!$E$65,0,IF(M66='Suppl'!$E$66,1/2/(_xlfn.COUNTIFS($N1:$N100,"Exigences"&amp;"*")+_xlfn.COUNTIFS($N1:$N100,"Non"&amp;"*")),IF(M66='Suppl'!$E$67,1/(_xlfn.COUNTIFS($N1:$N100,"Exigences"&amp;"*")+_xlfn.COUNTIFS($N1:$N100,"Non"&amp;"*")),0))),0)</f>
        <v>0</v>
      </c>
      <c r="X66" s="797">
        <f>_xlfn.IFERROR(IF(N66='Suppl'!$E$65,0,IF(N66='Suppl'!$E$66,1/2/(_xlfn.COUNTIFS($N1:$N100,"Exigences"&amp;"*")+_xlfn.COUNTIFS($N1:$N100,"Non"&amp;"*")),IF(N66='Suppl'!$E$67,1/(_xlfn.COUNTIFS($N1:$N100,"Exigences"&amp;"*")+_xlfn.COUNTIFS($N1:$N100,"Non"&amp;"*")),0))),0)</f>
        <v>0</v>
      </c>
      <c r="Y66" s="586"/>
      <c r="Z66" s="586"/>
      <c r="AA66" s="586"/>
      <c r="AB66" s="586"/>
      <c r="AC66" s="586"/>
      <c r="AD66" s="586"/>
      <c r="AE66" s="586"/>
      <c r="AF66" s="586"/>
      <c r="AG66" s="586"/>
      <c r="AH66" s="586"/>
      <c r="AI66" s="1040"/>
      <c r="AJ66" s="585"/>
    </row>
    <row r="67" ht="30" customHeight="1">
      <c r="A67" s="1039"/>
      <c r="B67" s="753"/>
      <c r="C67" t="s" s="754">
        <f>IF(LEFT(RIGHT($B$1,2),1)=" ",RIGHT($B$1,1),RIGHT($B$1,2))</f>
        <v>267</v>
      </c>
      <c r="D67" s="755">
        <f>IF(LEFT(F67,5)="Bonne",D65+1,D66)</f>
        <v>6</v>
      </c>
      <c r="E67" t="s" s="778">
        <f>C67&amp;D67&amp;RIGHT(F67,1)</f>
        <v>2540</v>
      </c>
      <c r="F67" t="s" s="769">
        <v>1835</v>
      </c>
      <c r="G67" t="s" s="809">
        <f>VLOOKUP(E69,'BDD'!$A$2:$N$567,7,FALSE)</f>
        <v>2541</v>
      </c>
      <c r="H67" s="810"/>
      <c r="I67" s="810"/>
      <c r="J67" s="810"/>
      <c r="K67" s="810"/>
      <c r="L67" s="810"/>
      <c r="M67" s="810"/>
      <c r="N67" s="811"/>
      <c r="O67" s="775"/>
      <c r="P67" s="775"/>
      <c r="Q67" s="775"/>
      <c r="R67" s="775"/>
      <c r="S67" s="776"/>
      <c r="T67" s="776"/>
      <c r="U67" s="776"/>
      <c r="V67" s="1150"/>
      <c r="W67" s="1151">
        <f>_xlfn.IFERROR(IF(M67='Suppl'!$E$65,0,IF(M67='Suppl'!$E$66,1/2/(_xlfn.COUNTIFS($N1:$N100,"Exigences"&amp;"*")+_xlfn.COUNTIFS($N1:$N100,"Non"&amp;"*")),IF(M67='Suppl'!$E$67,1/(_xlfn.COUNTIFS($N1:$N100,"Exigences"&amp;"*")+_xlfn.COUNTIFS($N1:$N100,"Non"&amp;"*")),0))),0)</f>
        <v>0</v>
      </c>
      <c r="X67" s="797">
        <f>_xlfn.IFERROR(IF(N67='Suppl'!$E$65,0,IF(N67='Suppl'!$E$66,1/2/(_xlfn.COUNTIFS($N1:$N100,"Exigences"&amp;"*")+_xlfn.COUNTIFS($N1:$N100,"Non"&amp;"*")),IF(N67='Suppl'!$E$67,1/(_xlfn.COUNTIFS($N1:$N100,"Exigences"&amp;"*")+_xlfn.COUNTIFS($N1:$N100,"Non"&amp;"*")),0))),0)</f>
        <v>0</v>
      </c>
      <c r="Y67" s="586"/>
      <c r="Z67" s="586"/>
      <c r="AA67" s="586"/>
      <c r="AB67" s="586"/>
      <c r="AC67" s="586"/>
      <c r="AD67" s="586"/>
      <c r="AE67" s="586"/>
      <c r="AF67" s="586"/>
      <c r="AG67" s="586"/>
      <c r="AH67" s="586"/>
      <c r="AI67" s="1040"/>
      <c r="AJ67" s="585"/>
    </row>
    <row r="68" ht="30" customHeight="1">
      <c r="A68" s="1039"/>
      <c r="B68" s="753"/>
      <c r="C68" t="s" s="754">
        <f>IF(LEFT(RIGHT($B$1,2),1)=" ",RIGHT($B$1,1),RIGHT($B$1,2))</f>
        <v>267</v>
      </c>
      <c r="D68" s="755">
        <f>IF(LEFT(F68,5)="Bonne",D66+1,D67)</f>
        <v>6</v>
      </c>
      <c r="E68" t="s" s="778">
        <f>C68&amp;D68&amp;RIGHT(F68,1)</f>
        <v>2540</v>
      </c>
      <c r="F68" t="s" s="779">
        <v>1769</v>
      </c>
      <c r="G68" t="s" s="780">
        <f>VLOOKUP(E68,'BDD'!$A$2:$N$567,MATCH(G$24,'BDD'!$A$1:$P$1,0),FALSE)</f>
        <v>1648</v>
      </c>
      <c r="H68" t="s" s="799">
        <f>IF(VLOOKUP($E68,'BDD'!$A$2:$N$567,MATCH($H$23,'BDD'!$A$1:$P$1,0),FALSE)=H$24,H$24,"")</f>
      </c>
      <c r="I68" t="s" s="792">
        <f>IF(VLOOKUP($E68,'BDD'!$A$2:$N$567,MATCH($H$23,'BDD'!$A$1:$P$1,0),FALSE)=I$24,I$24,"")</f>
      </c>
      <c r="J68" t="s" s="792">
        <f>IF(VLOOKUP($E68,'BDD'!$A$2:$N$567,MATCH($H$23,'BDD'!$A$1:$P$1,0),FALSE)=J$24,J$24,"")</f>
      </c>
      <c r="K68" t="s" s="792">
        <f>IF(VLOOKUP($E68,'BDD'!$A$2:$N$567,MATCH($H$23,'BDD'!$A$1:$P$1,0),FALSE)=K$24,K$24,"")</f>
        <v>1968</v>
      </c>
      <c r="L68" t="s" s="783">
        <f>IF(VLOOKUP($E68,'BDD'!$A$2:$N$567,MATCH($H$23,'BDD'!$A$1:$P$1,0),FALSE)=L$24,L$24,"")</f>
      </c>
      <c r="M68" s="784">
        <f>IF(N68="Exigences partiellement respectées",1,IF(N68="Exigences respectées",2,0))</f>
        <v>0</v>
      </c>
      <c r="N68" t="s" s="780">
        <f>VLOOKUP(VLOOKUP(E68,'BDD'!$A$2:$P$550,15,FALSE),'Suppl'!$D$64:$E$68,2,FALSE)</f>
        <v>1751</v>
      </c>
      <c r="O68" s="785"/>
      <c r="P68" s="786"/>
      <c r="Q68" s="786"/>
      <c r="R68" s="1152"/>
      <c r="S68" s="1153">
        <f>IF(N68='Suppl'!$E$65,0,IF(N68='Suppl'!$E$66,1/2/(_xlfn.COUNTIFS($D1:$D100,D68,$N1:$N100,"Exigences"&amp;"*",G1:G100,"&lt;&gt;0")+_xlfn.COUNTIFS($D1:$D100,D68,$N1:$N100,"Non"&amp;"*",G1:G100,"&lt;&gt;0")),IF(N68='Suppl'!$E$67,1/(_xlfn.COUNTIFS($D1:$D100,D68,$N1:$N100,"Exigences"&amp;"*",G1:G100,"&lt;&gt;0")+_xlfn.COUNTIFS($D1:$D100,D68,$N1:$N100,"Non"&amp;"*",G1:G100,"&lt;&gt;0")),0)))</f>
        <v>0</v>
      </c>
      <c r="T68" s="787"/>
      <c r="U68" s="787"/>
      <c r="V68" s="1154"/>
      <c r="W68" s="1151">
        <f>_xlfn.IFERROR(IF(M68='Suppl'!$E$65,0,IF(M68='Suppl'!$E$66,1/2/(_xlfn.COUNTIFS($N1:$N100,"Exigences"&amp;"*")+_xlfn.COUNTIFS($N1:$N100,"Non"&amp;"*")),IF(M68='Suppl'!$E$67,1/(_xlfn.COUNTIFS($N1:$N100,"Exigences"&amp;"*")+_xlfn.COUNTIFS($N1:$N100,"Non"&amp;"*")),0))),0)</f>
      </c>
      <c r="X68" s="797">
        <f>_xlfn.IFERROR(IF(N68='Suppl'!$E$65,0,IF(N68='Suppl'!$E$66,1/2/(_xlfn.COUNTIFS($N1:$N100,"Exigences"&amp;"*")+_xlfn.COUNTIFS($N1:$N100,"Non"&amp;"*")),IF(N68='Suppl'!$E$67,1/(_xlfn.COUNTIFS($N1:$N100,"Exigences"&amp;"*")+_xlfn.COUNTIFS($N1:$N100,"Non"&amp;"*")),0))),0)</f>
        <v>0</v>
      </c>
      <c r="Y68" s="586"/>
      <c r="Z68" s="586"/>
      <c r="AA68" s="586"/>
      <c r="AB68" s="586"/>
      <c r="AC68" s="586"/>
      <c r="AD68" s="586"/>
      <c r="AE68" s="586"/>
      <c r="AF68" s="586"/>
      <c r="AG68" s="586"/>
      <c r="AH68" s="586"/>
      <c r="AI68" s="1040"/>
      <c r="AJ68" s="585"/>
    </row>
    <row r="69" ht="30" customHeight="1">
      <c r="A69" s="1039"/>
      <c r="B69" s="753"/>
      <c r="C69" t="s" s="754">
        <f>IF(LEFT(RIGHT($B$1,2),1)=" ",RIGHT($B$1,1),RIGHT($B$1,2))</f>
        <v>267</v>
      </c>
      <c r="D69" s="755">
        <f>IF(LEFT(F69,5)="Bonne",D67+1,D68)</f>
        <v>6</v>
      </c>
      <c r="E69" t="s" s="778">
        <f>C69&amp;D69&amp;RIGHT(F69,1)</f>
        <v>2542</v>
      </c>
      <c r="F69" t="s" s="790">
        <v>1837</v>
      </c>
      <c r="G69" t="s" s="791">
        <f>VLOOKUP(E69,'BDD'!$A$2:$N$567,MATCH(G$24,'BDD'!$A$1:$P$1,0),FALSE)</f>
        <v>1651</v>
      </c>
      <c r="H69" t="s" s="799">
        <f>IF(VLOOKUP($E69,'BDD'!$A$2:$N$567,MATCH($H$23,'BDD'!$A$1:$P$1,0),FALSE)=H$24,H$24,"")</f>
      </c>
      <c r="I69" t="s" s="792">
        <f>IF(VLOOKUP($E69,'BDD'!$A$2:$N$567,MATCH($H$23,'BDD'!$A$1:$P$1,0),FALSE)=I$24,I$24,"")</f>
      </c>
      <c r="J69" t="s" s="792">
        <f>IF(VLOOKUP($E69,'BDD'!$A$2:$N$567,MATCH($H$23,'BDD'!$A$1:$P$1,0),FALSE)=J$24,J$24,"")</f>
      </c>
      <c r="K69" t="s" s="792">
        <f>IF(VLOOKUP($E69,'BDD'!$A$2:$N$567,MATCH($H$23,'BDD'!$A$1:$P$1,0),FALSE)=K$24,K$24,"")</f>
      </c>
      <c r="L69" t="s" s="783">
        <f>IF(VLOOKUP($E69,'BDD'!$A$2:$N$567,MATCH($H$23,'BDD'!$A$1:$P$1,0),FALSE)=L$24,L$24,"")</f>
        <v>1985</v>
      </c>
      <c r="M69" s="794">
        <f>IF(N69="Exigences partiellement respectées",1,IF(N69="Exigences respectées",2,0))</f>
        <v>0</v>
      </c>
      <c r="N69" t="s" s="791">
        <f>VLOOKUP(VLOOKUP(E69,'BDD'!$A$2:$P$550,15,FALSE),'Suppl'!$D$64:$E$68,2,FALSE)</f>
        <v>1751</v>
      </c>
      <c r="O69" s="795"/>
      <c r="P69" s="796"/>
      <c r="Q69" s="796"/>
      <c r="R69" s="1155"/>
      <c r="S69" s="1151">
        <f>IF(N69='Suppl'!$E$65,0,IF(N69='Suppl'!$E$66,1/2/(_xlfn.COUNTIFS($D1:$D100,D69,$N1:$N100,"Exigences"&amp;"*",G1:G100,"&lt;&gt;0")+_xlfn.COUNTIFS($D1:$D100,D69,$N1:$N100,"Non"&amp;"*",G1:G100,"&lt;&gt;0")),IF(N69='Suppl'!$E$67,1/(_xlfn.COUNTIFS($D1:$D100,D69,$N1:$N100,"Exigences"&amp;"*",G1:G100,"&lt;&gt;0")+_xlfn.COUNTIFS($D1:$D100,D69,$N1:$N100,"Non"&amp;"*",G1:G100,"&lt;&gt;0")),0)))</f>
        <v>0</v>
      </c>
      <c r="T69" s="797"/>
      <c r="U69" s="797"/>
      <c r="V69" s="1156"/>
      <c r="W69" s="1151">
        <f>_xlfn.IFERROR(IF(M69='Suppl'!$E$65,0,IF(M69='Suppl'!$E$66,1/2/(_xlfn.COUNTIFS($N1:$N100,"Exigences"&amp;"*")+_xlfn.COUNTIFS($N1:$N100,"Non"&amp;"*")),IF(M69='Suppl'!$E$67,1/(_xlfn.COUNTIFS($N1:$N100,"Exigences"&amp;"*")+_xlfn.COUNTIFS($N1:$N100,"Non"&amp;"*")),0))),0)</f>
      </c>
      <c r="X69" s="797">
        <f>_xlfn.IFERROR(IF(N69='Suppl'!$E$65,0,IF(N69='Suppl'!$E$66,1/2/(_xlfn.COUNTIFS($N1:$N100,"Exigences"&amp;"*")+_xlfn.COUNTIFS($N1:$N100,"Non"&amp;"*")),IF(N69='Suppl'!$E$67,1/(_xlfn.COUNTIFS($N1:$N100,"Exigences"&amp;"*")+_xlfn.COUNTIFS($N1:$N100,"Non"&amp;"*")),0))),0)</f>
        <v>0</v>
      </c>
      <c r="Y69" s="586"/>
      <c r="Z69" s="586"/>
      <c r="AA69" s="586"/>
      <c r="AB69" s="586"/>
      <c r="AC69" s="586"/>
      <c r="AD69" s="586"/>
      <c r="AE69" s="586"/>
      <c r="AF69" s="586"/>
      <c r="AG69" s="586"/>
      <c r="AH69" s="586"/>
      <c r="AI69" s="1040"/>
      <c r="AJ69" s="585"/>
    </row>
    <row r="70" ht="30" customHeight="1">
      <c r="A70" s="1039"/>
      <c r="B70" s="753"/>
      <c r="C70" t="s" s="754">
        <f>IF(LEFT(RIGHT($B$1,2),1)=" ",RIGHT($B$1,1),RIGHT($B$1,2))</f>
        <v>267</v>
      </c>
      <c r="D70" s="755">
        <f>IF(LEFT(F70,5)="Bonne",D68+1,D69)</f>
        <v>6</v>
      </c>
      <c r="E70" t="s" s="778">
        <f>C70&amp;D70&amp;RIGHT(F70,1)</f>
        <v>2543</v>
      </c>
      <c r="F70" t="s" s="779">
        <v>1774</v>
      </c>
      <c r="G70" t="s" s="780">
        <f>VLOOKUP(E70,'BDD'!$A$2:$N$567,MATCH(G$24,'BDD'!$A$1:$P$1,0),FALSE)</f>
        <v>1653</v>
      </c>
      <c r="H70" t="s" s="799">
        <f>IF(VLOOKUP($E70,'BDD'!$A$2:$N$567,MATCH($H$23,'BDD'!$A$1:$P$1,0),FALSE)=H$24,H$24,"")</f>
      </c>
      <c r="I70" t="s" s="792">
        <f>IF(VLOOKUP($E70,'BDD'!$A$2:$N$567,MATCH($H$23,'BDD'!$A$1:$P$1,0),FALSE)=I$24,I$24,"")</f>
      </c>
      <c r="J70" t="s" s="792">
        <f>IF(VLOOKUP($E70,'BDD'!$A$2:$N$567,MATCH($H$23,'BDD'!$A$1:$P$1,0),FALSE)=J$24,J$24,"")</f>
        <v>1967</v>
      </c>
      <c r="K70" t="s" s="792">
        <f>IF(VLOOKUP($E70,'BDD'!$A$2:$N$567,MATCH($H$23,'BDD'!$A$1:$P$1,0),FALSE)=K$24,K$24,"")</f>
      </c>
      <c r="L70" t="s" s="783">
        <f>IF(VLOOKUP($E70,'BDD'!$A$2:$N$567,MATCH($H$23,'BDD'!$A$1:$P$1,0),FALSE)=L$24,L$24,"")</f>
      </c>
      <c r="M70" s="794">
        <f>IF(N70="Exigences partiellement respectées",1,IF(N70="Exigences respectées",2,0))</f>
        <v>0</v>
      </c>
      <c r="N70" t="s" s="780">
        <f>VLOOKUP(VLOOKUP(E70,'BDD'!$A$2:$P$550,15,FALSE),'Suppl'!$D$64:$E$68,2,FALSE)</f>
        <v>1751</v>
      </c>
      <c r="O70" s="795"/>
      <c r="P70" s="796"/>
      <c r="Q70" s="796"/>
      <c r="R70" s="1155"/>
      <c r="S70" s="1151">
        <f>IF(N70='Suppl'!$E$65,0,IF(N70='Suppl'!$E$66,1/2/(_xlfn.COUNTIFS($D1:$D100,D70,$N1:$N100,"Exigences"&amp;"*",G1:G100,"&lt;&gt;0")+_xlfn.COUNTIFS($D1:$D100,D70,$N1:$N100,"Non"&amp;"*",G1:G100,"&lt;&gt;0")),IF(N70='Suppl'!$E$67,1/(_xlfn.COUNTIFS($D1:$D100,D70,$N1:$N100,"Exigences"&amp;"*",G1:G100,"&lt;&gt;0")+_xlfn.COUNTIFS($D1:$D100,D70,$N1:$N100,"Non"&amp;"*",G1:G100,"&lt;&gt;0")),0)))</f>
        <v>0</v>
      </c>
      <c r="T70" s="797"/>
      <c r="U70" s="797"/>
      <c r="V70" s="1156"/>
      <c r="W70" s="1151">
        <f>_xlfn.IFERROR(IF(M70='Suppl'!$E$65,0,IF(M70='Suppl'!$E$66,1/2/(_xlfn.COUNTIFS($N1:$N100,"Exigences"&amp;"*")+_xlfn.COUNTIFS($N1:$N100,"Non"&amp;"*")),IF(M70='Suppl'!$E$67,1/(_xlfn.COUNTIFS($N1:$N100,"Exigences"&amp;"*")+_xlfn.COUNTIFS($N1:$N100,"Non"&amp;"*")),0))),0)</f>
      </c>
      <c r="X70" s="797">
        <f>_xlfn.IFERROR(IF(N70='Suppl'!$E$65,0,IF(N70='Suppl'!$E$66,1/2/(_xlfn.COUNTIFS($N1:$N100,"Exigences"&amp;"*")+_xlfn.COUNTIFS($N1:$N100,"Non"&amp;"*")),IF(N70='Suppl'!$E$67,1/(_xlfn.COUNTIFS($N1:$N100,"Exigences"&amp;"*")+_xlfn.COUNTIFS($N1:$N100,"Non"&amp;"*")),0))),0)</f>
        <v>0</v>
      </c>
      <c r="Y70" s="586"/>
      <c r="Z70" s="586"/>
      <c r="AA70" s="586"/>
      <c r="AB70" s="586"/>
      <c r="AC70" s="586"/>
      <c r="AD70" s="586"/>
      <c r="AE70" s="586"/>
      <c r="AF70" s="586"/>
      <c r="AG70" s="586"/>
      <c r="AH70" s="586"/>
      <c r="AI70" s="1040"/>
      <c r="AJ70" s="585"/>
    </row>
    <row r="71" ht="30" customHeight="1">
      <c r="A71" s="1039"/>
      <c r="B71" s="753"/>
      <c r="C71" t="s" s="754">
        <f>IF(LEFT(RIGHT($B$1,2),1)=" ",RIGHT($B$1,1),RIGHT($B$1,2))</f>
        <v>267</v>
      </c>
      <c r="D71" s="755">
        <f>IF(LEFT(F71,5)="Bonne",D69+1,D70)</f>
        <v>6</v>
      </c>
      <c r="E71" t="s" s="778">
        <f>C71&amp;D71&amp;RIGHT(F71,1)</f>
        <v>2544</v>
      </c>
      <c r="F71" t="s" s="1160">
        <v>1776</v>
      </c>
      <c r="G71" t="s" s="1132">
        <f>VLOOKUP(E71,'BDD'!$A$2:$N$567,MATCH(G$24,'BDD'!$A$1:$P$1,0),FALSE)</f>
        <v>1655</v>
      </c>
      <c r="H71" t="s" s="1161">
        <f>IF(VLOOKUP($E71,'BDD'!$A$2:$N$567,MATCH($H$23,'BDD'!$A$1:$P$1,0),FALSE)=H$24,H$24,"")</f>
      </c>
      <c r="I71" t="s" s="1162">
        <f>IF(VLOOKUP($E71,'BDD'!$A$2:$N$567,MATCH($H$23,'BDD'!$A$1:$P$1,0),FALSE)=I$24,I$24,"")</f>
      </c>
      <c r="J71" t="s" s="1162">
        <f>IF(VLOOKUP($E71,'BDD'!$A$2:$N$567,MATCH($H$23,'BDD'!$A$1:$P$1,0),FALSE)=J$24,J$24,"")</f>
        <v>1967</v>
      </c>
      <c r="K71" t="s" s="1162">
        <f>IF(VLOOKUP($E71,'BDD'!$A$2:$N$567,MATCH($H$23,'BDD'!$A$1:$P$1,0),FALSE)=K$24,K$24,"")</f>
      </c>
      <c r="L71" t="s" s="1163">
        <f>IF(VLOOKUP($E71,'BDD'!$A$2:$N$567,MATCH($H$23,'BDD'!$A$1:$P$1,0),FALSE)=L$24,L$24,"")</f>
      </c>
      <c r="M71" s="794">
        <f>IF(N71="Exigences partiellement respectées",1,IF(N71="Exigences respectées",2,0))</f>
        <v>0</v>
      </c>
      <c r="N71" t="s" s="1132">
        <f>VLOOKUP(VLOOKUP(E71,'BDD'!$A$2:$P$550,15,FALSE),'Suppl'!$D$64:$E$68,2,FALSE)</f>
        <v>1751</v>
      </c>
      <c r="O71" s="863"/>
      <c r="P71" s="864"/>
      <c r="Q71" s="864"/>
      <c r="R71" s="1164"/>
      <c r="S71" s="1165">
        <f>IF(N71='Suppl'!$E$65,0,IF(N71='Suppl'!$E$66,1/2/(_xlfn.COUNTIFS($D1:$D100,D71,$N1:$N100,"Exigences"&amp;"*",G1:G100,"&lt;&gt;0")+_xlfn.COUNTIFS($D1:$D100,D71,$N1:$N100,"Non"&amp;"*",G1:G100,"&lt;&gt;0")),IF(N71='Suppl'!$E$67,1/(_xlfn.COUNTIFS($D1:$D100,D71,$N1:$N100,"Exigences"&amp;"*",G1:G100,"&lt;&gt;0")+_xlfn.COUNTIFS($D1:$D100,D71,$N1:$N100,"Non"&amp;"*",G1:G100,"&lt;&gt;0")),0)))</f>
        <v>0</v>
      </c>
      <c r="T71" s="815"/>
      <c r="U71" s="815"/>
      <c r="V71" s="1166"/>
      <c r="W71" s="1151">
        <f>_xlfn.IFERROR(IF(M71='Suppl'!$E$65,0,IF(M71='Suppl'!$E$66,1/2/(_xlfn.COUNTIFS($N1:$N100,"Exigences"&amp;"*")+_xlfn.COUNTIFS($N1:$N100,"Non"&amp;"*")),IF(M71='Suppl'!$E$67,1/(_xlfn.COUNTIFS($N1:$N100,"Exigences"&amp;"*")+_xlfn.COUNTIFS($N1:$N100,"Non"&amp;"*")),0))),0)</f>
      </c>
      <c r="X71" s="797">
        <f>_xlfn.IFERROR(IF(N71='Suppl'!$E$65,0,IF(N71='Suppl'!$E$66,1/2/(_xlfn.COUNTIFS($N1:$N100,"Exigences"&amp;"*")+_xlfn.COUNTIFS($N1:$N100,"Non"&amp;"*")),IF(N71='Suppl'!$E$67,1/(_xlfn.COUNTIFS($N1:$N100,"Exigences"&amp;"*")+_xlfn.COUNTIFS($N1:$N100,"Non"&amp;"*")),0))),0)</f>
        <v>0</v>
      </c>
      <c r="Y71" s="586"/>
      <c r="Z71" s="586"/>
      <c r="AA71" s="586"/>
      <c r="AB71" s="586"/>
      <c r="AC71" s="586"/>
      <c r="AD71" s="586"/>
      <c r="AE71" s="586"/>
      <c r="AF71" s="586"/>
      <c r="AG71" s="586"/>
      <c r="AH71" s="586"/>
      <c r="AI71" s="1040"/>
      <c r="AJ71" s="585"/>
    </row>
    <row r="72" ht="30" customHeight="1">
      <c r="A72" s="1039"/>
      <c r="B72" s="586"/>
      <c r="C72" s="586"/>
      <c r="D72" s="587"/>
      <c r="E72" s="587"/>
      <c r="F72" s="1167"/>
      <c r="G72" s="1168"/>
      <c r="H72" s="102"/>
      <c r="I72" s="102"/>
      <c r="J72" s="102"/>
      <c r="K72" s="102"/>
      <c r="L72" s="102"/>
      <c r="M72" s="102"/>
      <c r="N72" s="1168"/>
      <c r="O72" s="786"/>
      <c r="P72" s="786"/>
      <c r="Q72" s="786"/>
      <c r="R72" s="786"/>
      <c r="S72" s="1014"/>
      <c r="T72" s="1014"/>
      <c r="U72" s="1014"/>
      <c r="V72" s="1014"/>
      <c r="W72" s="1169"/>
      <c r="X72" s="586"/>
      <c r="Y72" s="586"/>
      <c r="Z72" s="586"/>
      <c r="AA72" s="586"/>
      <c r="AB72" s="586"/>
      <c r="AC72" s="586"/>
      <c r="AD72" s="586"/>
      <c r="AE72" s="586"/>
      <c r="AF72" s="586"/>
      <c r="AG72" s="586"/>
      <c r="AH72" s="586"/>
      <c r="AI72" s="1040"/>
      <c r="AJ72" s="585"/>
    </row>
    <row r="73" ht="30" customHeight="1">
      <c r="A73" t="s" s="1137">
        <v>171</v>
      </c>
      <c r="B73" s="1040"/>
      <c r="C73" s="1040"/>
      <c r="D73" s="1040"/>
      <c r="E73" s="1040"/>
      <c r="F73" s="1040"/>
      <c r="G73" s="1076"/>
      <c r="H73" s="1076"/>
      <c r="I73" s="1076"/>
      <c r="J73" s="1076"/>
      <c r="K73" s="1076"/>
      <c r="L73" s="1076"/>
      <c r="M73" s="1076"/>
      <c r="N73" s="1040"/>
      <c r="O73" s="1040"/>
      <c r="P73" s="1040"/>
      <c r="Q73" s="1040"/>
      <c r="R73" s="1040"/>
      <c r="S73" s="1040"/>
      <c r="T73" s="1040"/>
      <c r="U73" s="1040"/>
      <c r="V73" s="1040"/>
      <c r="W73" s="1040"/>
      <c r="X73" s="1138"/>
      <c r="Y73" s="1040"/>
      <c r="Z73" s="1040"/>
      <c r="AA73" s="1040"/>
      <c r="AB73" s="1040"/>
      <c r="AC73" s="1040"/>
      <c r="AD73" s="1040"/>
      <c r="AE73" s="1040"/>
      <c r="AF73" s="1040"/>
      <c r="AG73" s="1040"/>
      <c r="AH73" s="1040"/>
      <c r="AI73" t="s" s="1139">
        <v>171</v>
      </c>
      <c r="AJ73" s="585"/>
    </row>
    <row r="74" ht="14.4" customHeight="1">
      <c r="A74" s="822"/>
      <c r="B74" s="25"/>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823"/>
    </row>
    <row r="75" ht="14.4" customHeight="1">
      <c r="A75" s="822"/>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823"/>
    </row>
    <row r="76" ht="14.4" customHeight="1">
      <c r="A76" s="822"/>
      <c r="B76" s="25"/>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823"/>
    </row>
    <row r="77" ht="14.4" customHeight="1">
      <c r="A77" s="822"/>
      <c r="B77" s="25"/>
      <c r="C77" s="25"/>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25"/>
      <c r="AJ77" s="823"/>
    </row>
    <row r="78" ht="14.4" customHeight="1">
      <c r="A78" s="822"/>
      <c r="B78" s="25"/>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823"/>
    </row>
    <row r="79" ht="14.4" customHeight="1">
      <c r="A79" s="822"/>
      <c r="B79" s="25"/>
      <c r="C79" s="25"/>
      <c r="D79" s="25"/>
      <c r="E79" s="25"/>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c r="AJ79" s="823"/>
    </row>
    <row r="80" ht="14.4" customHeight="1">
      <c r="A80" s="822"/>
      <c r="B80" s="25"/>
      <c r="C80" s="25"/>
      <c r="D80" s="25"/>
      <c r="E80" s="25"/>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c r="AJ80" s="823"/>
    </row>
    <row r="81" ht="14.4" customHeight="1">
      <c r="A81" s="822"/>
      <c r="B81" s="25"/>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25"/>
      <c r="AJ81" s="823"/>
    </row>
    <row r="82" ht="14.4" customHeight="1">
      <c r="A82" s="822"/>
      <c r="B82" s="25"/>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c r="AJ82" s="823"/>
    </row>
    <row r="83" ht="14.4" customHeight="1">
      <c r="A83" s="822"/>
      <c r="B83" s="25"/>
      <c r="C83" s="25"/>
      <c r="D83" s="25"/>
      <c r="E83" s="25"/>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c r="AH83" s="25"/>
      <c r="AI83" s="25"/>
      <c r="AJ83" s="823"/>
    </row>
    <row r="84" ht="14.4" customHeight="1">
      <c r="A84" s="822"/>
      <c r="B84" s="25"/>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25"/>
      <c r="AJ84" s="823"/>
    </row>
    <row r="85" ht="14.4" customHeight="1">
      <c r="A85" s="822"/>
      <c r="B85" s="25"/>
      <c r="C85" s="25"/>
      <c r="D85" s="25"/>
      <c r="E85" s="25"/>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25"/>
      <c r="AJ85" s="823"/>
    </row>
    <row r="86" ht="14.4" customHeight="1">
      <c r="A86" s="822"/>
      <c r="B86" s="25"/>
      <c r="C86" s="25"/>
      <c r="D86" s="25"/>
      <c r="E86" s="25"/>
      <c r="F86" s="2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c r="AJ86" s="823"/>
    </row>
    <row r="87" ht="14.4" customHeight="1">
      <c r="A87" s="822"/>
      <c r="B87" s="25"/>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823"/>
    </row>
    <row r="88" ht="14.4" customHeight="1">
      <c r="A88" s="822"/>
      <c r="B88" s="25"/>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823"/>
    </row>
    <row r="89" ht="14.4" customHeight="1">
      <c r="A89" s="822"/>
      <c r="B89" s="25"/>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823"/>
    </row>
    <row r="90" ht="14.4" customHeight="1">
      <c r="A90" s="822"/>
      <c r="B90" s="25"/>
      <c r="C90" s="25"/>
      <c r="D90" s="25"/>
      <c r="E90" s="25"/>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823"/>
    </row>
    <row r="91" ht="14.4" customHeight="1">
      <c r="A91" s="822"/>
      <c r="B91" s="25"/>
      <c r="C91" s="25"/>
      <c r="D91" s="25"/>
      <c r="E91" s="25"/>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823"/>
    </row>
    <row r="92" ht="14.4" customHeight="1">
      <c r="A92" s="822"/>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823"/>
    </row>
    <row r="93" ht="14.4" customHeight="1">
      <c r="A93" s="822"/>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823"/>
    </row>
    <row r="94" ht="14.4" customHeight="1">
      <c r="A94" s="822"/>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823"/>
    </row>
    <row r="95" ht="14.4" customHeight="1">
      <c r="A95" s="822"/>
      <c r="B95" s="25"/>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823"/>
    </row>
    <row r="96" ht="14.4" customHeight="1">
      <c r="A96" s="822"/>
      <c r="B96" s="25"/>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823"/>
    </row>
    <row r="97" ht="14.4" customHeight="1">
      <c r="A97" s="822"/>
      <c r="B97" s="25"/>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823"/>
    </row>
    <row r="98" ht="14.4" customHeight="1">
      <c r="A98" s="822"/>
      <c r="B98" s="25"/>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823"/>
    </row>
    <row r="99" ht="14.4" customHeight="1">
      <c r="A99" s="822"/>
      <c r="B99" s="25"/>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823"/>
    </row>
    <row r="100" ht="14.4" customHeight="1">
      <c r="A100" s="824"/>
      <c r="B100" s="825"/>
      <c r="C100" s="825"/>
      <c r="D100" s="825"/>
      <c r="E100" s="825"/>
      <c r="F100" s="825"/>
      <c r="G100" s="825"/>
      <c r="H100" s="825"/>
      <c r="I100" s="825"/>
      <c r="J100" s="825"/>
      <c r="K100" s="825"/>
      <c r="L100" s="825"/>
      <c r="M100" s="825"/>
      <c r="N100" s="825"/>
      <c r="O100" s="825"/>
      <c r="P100" s="825"/>
      <c r="Q100" s="825"/>
      <c r="R100" s="825"/>
      <c r="S100" s="825"/>
      <c r="T100" s="825"/>
      <c r="U100" s="825"/>
      <c r="V100" s="825"/>
      <c r="W100" s="825"/>
      <c r="X100" s="825"/>
      <c r="Y100" s="825"/>
      <c r="Z100" s="825"/>
      <c r="AA100" s="825"/>
      <c r="AB100" s="825"/>
      <c r="AC100" s="825"/>
      <c r="AD100" s="825"/>
      <c r="AE100" s="825"/>
      <c r="AF100" s="825"/>
      <c r="AG100" s="825"/>
      <c r="AH100" s="825"/>
      <c r="AI100" s="825"/>
      <c r="AJ100" s="826"/>
    </row>
  </sheetData>
  <mergeCells count="94">
    <mergeCell ref="G67:N67"/>
    <mergeCell ref="G26:N26"/>
    <mergeCell ref="G36:N36"/>
    <mergeCell ref="G43:N43"/>
    <mergeCell ref="G52:N52"/>
    <mergeCell ref="G59:N59"/>
    <mergeCell ref="S66:V67"/>
    <mergeCell ref="S68:V68"/>
    <mergeCell ref="S69:V69"/>
    <mergeCell ref="S70:V70"/>
    <mergeCell ref="S71:V71"/>
    <mergeCell ref="O70:R70"/>
    <mergeCell ref="O71:R71"/>
    <mergeCell ref="O66:R67"/>
    <mergeCell ref="O68:R68"/>
    <mergeCell ref="O69:R69"/>
    <mergeCell ref="S61:V61"/>
    <mergeCell ref="S62:V62"/>
    <mergeCell ref="S63:V63"/>
    <mergeCell ref="S64:V64"/>
    <mergeCell ref="S65:V65"/>
    <mergeCell ref="O64:R64"/>
    <mergeCell ref="O65:R65"/>
    <mergeCell ref="O61:R61"/>
    <mergeCell ref="O62:R62"/>
    <mergeCell ref="O63:R63"/>
    <mergeCell ref="O58:R59"/>
    <mergeCell ref="O60:R60"/>
    <mergeCell ref="O56:R56"/>
    <mergeCell ref="O57:R57"/>
    <mergeCell ref="S56:V56"/>
    <mergeCell ref="S57:V57"/>
    <mergeCell ref="S58:V59"/>
    <mergeCell ref="S60:V60"/>
    <mergeCell ref="O53:R53"/>
    <mergeCell ref="O54:R54"/>
    <mergeCell ref="O55:R55"/>
    <mergeCell ref="S53:V53"/>
    <mergeCell ref="S54:V54"/>
    <mergeCell ref="S55:V55"/>
    <mergeCell ref="O49:R49"/>
    <mergeCell ref="O50:R50"/>
    <mergeCell ref="O51:R52"/>
    <mergeCell ref="S49:V49"/>
    <mergeCell ref="S50:V50"/>
    <mergeCell ref="S51:V52"/>
    <mergeCell ref="O46:R46"/>
    <mergeCell ref="O47:R47"/>
    <mergeCell ref="O48:R48"/>
    <mergeCell ref="S46:V46"/>
    <mergeCell ref="S47:V47"/>
    <mergeCell ref="S48:V48"/>
    <mergeCell ref="O42:R43"/>
    <mergeCell ref="O44:R44"/>
    <mergeCell ref="O45:R45"/>
    <mergeCell ref="S42:V43"/>
    <mergeCell ref="S44:V44"/>
    <mergeCell ref="S45:V45"/>
    <mergeCell ref="O41:R41"/>
    <mergeCell ref="O38:R38"/>
    <mergeCell ref="O39:R39"/>
    <mergeCell ref="O40:R40"/>
    <mergeCell ref="S38:V38"/>
    <mergeCell ref="S39:V39"/>
    <mergeCell ref="S40:V40"/>
    <mergeCell ref="S41:V41"/>
    <mergeCell ref="S31:V31"/>
    <mergeCell ref="S32:V32"/>
    <mergeCell ref="O33:R33"/>
    <mergeCell ref="O35:R36"/>
    <mergeCell ref="O37:R37"/>
    <mergeCell ref="O34:R34"/>
    <mergeCell ref="S33:V33"/>
    <mergeCell ref="S34:V34"/>
    <mergeCell ref="S35:V36"/>
    <mergeCell ref="S37:V37"/>
    <mergeCell ref="O31:R31"/>
    <mergeCell ref="O32:R32"/>
    <mergeCell ref="O27:R27"/>
    <mergeCell ref="O28:R28"/>
    <mergeCell ref="O29:R29"/>
    <mergeCell ref="O25:R26"/>
    <mergeCell ref="O30:R30"/>
    <mergeCell ref="AE7:AE10"/>
    <mergeCell ref="O21:R21"/>
    <mergeCell ref="O22:R22"/>
    <mergeCell ref="O24:R24"/>
    <mergeCell ref="O20:R20"/>
    <mergeCell ref="S24:V24"/>
    <mergeCell ref="S25:V26"/>
    <mergeCell ref="S27:V27"/>
    <mergeCell ref="S28:V28"/>
    <mergeCell ref="S29:V29"/>
    <mergeCell ref="S30:V30"/>
  </mergeCells>
  <conditionalFormatting sqref="O8:V16">
    <cfRule type="cellIs" dxfId="36" priority="1" operator="equal" stopIfTrue="1">
      <formula>3</formula>
    </cfRule>
    <cfRule type="cellIs" dxfId="37" priority="2" operator="equal" stopIfTrue="1">
      <formula>2</formula>
    </cfRule>
    <cfRule type="cellIs" dxfId="38" priority="3" operator="equal" stopIfTrue="1">
      <formula>1</formula>
    </cfRule>
  </conditionalFormatting>
  <dataValidations count="1">
    <dataValidation type="list" allowBlank="1" showInputMessage="1" showErrorMessage="1" sqref="X8:X13 X16">
      <formula1>"Exigences non respectées,Exigences partiellement respectées,Exigences respectées,Non évalué,N/A"</formula1>
    </dataValidation>
  </dataValidations>
  <pageMargins left="0.7" right="0.7" top="0.75" bottom="0.75" header="0.3" footer="0.3"/>
  <pageSetup firstPageNumber="1" fitToHeight="1" fitToWidth="1" scale="100" useFirstPageNumber="0" orientation="portrait" pageOrder="downThenOver"/>
  <headerFooter>
    <oddFooter>&amp;C&amp;"Helvetica Neue,Regular"&amp;12&amp;K000000&amp;P</oddFooter>
  </headerFooter>
  <drawing r:id="rId1"/>
</worksheet>
</file>

<file path=xl/worksheets/sheet32.xml><?xml version="1.0" encoding="utf-8"?>
<worksheet xmlns:r="http://schemas.openxmlformats.org/officeDocument/2006/relationships" xmlns="http://schemas.openxmlformats.org/spreadsheetml/2006/main">
  <dimension ref="A1:P118"/>
  <sheetViews>
    <sheetView workbookViewId="0" showGridLines="0" defaultGridColor="1"/>
  </sheetViews>
  <sheetFormatPr defaultColWidth="10.8333" defaultRowHeight="14.4" customHeight="1" outlineLevelRow="0" outlineLevelCol="0"/>
  <cols>
    <col min="1" max="1" width="2.85156" style="1170" customWidth="1"/>
    <col min="2" max="2" width="4" style="1170" customWidth="1"/>
    <col min="3" max="5" hidden="1" width="10.8333" style="1170" customWidth="1"/>
    <col min="6" max="6" width="10.8516" style="1170" customWidth="1"/>
    <col min="7" max="7" width="36.1719" style="1170" customWidth="1"/>
    <col min="8" max="8" width="28.5" style="1170" customWidth="1"/>
    <col min="9" max="9" width="17.6719" style="1170" customWidth="1"/>
    <col min="10" max="10" width="66.8516" style="1170" customWidth="1"/>
    <col min="11" max="11" width="80.8516" style="1170" customWidth="1"/>
    <col min="12" max="12" width="10.8516" style="1170" customWidth="1"/>
    <col min="13" max="13" width="28" style="1170" customWidth="1"/>
    <col min="14" max="14" width="16.5" style="1170" customWidth="1"/>
    <col min="15" max="16" width="4" style="1170" customWidth="1"/>
    <col min="17" max="16384" width="10.8516" style="1170" customWidth="1"/>
  </cols>
  <sheetData>
    <row r="1" ht="45" customHeight="1">
      <c r="A1" s="1032"/>
      <c r="B1" t="s" s="1033">
        <v>2545</v>
      </c>
      <c r="C1" s="1034"/>
      <c r="D1" s="1034"/>
      <c r="E1" s="1034"/>
      <c r="F1" s="1034"/>
      <c r="G1" s="1035"/>
      <c r="H1" s="1036"/>
      <c r="I1" s="1036"/>
      <c r="J1" t="s" s="1037">
        <f>VLOOKUP($E$12,'BDD'!$A$2:$N$567,3,FALSE)</f>
        <v>236</v>
      </c>
      <c r="K1" s="1036"/>
      <c r="L1" s="1035"/>
      <c r="M1" s="1035"/>
      <c r="N1" s="1035"/>
      <c r="O1" s="1035"/>
      <c r="P1" s="1038"/>
    </row>
    <row r="2" ht="45" customHeight="1">
      <c r="A2" s="1039"/>
      <c r="B2" s="1040"/>
      <c r="C2" s="1040"/>
      <c r="D2" s="1040"/>
      <c r="E2" s="1040"/>
      <c r="F2" s="1040"/>
      <c r="G2" s="1040"/>
      <c r="H2" s="1040"/>
      <c r="I2" s="1040"/>
      <c r="J2" t="s" s="1041">
        <f>VLOOKUP($E$12,'BDD'!$A$2:$N$567,4,FALSE)</f>
        <v>1659</v>
      </c>
      <c r="K2" s="1040"/>
      <c r="L2" s="1040"/>
      <c r="M2" s="1040"/>
      <c r="N2" s="1040"/>
      <c r="O2" s="1040"/>
      <c r="P2" s="1042"/>
    </row>
    <row r="3" ht="18" customHeight="1">
      <c r="A3" s="1039"/>
      <c r="B3" s="61"/>
      <c r="C3" s="61"/>
      <c r="D3" s="61"/>
      <c r="E3" s="61"/>
      <c r="F3" s="61"/>
      <c r="G3" t="s" s="508">
        <f>IF('Suppl'!B64=2,"Le vecteur n'est pas utilisé","")</f>
      </c>
      <c r="H3" s="509"/>
      <c r="I3" s="509"/>
      <c r="J3" s="509"/>
      <c r="K3" s="509"/>
      <c r="L3" s="510"/>
      <c r="M3" s="61"/>
      <c r="N3" s="61"/>
      <c r="O3" s="61"/>
      <c r="P3" s="1042"/>
    </row>
    <row r="4" ht="14.4" customHeight="1">
      <c r="A4" s="1039"/>
      <c r="B4" s="61"/>
      <c r="C4" s="61"/>
      <c r="D4" s="61"/>
      <c r="E4" s="61"/>
      <c r="F4" s="61"/>
      <c r="G4" s="61"/>
      <c r="H4" s="61"/>
      <c r="I4" s="61"/>
      <c r="J4" s="61"/>
      <c r="K4" s="61"/>
      <c r="L4" s="61"/>
      <c r="M4" s="61"/>
      <c r="N4" s="61"/>
      <c r="O4" s="61"/>
      <c r="P4" s="1042"/>
    </row>
    <row r="5" ht="25.8" customHeight="1">
      <c r="A5" s="1043"/>
      <c r="B5" s="512"/>
      <c r="C5" t="s" s="513">
        <f>IF(LEFT(RIGHT($B$1,2),1)=" ",RIGHT($B$1,1),RIGHT($B$1,2))</f>
        <v>275</v>
      </c>
      <c r="D5" s="514">
        <f>IF(LEFT(F5,14)="Bonne pratique",D4+1,D4)</f>
        <v>1</v>
      </c>
      <c r="E5" s="515"/>
      <c r="F5" t="s" s="516">
        <v>1762</v>
      </c>
      <c r="G5" s="517"/>
      <c r="H5" s="518"/>
      <c r="I5" s="519"/>
      <c r="J5" t="s" s="520">
        <f>VLOOKUP(E12,'BDD'!$A$2:$N$567,6,FALSE)</f>
        <v>1660</v>
      </c>
      <c r="K5" s="521"/>
      <c r="L5" s="517"/>
      <c r="M5" s="517"/>
      <c r="N5" s="517"/>
      <c r="O5" s="512"/>
      <c r="P5" s="1044"/>
    </row>
    <row r="6" ht="14.4" customHeight="1">
      <c r="A6" s="1039"/>
      <c r="B6" s="61"/>
      <c r="C6" t="s" s="513">
        <f>IF(LEFT(RIGHT($B$1,2),1)=" ",RIGHT($B$1,1),RIGHT($B$1,2))</f>
        <v>275</v>
      </c>
      <c r="D6" s="514">
        <f>IF(LEFT(F6,14)="Bonne pratique",D5+1,D5)</f>
        <v>1</v>
      </c>
      <c r="E6" s="61"/>
      <c r="F6" s="61"/>
      <c r="G6" s="61"/>
      <c r="H6" s="61"/>
      <c r="I6" s="61"/>
      <c r="J6" s="61"/>
      <c r="K6" s="61"/>
      <c r="L6" s="61"/>
      <c r="M6" s="61"/>
      <c r="N6" s="61"/>
      <c r="O6" s="61"/>
      <c r="P6" s="1042"/>
    </row>
    <row r="7" ht="23.4" customHeight="1">
      <c r="A7" s="1045"/>
      <c r="B7" s="524"/>
      <c r="C7" t="s" s="513">
        <f>IF(LEFT(RIGHT($B$1,2),1)=" ",RIGHT($B$1,1),RIGHT($B$1,2))</f>
        <v>275</v>
      </c>
      <c r="D7" s="514">
        <f>IF(LEFT(F7,14)="Bonne pratique",D6+1,D6)</f>
        <v>1</v>
      </c>
      <c r="E7" s="524"/>
      <c r="F7" s="524"/>
      <c r="G7" s="524"/>
      <c r="H7" s="524"/>
      <c r="I7" s="525"/>
      <c r="J7" t="s" s="526">
        <v>1661</v>
      </c>
      <c r="K7" s="525"/>
      <c r="L7" s="524"/>
      <c r="M7" s="524"/>
      <c r="N7" s="524"/>
      <c r="O7" s="524"/>
      <c r="P7" s="1046"/>
    </row>
    <row r="8" ht="18" customHeight="1">
      <c r="A8" s="1039"/>
      <c r="B8" s="61"/>
      <c r="C8" t="s" s="513">
        <f>IF(LEFT(RIGHT($B$1,2),1)=" ",RIGHT($B$1,1),RIGHT($B$1,2))</f>
        <v>275</v>
      </c>
      <c r="D8" s="514">
        <f>IF(LEFT(F8,14)="Bonne pratique",D7+1,D7)</f>
        <v>1</v>
      </c>
      <c r="E8" s="61"/>
      <c r="F8" s="61"/>
      <c r="G8" s="61"/>
      <c r="H8" s="61"/>
      <c r="I8" s="61"/>
      <c r="J8" s="528"/>
      <c r="K8" s="61"/>
      <c r="L8" s="61"/>
      <c r="M8" s="529"/>
      <c r="N8" s="529"/>
      <c r="O8" s="61"/>
      <c r="P8" s="1042"/>
    </row>
    <row r="9" ht="14.4" customHeight="1">
      <c r="A9" s="1039"/>
      <c r="B9" s="61"/>
      <c r="C9" t="s" s="513">
        <f>IF(LEFT(RIGHT($B$1,2),1)=" ",RIGHT($B$1,1),RIGHT($B$1,2))</f>
        <v>275</v>
      </c>
      <c r="D9" s="514">
        <f>IF(LEFT(F9,14)="Bonne pratique",D8+1,D8)</f>
        <v>1</v>
      </c>
      <c r="E9" s="61"/>
      <c r="F9" s="61"/>
      <c r="G9" s="530"/>
      <c r="H9" s="530"/>
      <c r="I9" s="530"/>
      <c r="J9" s="530"/>
      <c r="K9" s="530"/>
      <c r="L9" s="531"/>
      <c r="M9" t="s" s="532">
        <v>1763</v>
      </c>
      <c r="N9" s="533"/>
      <c r="O9" s="534"/>
      <c r="P9" s="1042"/>
    </row>
    <row r="10" ht="33" customHeight="1">
      <c r="A10" s="1039"/>
      <c r="B10" s="61"/>
      <c r="C10" t="s" s="513">
        <f>IF(LEFT(RIGHT($B$1,2),1)=" ",RIGHT($B$1,1),RIGHT($B$1,2))</f>
        <v>275</v>
      </c>
      <c r="D10" s="514">
        <f>IF(LEFT(F10,14)="Bonne pratique",D9+1,D9)</f>
        <v>1</v>
      </c>
      <c r="E10" s="61"/>
      <c r="F10" s="535"/>
      <c r="G10" t="s" s="536">
        <v>244</v>
      </c>
      <c r="H10" t="s" s="536">
        <v>1764</v>
      </c>
      <c r="I10" t="s" s="537">
        <v>245</v>
      </c>
      <c r="J10" t="s" s="536">
        <v>1765</v>
      </c>
      <c r="K10" t="s" s="536">
        <v>246</v>
      </c>
      <c r="L10" s="538"/>
      <c r="M10" t="s" s="539">
        <v>1766</v>
      </c>
      <c r="N10" t="s" s="540">
        <v>1767</v>
      </c>
      <c r="O10" s="534"/>
      <c r="P10" s="1042"/>
    </row>
    <row r="11" ht="14.4" customHeight="1">
      <c r="A11" s="1039"/>
      <c r="B11" s="61"/>
      <c r="C11" t="s" s="513">
        <f>IF(LEFT(RIGHT($B$1,2),1)=" ",RIGHT($B$1,1),RIGHT($B$1,2))</f>
        <v>275</v>
      </c>
      <c r="D11" s="514">
        <f>IF(LEFT(F11,14)="Bonne pratique",D10+1,D10)</f>
        <v>1</v>
      </c>
      <c r="E11" s="61"/>
      <c r="F11" s="529"/>
      <c r="G11" s="541"/>
      <c r="H11" s="541"/>
      <c r="I11" s="541"/>
      <c r="J11" s="541"/>
      <c r="K11" s="541"/>
      <c r="L11" s="61"/>
      <c r="M11" s="541"/>
      <c r="N11" s="541"/>
      <c r="O11" s="61"/>
      <c r="P11" s="1042"/>
    </row>
    <row r="12" ht="130.05" customHeight="1">
      <c r="A12" s="1039"/>
      <c r="B12" s="542"/>
      <c r="C12" t="s" s="543">
        <f>IF(LEFT(RIGHT($B$1,2),1)=" ",RIGHT($B$1,1),RIGHT($B$1,2))</f>
        <v>275</v>
      </c>
      <c r="D12" s="544">
        <f>IF(LEFT(F12,14)="Bonne pratique",D11+1,D11)</f>
        <v>1</v>
      </c>
      <c r="E12" t="s" s="545">
        <f>C12&amp;D12&amp;RIGHT(F12,1)</f>
        <v>2546</v>
      </c>
      <c r="F12" t="s" s="546">
        <v>1769</v>
      </c>
      <c r="G12" t="s" s="547">
        <f>_xlfn.IFERROR(IF(VLOOKUP($E12,'BDD'!$A$1:$S$567,MATCH(G$10,'BDD'!$A$1:$P$1,0),FALSE)=0,"",VLOOKUP($E12,'BDD'!$A$1:$S$567,MATCH(G$10,'BDD'!$A$1:$P$1,0),FALSE)),"")</f>
        <v>1662</v>
      </c>
      <c r="H12" t="s" s="548">
        <f>IF(VLOOKUP(E12,'BDD'!$A$1:$S$567,15,FALSE)=0,"Critère non évalué","")</f>
        <v>1770</v>
      </c>
      <c r="I12" t="s" s="546">
        <f>_xlfn.IFERROR(IF(VLOOKUP($E12,'BDD'!$A$1:$S$567,MATCH(I$10,'BDD'!$A$1:$P$1,0),FALSE)=0,"",VLOOKUP($E12,'BDD'!$A$1:$S$567,MATCH(I$10,'BDD'!$A$1:$P$1,0),FALSE)),"")</f>
        <v>283</v>
      </c>
      <c r="J12" s="549"/>
      <c r="K12" t="s" s="547">
        <f>_xlfn.IFERROR(IF(VLOOKUP($E12,'BDD'!$A$1:$S$567,MATCH(K$10,'BDD'!$A$1:$P$1,0),FALSE)=0,"",VLOOKUP($E12,'BDD'!$A$1:$S$567,MATCH(K$10,'BDD'!$A$1:$P$1,0),FALSE)),"")</f>
      </c>
      <c r="L12" s="550"/>
      <c r="M12" s="551"/>
      <c r="N12" s="551"/>
      <c r="O12" s="534"/>
      <c r="P12" s="1042"/>
    </row>
    <row r="13" ht="130.05" customHeight="1">
      <c r="A13" s="1039"/>
      <c r="B13" s="542"/>
      <c r="C13" t="s" s="543">
        <f>IF(LEFT(RIGHT($B$1,2),1)=" ",RIGHT($B$1,1),RIGHT($B$1,2))</f>
        <v>275</v>
      </c>
      <c r="D13" s="544">
        <f>IF(LEFT(F13,14)="Bonne pratique",D12+1,D12)</f>
        <v>1</v>
      </c>
      <c r="E13" t="s" s="545">
        <f>C13&amp;D13&amp;RIGHT(F13,1)</f>
        <v>2547</v>
      </c>
      <c r="F13" t="s" s="552">
        <v>1772</v>
      </c>
      <c r="G13" t="s" s="540">
        <f>_xlfn.IFERROR(IF(VLOOKUP($E13,'BDD'!$A$1:$S$567,MATCH(G$10,'BDD'!$A$1:$P$1,0),FALSE)=0,"",VLOOKUP($E13,'BDD'!$A$1:$S$567,MATCH(G$10,'BDD'!$A$1:$P$1,0),FALSE)),"")</f>
        <v>1666</v>
      </c>
      <c r="H13" t="s" s="553">
        <f>IF(VLOOKUP(E13,'BDD'!$A$1:$S$567,15,FALSE)=0,"Critère non évalué","")</f>
        <v>1770</v>
      </c>
      <c r="I13" t="s" s="552">
        <f>_xlfn.IFERROR(IF(VLOOKUP($E13,'BDD'!$A$1:$S$567,MATCH(I$10,'BDD'!$A$1:$P$1,0),FALSE)=0,"",VLOOKUP($E13,'BDD'!$A$1:$S$567,MATCH(I$10,'BDD'!$A$1:$P$1,0),FALSE)),"")</f>
        <v>263</v>
      </c>
      <c r="J13" s="554"/>
      <c r="K13" t="s" s="540">
        <f>_xlfn.IFERROR(IF(VLOOKUP($E13,'BDD'!$A$1:$S$567,MATCH(K$10,'BDD'!$A$1:$P$1,0),FALSE)=0,"",VLOOKUP($E13,'BDD'!$A$1:$S$567,MATCH(K$10,'BDD'!$A$1:$P$1,0),FALSE)),"")</f>
      </c>
      <c r="L13" s="550"/>
      <c r="M13" s="555"/>
      <c r="N13" s="555"/>
      <c r="O13" s="534"/>
      <c r="P13" s="1042"/>
    </row>
    <row r="14" ht="130.05" customHeight="1">
      <c r="A14" s="1039"/>
      <c r="B14" s="542"/>
      <c r="C14" t="s" s="543">
        <f>IF(LEFT(RIGHT($B$1,2),1)=" ",RIGHT($B$1,1),RIGHT($B$1,2))</f>
        <v>275</v>
      </c>
      <c r="D14" s="544">
        <f>IF(LEFT(F14,14)="Bonne pratique",D13+1,D13)</f>
        <v>1</v>
      </c>
      <c r="E14" t="s" s="545">
        <f>C14&amp;D14&amp;RIGHT(F14,1)</f>
        <v>2548</v>
      </c>
      <c r="F14" t="s" s="546">
        <v>1774</v>
      </c>
      <c r="G14" t="s" s="547">
        <f>_xlfn.IFERROR(IF(VLOOKUP($E14,'BDD'!$A$1:$S$567,MATCH(G$10,'BDD'!$A$1:$P$1,0),FALSE)=0,"",VLOOKUP($E14,'BDD'!$A$1:$S$567,MATCH(G$10,'BDD'!$A$1:$P$1,0),FALSE)),"")</f>
        <v>1671</v>
      </c>
      <c r="H14" t="s" s="548">
        <f>IF(VLOOKUP(E14,'BDD'!$A$1:$S$567,15,FALSE)=0,"Critère non évalué","")</f>
        <v>1770</v>
      </c>
      <c r="I14" t="s" s="546">
        <f>_xlfn.IFERROR(IF(VLOOKUP($E14,'BDD'!$A$1:$S$567,MATCH(I$10,'BDD'!$A$1:$P$1,0),FALSE)=0,"",VLOOKUP($E14,'BDD'!$A$1:$S$567,MATCH(I$10,'BDD'!$A$1:$P$1,0),FALSE)),"")</f>
        <v>271</v>
      </c>
      <c r="J14" s="549"/>
      <c r="K14" t="s" s="547">
        <f>_xlfn.IFERROR(IF(VLOOKUP($E14,'BDD'!$A$1:$S$567,MATCH(K$10,'BDD'!$A$1:$P$1,0),FALSE)=0,"",VLOOKUP($E14,'BDD'!$A$1:$S$567,MATCH(K$10,'BDD'!$A$1:$P$1,0),FALSE)),"")</f>
      </c>
      <c r="L14" s="550"/>
      <c r="M14" s="551"/>
      <c r="N14" s="551"/>
      <c r="O14" s="534"/>
      <c r="P14" s="1042"/>
    </row>
    <row r="15" ht="130.05" customHeight="1">
      <c r="A15" s="1039"/>
      <c r="B15" s="542"/>
      <c r="C15" t="s" s="543">
        <f>IF(LEFT(RIGHT($B$1,2),1)=" ",RIGHT($B$1,1),RIGHT($B$1,2))</f>
        <v>275</v>
      </c>
      <c r="D15" s="544">
        <f>IF(LEFT(F15,14)="Bonne pratique",D14+1,D14)</f>
        <v>1</v>
      </c>
      <c r="E15" t="s" s="545">
        <f>C15&amp;D15&amp;RIGHT(F15,1)</f>
        <v>2549</v>
      </c>
      <c r="F15" t="s" s="552">
        <v>1776</v>
      </c>
      <c r="G15" t="s" s="540">
        <f>_xlfn.IFERROR(IF(VLOOKUP($E15,'BDD'!$A$1:$S$567,MATCH(G$10,'BDD'!$A$1:$P$1,0),FALSE)=0,"",VLOOKUP($E15,'BDD'!$A$1:$S$567,MATCH(G$10,'BDD'!$A$1:$P$1,0),FALSE)),"")</f>
        <v>1675</v>
      </c>
      <c r="H15" t="s" s="553">
        <f>IF(VLOOKUP(E15,'BDD'!$A$1:$S$567,15,FALSE)=0,"Critère non évalué","")</f>
        <v>1770</v>
      </c>
      <c r="I15" t="s" s="552">
        <f>_xlfn.IFERROR(IF(VLOOKUP($E15,'BDD'!$A$1:$S$567,MATCH(I$10,'BDD'!$A$1:$P$1,0),FALSE)=0,"",VLOOKUP($E15,'BDD'!$A$1:$S$567,MATCH(I$10,'BDD'!$A$1:$P$1,0),FALSE)),"")</f>
        <v>256</v>
      </c>
      <c r="J15" s="556"/>
      <c r="K15" t="s" s="540">
        <f>_xlfn.IFERROR(IF(VLOOKUP($E15,'BDD'!$A$1:$S$567,MATCH(K$10,'BDD'!$A$1:$P$1,0),FALSE)=0,"",VLOOKUP($E15,'BDD'!$A$1:$S$567,MATCH(K$10,'BDD'!$A$1:$P$1,0),FALSE)),"")</f>
        <v>1676</v>
      </c>
      <c r="L15" s="550"/>
      <c r="M15" s="555"/>
      <c r="N15" s="555"/>
      <c r="O15" s="534"/>
      <c r="P15" s="1042"/>
    </row>
    <row r="16" ht="130.05" customHeight="1">
      <c r="A16" s="1039"/>
      <c r="B16" s="542"/>
      <c r="C16" t="s" s="543">
        <f>IF(LEFT(RIGHT($B$1,2),1)=" ",RIGHT($B$1,1),RIGHT($B$1,2))</f>
        <v>275</v>
      </c>
      <c r="D16" s="544">
        <f>IF(LEFT(F16,14)="Bonne pratique",D15+1,D15)</f>
        <v>1</v>
      </c>
      <c r="E16" t="s" s="545">
        <f>C16&amp;D16&amp;RIGHT(F16,1)</f>
        <v>2550</v>
      </c>
      <c r="F16" t="s" s="546">
        <v>1778</v>
      </c>
      <c r="G16" t="s" s="547">
        <f>_xlfn.IFERROR(IF(VLOOKUP($E16,'BDD'!$A$1:$S$567,MATCH(G$10,'BDD'!$A$1:$P$1,0),FALSE)=0,"",VLOOKUP($E16,'BDD'!$A$1:$S$567,MATCH(G$10,'BDD'!$A$1:$P$1,0),FALSE)),"")</f>
        <v>1679</v>
      </c>
      <c r="H16" t="s" s="548">
        <f>IF(VLOOKUP(E16,'BDD'!$A$1:$S$567,15,FALSE)=0,"Critère non évalué","")</f>
        <v>1770</v>
      </c>
      <c r="I16" t="s" s="546">
        <f>_xlfn.IFERROR(IF(VLOOKUP($E16,'BDD'!$A$1:$S$567,MATCH(I$10,'BDD'!$A$1:$P$1,0),FALSE)=0,"",VLOOKUP($E16,'BDD'!$A$1:$S$567,MATCH(I$10,'BDD'!$A$1:$P$1,0),FALSE)),"")</f>
        <v>263</v>
      </c>
      <c r="J16" s="549"/>
      <c r="K16" t="s" s="547">
        <f>_xlfn.IFERROR(IF(VLOOKUP($E16,'BDD'!$A$1:$S$567,MATCH(K$10,'BDD'!$A$1:$P$1,0),FALSE)=0,"",VLOOKUP($E16,'BDD'!$A$1:$S$567,MATCH(K$10,'BDD'!$A$1:$P$1,0),FALSE)),"")</f>
        <v>1680</v>
      </c>
      <c r="L16" s="550"/>
      <c r="M16" s="557"/>
      <c r="N16" s="557"/>
      <c r="O16" s="534"/>
      <c r="P16" s="1042"/>
    </row>
    <row r="17" ht="130.05" customHeight="1">
      <c r="A17" s="1039"/>
      <c r="B17" s="542"/>
      <c r="C17" t="s" s="543">
        <f>IF(LEFT(RIGHT($B$1,2),1)=" ",RIGHT($B$1,1),RIGHT($B$1,2))</f>
        <v>275</v>
      </c>
      <c r="D17" s="544">
        <f>IF(LEFT(F17,14)="Bonne pratique",D16+1,D16)</f>
        <v>1</v>
      </c>
      <c r="E17" t="s" s="545">
        <f>C17&amp;D17&amp;RIGHT(F17,1)</f>
        <v>2551</v>
      </c>
      <c r="F17" t="s" s="552">
        <v>1780</v>
      </c>
      <c r="G17" t="s" s="540">
        <f>_xlfn.IFERROR(IF(VLOOKUP($E17,'BDD'!$A$1:$S$567,MATCH(G$10,'BDD'!$A$1:$P$1,0),FALSE)=0,"",VLOOKUP($E17,'BDD'!$A$1:$S$567,MATCH(G$10,'BDD'!$A$1:$P$1,0),FALSE)),"")</f>
        <v>1683</v>
      </c>
      <c r="H17" t="s" s="553">
        <f>IF(VLOOKUP(E17,'BDD'!$A$1:$S$567,15,FALSE)=0,"Critère non évalué","")</f>
        <v>1770</v>
      </c>
      <c r="I17" t="s" s="552">
        <f>_xlfn.IFERROR(IF(VLOOKUP($E17,'BDD'!$A$1:$S$567,MATCH(I$10,'BDD'!$A$1:$P$1,0),FALSE)=0,"",VLOOKUP($E17,'BDD'!$A$1:$S$567,MATCH(I$10,'BDD'!$A$1:$P$1,0),FALSE)),"")</f>
        <v>291</v>
      </c>
      <c r="J17" s="554"/>
      <c r="K17" t="s" s="540">
        <f>_xlfn.IFERROR(IF(VLOOKUP($E17,'BDD'!$A$1:$S$567,MATCH(K$10,'BDD'!$A$1:$P$1,0),FALSE)=0,"",VLOOKUP($E17,'BDD'!$A$1:$S$567,MATCH(K$10,'BDD'!$A$1:$P$1,0),FALSE)),"")</f>
      </c>
      <c r="L17" s="550"/>
      <c r="M17" s="555"/>
      <c r="N17" s="555"/>
      <c r="O17" s="534"/>
      <c r="P17" s="1042"/>
    </row>
    <row r="18" ht="130.05" customHeight="1" hidden="1">
      <c r="A18" s="1039"/>
      <c r="B18" s="542"/>
      <c r="C18" t="s" s="543">
        <f>IF(LEFT(RIGHT($B$1,2),1)=" ",RIGHT($B$1,1),RIGHT($B$1,2))</f>
        <v>275</v>
      </c>
      <c r="D18" s="544">
        <f>IF(LEFT(F18,14)="Bonne pratique",D17+1,D17)</f>
        <v>1</v>
      </c>
      <c r="E18" t="s" s="545">
        <f>C18&amp;D18&amp;RIGHT(F18,1)</f>
        <v>2552</v>
      </c>
      <c r="F18" t="s" s="546">
        <v>1782</v>
      </c>
      <c r="G18" t="s" s="547">
        <f>_xlfn.IFERROR(IF(VLOOKUP($E18,'BDD'!$A$1:$S$567,MATCH(G$10,'BDD'!$A$1:$P$1,0),FALSE)=0,"",VLOOKUP($E18,'BDD'!$A$1:$S$567,MATCH(G$10,'BDD'!$A$1:$P$1,0),FALSE)),"")</f>
      </c>
      <c r="H18" t="s" s="548">
        <f>IF(VLOOKUP(E18,'BDD'!$A$1:$S$567,15,FALSE)=0,"Critère non évalué","")</f>
        <v>1770</v>
      </c>
      <c r="I18" t="s" s="546">
        <f>_xlfn.IFERROR(IF(VLOOKUP($E18,'BDD'!$A$1:$S$567,MATCH(I$10,'BDD'!$A$1:$P$1,0),FALSE)=0,"",VLOOKUP($E18,'BDD'!$A$1:$S$567,MATCH(I$10,'BDD'!$A$1:$P$1,0),FALSE)),"")</f>
      </c>
      <c r="J18" s="549"/>
      <c r="K18" t="s" s="547">
        <f>_xlfn.IFERROR(IF(VLOOKUP($E18,'BDD'!$A$1:$S$567,MATCH(K$10,'BDD'!$A$1:$P$1,0),FALSE)=0,"",VLOOKUP($E18,'BDD'!$A$1:$S$567,MATCH(K$10,'BDD'!$A$1:$P$1,0),FALSE)),"")</f>
      </c>
      <c r="L18" s="550"/>
      <c r="M18" s="557"/>
      <c r="N18" s="557"/>
      <c r="O18" s="534"/>
      <c r="P18" s="1042"/>
    </row>
    <row r="19" ht="18" customHeight="1">
      <c r="A19" s="1039"/>
      <c r="B19" s="61"/>
      <c r="C19" t="s" s="513">
        <f>IF(LEFT(RIGHT($B$1,2),1)=" ",RIGHT($B$1,1),RIGHT($B$1,2))</f>
        <v>275</v>
      </c>
      <c r="D19" s="514">
        <f>IF(LEFT(F19,14)="Bonne pratique",D18+1,D18)</f>
        <v>1</v>
      </c>
      <c r="E19" t="s" s="558">
        <f>C19&amp;D19&amp;RIGHT(F19,1)</f>
        <v>1799</v>
      </c>
      <c r="F19" s="559"/>
      <c r="G19" t="s" s="560">
        <f>IF('Suppl'!B80=2,"Le vecteur n'est pas utilisé","")</f>
      </c>
      <c r="H19" s="561"/>
      <c r="I19" s="561"/>
      <c r="J19" s="561"/>
      <c r="K19" s="561"/>
      <c r="L19" s="510"/>
      <c r="M19" s="559"/>
      <c r="N19" s="559"/>
      <c r="O19" s="61"/>
      <c r="P19" s="1042"/>
    </row>
    <row r="20" ht="15" customHeight="1">
      <c r="A20" s="1039"/>
      <c r="B20" s="61"/>
      <c r="C20" t="s" s="513">
        <f>IF(LEFT(RIGHT($B$1,2),1)=" ",RIGHT($B$1,1),RIGHT($B$1,2))</f>
        <v>275</v>
      </c>
      <c r="D20" s="514">
        <f>IF(LEFT(F20,14)="Bonne pratique",D19+1,D19)</f>
        <v>1</v>
      </c>
      <c r="E20" t="s" s="558">
        <f>C20&amp;D20&amp;RIGHT(F20,1)</f>
        <v>1799</v>
      </c>
      <c r="F20" s="61"/>
      <c r="G20" s="61"/>
      <c r="H20" s="61"/>
      <c r="I20" s="61"/>
      <c r="J20" s="61"/>
      <c r="K20" s="61"/>
      <c r="L20" s="61"/>
      <c r="M20" s="61"/>
      <c r="N20" s="61"/>
      <c r="O20" s="61"/>
      <c r="P20" s="1042"/>
    </row>
    <row r="21" ht="30" customHeight="1">
      <c r="A21" s="1043"/>
      <c r="B21" s="512"/>
      <c r="C21" t="s" s="513">
        <f>IF(LEFT(RIGHT($B$1,2),1)=" ",RIGHT($B$1,1),RIGHT($B$1,2))</f>
        <v>275</v>
      </c>
      <c r="D21" s="514">
        <f>IF(LEFT(F21,14)="Bonne pratique",D20+1,D20)</f>
        <v>2</v>
      </c>
      <c r="E21" t="s" s="558">
        <f>C21&amp;D21&amp;RIGHT(F21,1)</f>
        <v>2553</v>
      </c>
      <c r="F21" t="s" s="516">
        <v>1785</v>
      </c>
      <c r="G21" s="517"/>
      <c r="H21" s="518"/>
      <c r="I21" s="519"/>
      <c r="J21" t="s" s="520">
        <f>VLOOKUP(E28,'BDD'!$A$2:$N$567,6,FALSE)</f>
        <v>1685</v>
      </c>
      <c r="K21" s="521"/>
      <c r="L21" s="517"/>
      <c r="M21" s="517"/>
      <c r="N21" s="517"/>
      <c r="O21" s="512"/>
      <c r="P21" s="1044"/>
    </row>
    <row r="22" ht="15" customHeight="1">
      <c r="A22" s="1039"/>
      <c r="B22" s="61"/>
      <c r="C22" t="s" s="513">
        <f>IF(LEFT(RIGHT($B$1,2),1)=" ",RIGHT($B$1,1),RIGHT($B$1,2))</f>
        <v>275</v>
      </c>
      <c r="D22" s="514">
        <f>IF(LEFT(F22,14)="Bonne pratique",D21+1,D21)</f>
        <v>2</v>
      </c>
      <c r="E22" t="s" s="558">
        <f>C22&amp;D22&amp;RIGHT(F22,1)</f>
        <v>1800</v>
      </c>
      <c r="F22" s="61"/>
      <c r="G22" s="61"/>
      <c r="H22" s="61"/>
      <c r="I22" s="61"/>
      <c r="J22" s="61"/>
      <c r="K22" s="61"/>
      <c r="L22" s="61"/>
      <c r="M22" s="61"/>
      <c r="N22" s="61"/>
      <c r="O22" s="61"/>
      <c r="P22" s="1042"/>
    </row>
    <row r="23" ht="18" customHeight="1">
      <c r="A23" s="1045"/>
      <c r="B23" s="524"/>
      <c r="C23" t="s" s="513">
        <f>IF(LEFT(RIGHT($B$1,2),1)=" ",RIGHT($B$1,1),RIGHT($B$1,2))</f>
        <v>275</v>
      </c>
      <c r="D23" s="514">
        <f>IF(LEFT(F23,14)="Bonne pratique",D22+1,D22)</f>
        <v>2</v>
      </c>
      <c r="E23" t="s" s="558">
        <f>C23&amp;D23&amp;RIGHT(F23,1)</f>
        <v>1800</v>
      </c>
      <c r="F23" s="524"/>
      <c r="G23" s="524"/>
      <c r="H23" s="524"/>
      <c r="I23" s="525"/>
      <c r="J23" t="s" s="526">
        <v>1686</v>
      </c>
      <c r="K23" s="525"/>
      <c r="L23" s="524"/>
      <c r="M23" s="524"/>
      <c r="N23" s="524"/>
      <c r="O23" s="524"/>
      <c r="P23" s="1046"/>
    </row>
    <row r="24" ht="18" customHeight="1">
      <c r="A24" s="1039"/>
      <c r="B24" s="61"/>
      <c r="C24" t="s" s="513">
        <f>IF(LEFT(RIGHT($B$1,2),1)=" ",RIGHT($B$1,1),RIGHT($B$1,2))</f>
        <v>275</v>
      </c>
      <c r="D24" s="514">
        <f>IF(LEFT(F24,14)="Bonne pratique",D23+1,D23)</f>
        <v>2</v>
      </c>
      <c r="E24" t="s" s="558">
        <f>C24&amp;D24&amp;RIGHT(F24,1)</f>
        <v>1800</v>
      </c>
      <c r="F24" s="61"/>
      <c r="G24" s="61"/>
      <c r="H24" s="61"/>
      <c r="I24" s="61"/>
      <c r="J24" s="528"/>
      <c r="K24" s="61"/>
      <c r="L24" s="61"/>
      <c r="M24" s="529"/>
      <c r="N24" s="529"/>
      <c r="O24" s="61"/>
      <c r="P24" s="1042"/>
    </row>
    <row r="25" ht="15" customHeight="1">
      <c r="A25" s="1039"/>
      <c r="B25" s="61"/>
      <c r="C25" t="s" s="513">
        <f>IF(LEFT(RIGHT($B$1,2),1)=" ",RIGHT($B$1,1),RIGHT($B$1,2))</f>
        <v>275</v>
      </c>
      <c r="D25" s="514">
        <f>IF(LEFT(F25,14)="Bonne pratique",D24+1,D24)</f>
        <v>2</v>
      </c>
      <c r="E25" t="s" s="558">
        <f>C25&amp;D25&amp;RIGHT(F25,1)</f>
        <v>1800</v>
      </c>
      <c r="F25" s="61"/>
      <c r="G25" s="529"/>
      <c r="H25" s="529"/>
      <c r="I25" s="529"/>
      <c r="J25" s="530"/>
      <c r="K25" s="529"/>
      <c r="L25" s="542"/>
      <c r="M25" t="s" s="562">
        <v>1763</v>
      </c>
      <c r="N25" s="563"/>
      <c r="O25" s="534"/>
      <c r="P25" s="1042"/>
    </row>
    <row r="26" ht="33" customHeight="1">
      <c r="A26" s="1039"/>
      <c r="B26" s="61"/>
      <c r="C26" t="s" s="513">
        <f>IF(LEFT(RIGHT($B$1,2),1)=" ",RIGHT($B$1,1),RIGHT($B$1,2))</f>
        <v>275</v>
      </c>
      <c r="D26" s="514">
        <f>IF(LEFT(F26,14)="Bonne pratique",D25+1,D25)</f>
        <v>2</v>
      </c>
      <c r="E26" t="s" s="558">
        <f>C26&amp;D26&amp;RIGHT(F26,1)</f>
        <v>1800</v>
      </c>
      <c r="F26" s="564"/>
      <c r="G26" t="s" s="536">
        <v>244</v>
      </c>
      <c r="H26" t="s" s="536">
        <v>1764</v>
      </c>
      <c r="I26" t="s" s="536">
        <v>1787</v>
      </c>
      <c r="J26" t="s" s="536">
        <v>1765</v>
      </c>
      <c r="K26" t="s" s="536">
        <v>1788</v>
      </c>
      <c r="L26" s="538"/>
      <c r="M26" t="s" s="539">
        <v>1766</v>
      </c>
      <c r="N26" t="s" s="540">
        <v>1767</v>
      </c>
      <c r="O26" s="534"/>
      <c r="P26" s="1042"/>
    </row>
    <row r="27" ht="15" customHeight="1">
      <c r="A27" s="1039"/>
      <c r="B27" s="61"/>
      <c r="C27" t="s" s="513">
        <f>IF(LEFT(RIGHT($B$1,2),1)=" ",RIGHT($B$1,1),RIGHT($B$1,2))</f>
        <v>275</v>
      </c>
      <c r="D27" s="514">
        <f>IF(LEFT(F27,14)="Bonne pratique",D26+1,D26)</f>
        <v>2</v>
      </c>
      <c r="E27" t="s" s="558">
        <f>C27&amp;D27&amp;RIGHT(F27,1)</f>
        <v>1800</v>
      </c>
      <c r="F27" s="529"/>
      <c r="G27" s="541"/>
      <c r="H27" s="541"/>
      <c r="I27" s="541"/>
      <c r="J27" s="541"/>
      <c r="K27" s="541"/>
      <c r="L27" s="61"/>
      <c r="M27" s="541"/>
      <c r="N27" s="541"/>
      <c r="O27" s="61"/>
      <c r="P27" s="1042"/>
    </row>
    <row r="28" ht="130.05" customHeight="1">
      <c r="A28" s="1039"/>
      <c r="B28" s="542"/>
      <c r="C28" t="s" s="543">
        <f>IF(LEFT(RIGHT($B$1,2),1)=" ",RIGHT($B$1,1),RIGHT($B$1,2))</f>
        <v>275</v>
      </c>
      <c r="D28" s="544">
        <f>IF(LEFT(F28,14)="Bonne pratique",D27+1,D27)</f>
        <v>2</v>
      </c>
      <c r="E28" t="s" s="545">
        <f>C28&amp;D28&amp;RIGHT(F28,1)</f>
        <v>2554</v>
      </c>
      <c r="F28" t="s" s="546">
        <v>1769</v>
      </c>
      <c r="G28" t="s" s="547">
        <f>_xlfn.IFERROR(IF(VLOOKUP($E28,'BDD'!$A$1:$S$567,MATCH(G$10,'BDD'!$A$1:$P$1,0),FALSE)=0,"",VLOOKUP($E28,'BDD'!$A$1:$S$567,MATCH(G$10,'BDD'!$A$1:$P$1,0),FALSE)),"")</f>
        <v>1688</v>
      </c>
      <c r="H28" t="s" s="548">
        <f>IF(VLOOKUP(E28,'BDD'!$A$1:$S$567,15,FALSE)=0,"Critère non évalué","")</f>
        <v>1770</v>
      </c>
      <c r="I28" t="s" s="546">
        <f>_xlfn.IFERROR(IF(VLOOKUP($E28,'BDD'!$A$1:$S$567,MATCH(I$10,'BDD'!$A$1:$P$1,0),FALSE)=0,"",VLOOKUP($E28,'BDD'!$A$1:$S$567,MATCH(I$10,'BDD'!$A$1:$P$1,0),FALSE)),"")</f>
        <v>271</v>
      </c>
      <c r="J28" s="549"/>
      <c r="K28" t="s" s="547">
        <f>_xlfn.IFERROR(IF(VLOOKUP($E28,'BDD'!$A$1:$S$567,MATCH(K$10,'BDD'!$A$1:$P$1,0),FALSE)=0,"",VLOOKUP($E28,'BDD'!$A$1:$S$567,MATCH(K$10,'BDD'!$A$1:$P$1,0),FALSE)),"")</f>
        <v>1689</v>
      </c>
      <c r="L28" s="550"/>
      <c r="M28" s="551"/>
      <c r="N28" s="551"/>
      <c r="O28" s="534"/>
      <c r="P28" s="1042"/>
    </row>
    <row r="29" ht="139.8" customHeight="1">
      <c r="A29" s="1039"/>
      <c r="B29" s="542"/>
      <c r="C29" t="s" s="543">
        <f>IF(LEFT(RIGHT($B$1,2),1)=" ",RIGHT($B$1,1),RIGHT($B$1,2))</f>
        <v>275</v>
      </c>
      <c r="D29" s="544">
        <f>IF(LEFT(F29,14)="Bonne pratique",D28+1,D28)</f>
        <v>2</v>
      </c>
      <c r="E29" t="s" s="545">
        <f>C29&amp;D29&amp;RIGHT(F29,1)</f>
        <v>2553</v>
      </c>
      <c r="F29" t="s" s="552">
        <v>1772</v>
      </c>
      <c r="G29" t="s" s="540">
        <f>_xlfn.IFERROR(IF(VLOOKUP($E29,'BDD'!$A$1:$S$567,MATCH(G$10,'BDD'!$A$1:$P$1,0),FALSE)=0,"",VLOOKUP($E29,'BDD'!$A$1:$S$567,MATCH(G$10,'BDD'!$A$1:$P$1,0),FALSE)),"")</f>
        <v>1691</v>
      </c>
      <c r="H29" t="s" s="553">
        <f>IF(VLOOKUP(E29,'BDD'!$A$1:$S$567,15,FALSE)=0,"Critère non évalué","")</f>
        <v>1770</v>
      </c>
      <c r="I29" t="s" s="552">
        <f>_xlfn.IFERROR(IF(VLOOKUP($E29,'BDD'!$A$1:$S$567,MATCH(I$10,'BDD'!$A$1:$P$1,0),FALSE)=0,"",VLOOKUP($E29,'BDD'!$A$1:$S$567,MATCH(I$10,'BDD'!$A$1:$P$1,0),FALSE)),"")</f>
        <v>271</v>
      </c>
      <c r="J29" s="554"/>
      <c r="K29" t="s" s="540">
        <f>_xlfn.IFERROR(IF(VLOOKUP($E29,'BDD'!$A$1:$S$567,MATCH(K$10,'BDD'!$A$1:$P$1,0),FALSE)=0,"",VLOOKUP($E29,'BDD'!$A$1:$S$567,MATCH(K$10,'BDD'!$A$1:$P$1,0),FALSE)),"")</f>
        <v>1692</v>
      </c>
      <c r="L29" s="550"/>
      <c r="M29" s="555"/>
      <c r="N29" s="555"/>
      <c r="O29" s="534"/>
      <c r="P29" s="1042"/>
    </row>
    <row r="30" ht="130.05" customHeight="1">
      <c r="A30" s="1039"/>
      <c r="B30" s="542"/>
      <c r="C30" t="s" s="543">
        <f>IF(LEFT(RIGHT($B$1,2),1)=" ",RIGHT($B$1,1),RIGHT($B$1,2))</f>
        <v>275</v>
      </c>
      <c r="D30" s="544">
        <f>IF(LEFT(F30,14)="Bonne pratique",D29+1,D29)</f>
        <v>2</v>
      </c>
      <c r="E30" t="s" s="545">
        <f>C30&amp;D30&amp;RIGHT(F30,1)</f>
        <v>2555</v>
      </c>
      <c r="F30" t="s" s="546">
        <v>1774</v>
      </c>
      <c r="G30" t="s" s="547">
        <f>_xlfn.IFERROR(IF(VLOOKUP($E30,'BDD'!$A$1:$S$567,MATCH(G$10,'BDD'!$A$1:$P$1,0),FALSE)=0,"",VLOOKUP($E30,'BDD'!$A$1:$S$567,MATCH(G$10,'BDD'!$A$1:$P$1,0),FALSE)),"")</f>
        <v>1694</v>
      </c>
      <c r="H30" t="s" s="548">
        <f>IF(VLOOKUP(E30,'BDD'!$A$1:$S$567,15,FALSE)=0,"Critère non évalué","")</f>
        <v>1770</v>
      </c>
      <c r="I30" t="s" s="546">
        <f>_xlfn.IFERROR(IF(VLOOKUP($E30,'BDD'!$A$1:$S$567,MATCH(I$10,'BDD'!$A$1:$P$1,0),FALSE)=0,"",VLOOKUP($E30,'BDD'!$A$1:$S$567,MATCH(I$10,'BDD'!$A$1:$P$1,0),FALSE)),"")</f>
        <v>291</v>
      </c>
      <c r="J30" s="549"/>
      <c r="K30" t="s" s="547">
        <f>_xlfn.IFERROR(IF(VLOOKUP($E30,'BDD'!$A$1:$S$567,MATCH(K$10,'BDD'!$A$1:$P$1,0),FALSE)=0,"",VLOOKUP($E30,'BDD'!$A$1:$S$567,MATCH(K$10,'BDD'!$A$1:$P$1,0),FALSE)),"")</f>
        <v>1695</v>
      </c>
      <c r="L30" s="550"/>
      <c r="M30" s="551"/>
      <c r="N30" s="551"/>
      <c r="O30" s="534"/>
      <c r="P30" s="1042"/>
    </row>
    <row r="31" ht="168.6" customHeight="1">
      <c r="A31" s="1039"/>
      <c r="B31" s="542"/>
      <c r="C31" t="s" s="543">
        <f>IF(LEFT(RIGHT($B$1,2),1)=" ",RIGHT($B$1,1),RIGHT($B$1,2))</f>
        <v>275</v>
      </c>
      <c r="D31" s="544">
        <f>IF(LEFT(F31,14)="Bonne pratique",D30+1,D30)</f>
        <v>2</v>
      </c>
      <c r="E31" t="s" s="545">
        <f>C31&amp;D31&amp;RIGHT(F31,1)</f>
        <v>2556</v>
      </c>
      <c r="F31" t="s" s="552">
        <v>1776</v>
      </c>
      <c r="G31" t="s" s="540">
        <f>_xlfn.IFERROR(IF(VLOOKUP($E31,'BDD'!$A$1:$S$567,MATCH(G$10,'BDD'!$A$1:$P$1,0),FALSE)=0,"",VLOOKUP($E31,'BDD'!$A$1:$S$567,MATCH(G$10,'BDD'!$A$1:$P$1,0),FALSE)),"")</f>
        <v>1697</v>
      </c>
      <c r="H31" t="s" s="553">
        <f>IF(VLOOKUP(E31,'BDD'!$A$1:$S$567,15,FALSE)=0,"Critère non évalué","")</f>
        <v>1770</v>
      </c>
      <c r="I31" t="s" s="552">
        <f>_xlfn.IFERROR(IF(VLOOKUP($E31,'BDD'!$A$1:$S$567,MATCH(I$10,'BDD'!$A$1:$P$1,0),FALSE)=0,"",VLOOKUP($E31,'BDD'!$A$1:$S$567,MATCH(I$10,'BDD'!$A$1:$P$1,0),FALSE)),"")</f>
        <v>256</v>
      </c>
      <c r="J31" s="556"/>
      <c r="K31" t="s" s="540">
        <f>_xlfn.IFERROR(IF(VLOOKUP($E31,'BDD'!$A$1:$S$567,MATCH(K$10,'BDD'!$A$1:$P$1,0),FALSE)=0,"",VLOOKUP($E31,'BDD'!$A$1:$S$567,MATCH(K$10,'BDD'!$A$1:$P$1,0),FALSE)),"")</f>
        <v>1698</v>
      </c>
      <c r="L31" s="550"/>
      <c r="M31" s="555"/>
      <c r="N31" s="555"/>
      <c r="O31" s="534"/>
      <c r="P31" s="1042"/>
    </row>
    <row r="32" ht="130.05" customHeight="1">
      <c r="A32" s="1039"/>
      <c r="B32" s="542"/>
      <c r="C32" t="s" s="543">
        <f>IF(LEFT(RIGHT($B$1,2),1)=" ",RIGHT($B$1,1),RIGHT($B$1,2))</f>
        <v>275</v>
      </c>
      <c r="D32" s="544">
        <f>IF(LEFT(F32,14)="Bonne pratique",D31+1,D31)</f>
        <v>2</v>
      </c>
      <c r="E32" t="s" s="545">
        <f>C32&amp;D32&amp;RIGHT(F32,1)</f>
        <v>2557</v>
      </c>
      <c r="F32" t="s" s="546">
        <v>1778</v>
      </c>
      <c r="G32" t="s" s="547">
        <f>_xlfn.IFERROR(IF(VLOOKUP($E32,'BDD'!$A$1:$S$567,MATCH(G$10,'BDD'!$A$1:$P$1,0),FALSE)=0,"",VLOOKUP($E32,'BDD'!$A$1:$S$567,MATCH(G$10,'BDD'!$A$1:$P$1,0),FALSE)),"")</f>
        <v>1700</v>
      </c>
      <c r="H32" t="s" s="548">
        <f>IF(VLOOKUP(E32,'BDD'!$A$1:$S$567,15,FALSE)=0,"Critère non évalué","")</f>
        <v>1770</v>
      </c>
      <c r="I32" t="s" s="546">
        <f>_xlfn.IFERROR(IF(VLOOKUP($E32,'BDD'!$A$1:$S$567,MATCH(I$10,'BDD'!$A$1:$P$1,0),FALSE)=0,"",VLOOKUP($E32,'BDD'!$A$1:$S$567,MATCH(I$10,'BDD'!$A$1:$P$1,0),FALSE)),"")</f>
        <v>291</v>
      </c>
      <c r="J32" s="549"/>
      <c r="K32" t="s" s="547">
        <f>_xlfn.IFERROR(IF(VLOOKUP($E32,'BDD'!$A$1:$S$567,MATCH(K$10,'BDD'!$A$1:$P$1,0),FALSE)=0,"",VLOOKUP($E32,'BDD'!$A$1:$S$567,MATCH(K$10,'BDD'!$A$1:$P$1,0),FALSE)),"")</f>
        <v>1701</v>
      </c>
      <c r="L32" s="550"/>
      <c r="M32" s="557"/>
      <c r="N32" s="557"/>
      <c r="O32" s="534"/>
      <c r="P32" s="1042"/>
    </row>
    <row r="33" ht="130.05" customHeight="1" hidden="1">
      <c r="A33" s="1039"/>
      <c r="B33" s="542"/>
      <c r="C33" t="s" s="543">
        <f>IF(LEFT(RIGHT($B$1,2),1)=" ",RIGHT($B$1,1),RIGHT($B$1,2))</f>
        <v>275</v>
      </c>
      <c r="D33" s="544">
        <f>IF(LEFT(F33,14)="Bonne pratique",D32+1,D32)</f>
        <v>2</v>
      </c>
      <c r="E33" t="s" s="545">
        <f>C33&amp;D33&amp;RIGHT(F33,1)</f>
        <v>2558</v>
      </c>
      <c r="F33" t="s" s="552">
        <v>1780</v>
      </c>
      <c r="G33" t="s" s="540">
        <f>_xlfn.IFERROR(IF(VLOOKUP($E33,'BDD'!$A$1:$S$567,MATCH(G$10,'BDD'!$A$1:$P$1,0),FALSE)=0,"",VLOOKUP($E33,'BDD'!$A$1:$S$567,MATCH(G$10,'BDD'!$A$1:$P$1,0),FALSE)),"")</f>
      </c>
      <c r="H33" t="s" s="553">
        <f>IF(VLOOKUP(E33,'BDD'!$A$1:$S$567,15,FALSE)=0,"Critère non évalué","")</f>
        <v>1770</v>
      </c>
      <c r="I33" t="s" s="552">
        <f>_xlfn.IFERROR(IF(VLOOKUP($E33,'BDD'!$A$1:$S$567,MATCH(I$10,'BDD'!$A$1:$P$1,0),FALSE)=0,"",VLOOKUP($E33,'BDD'!$A$1:$S$567,MATCH(I$10,'BDD'!$A$1:$P$1,0),FALSE)),"")</f>
      </c>
      <c r="J33" s="554"/>
      <c r="K33" t="s" s="540">
        <f>_xlfn.IFERROR(IF(VLOOKUP($E33,'BDD'!$A$1:$S$567,MATCH(K$10,'BDD'!$A$1:$P$1,0),FALSE)=0,"",VLOOKUP($E33,'BDD'!$A$1:$S$567,MATCH(K$10,'BDD'!$A$1:$P$1,0),FALSE)),"")</f>
      </c>
      <c r="L33" s="550"/>
      <c r="M33" s="555"/>
      <c r="N33" s="555"/>
      <c r="O33" s="534"/>
      <c r="P33" s="1042"/>
    </row>
    <row r="34" ht="130.05" customHeight="1" hidden="1">
      <c r="A34" s="1039"/>
      <c r="B34" s="542"/>
      <c r="C34" t="s" s="543">
        <f>IF(LEFT(RIGHT($B$1,2),1)=" ",RIGHT($B$1,1),RIGHT($B$1,2))</f>
        <v>275</v>
      </c>
      <c r="D34" s="544">
        <f>IF(LEFT(F34,14)="Bonne pratique",D33+1,D33)</f>
        <v>2</v>
      </c>
      <c r="E34" t="s" s="545">
        <f>C34&amp;D34&amp;RIGHT(F34,1)</f>
        <v>2559</v>
      </c>
      <c r="F34" t="s" s="546">
        <v>1782</v>
      </c>
      <c r="G34" t="s" s="547">
        <f>_xlfn.IFERROR(IF(VLOOKUP($E34,'BDD'!$A$1:$S$567,MATCH(G$10,'BDD'!$A$1:$P$1,0),FALSE)=0,"",VLOOKUP($E34,'BDD'!$A$1:$S$567,MATCH(G$10,'BDD'!$A$1:$P$1,0),FALSE)),"")</f>
      </c>
      <c r="H34" t="s" s="548">
        <f>IF(VLOOKUP(E34,'BDD'!$A$1:$S$567,15,FALSE)=0,"Critère non évalué","")</f>
        <v>1770</v>
      </c>
      <c r="I34" t="s" s="546">
        <f>_xlfn.IFERROR(IF(VLOOKUP($E34,'BDD'!$A$1:$S$567,MATCH(I$10,'BDD'!$A$1:$P$1,0),FALSE)=0,"",VLOOKUP($E34,'BDD'!$A$1:$S$567,MATCH(I$10,'BDD'!$A$1:$P$1,0),FALSE)),"")</f>
      </c>
      <c r="J34" s="549"/>
      <c r="K34" t="s" s="547">
        <f>_xlfn.IFERROR(IF(VLOOKUP($E34,'BDD'!$A$1:$S$567,MATCH(K$10,'BDD'!$A$1:$P$1,0),FALSE)=0,"",VLOOKUP($E34,'BDD'!$A$1:$S$567,MATCH(K$10,'BDD'!$A$1:$P$1,0),FALSE)),"")</f>
      </c>
      <c r="L34" s="550"/>
      <c r="M34" s="557"/>
      <c r="N34" s="557"/>
      <c r="O34" s="534"/>
      <c r="P34" s="1042"/>
    </row>
    <row r="35" ht="18" customHeight="1">
      <c r="A35" s="1039"/>
      <c r="B35" s="61"/>
      <c r="C35" t="s" s="513">
        <f>IF(LEFT(RIGHT($B$1,2),1)=" ",RIGHT($B$1,1),RIGHT($B$1,2))</f>
        <v>275</v>
      </c>
      <c r="D35" s="514">
        <f>IF(LEFT(F35,14)="Bonne pratique",D34+1,D34)</f>
        <v>2</v>
      </c>
      <c r="E35" t="s" s="558">
        <f>C35&amp;D35&amp;RIGHT(F35,1)</f>
        <v>1800</v>
      </c>
      <c r="F35" s="559"/>
      <c r="G35" t="s" s="560">
        <f>IF('Suppl'!B96=2,"Le vecteur n'est pas utilisé","")</f>
      </c>
      <c r="H35" s="561"/>
      <c r="I35" s="559"/>
      <c r="J35" s="561"/>
      <c r="K35" s="561"/>
      <c r="L35" s="510"/>
      <c r="M35" s="559"/>
      <c r="N35" s="559"/>
      <c r="O35" s="61"/>
      <c r="P35" s="1042"/>
    </row>
    <row r="36" ht="15" customHeight="1">
      <c r="A36" s="1039"/>
      <c r="B36" s="61"/>
      <c r="C36" t="s" s="513">
        <f>IF(LEFT(RIGHT($B$1,2),1)=" ",RIGHT($B$1,1),RIGHT($B$1,2))</f>
        <v>275</v>
      </c>
      <c r="D36" s="514">
        <f>IF(LEFT(F36,14)="Bonne pratique",D35+1,D35)</f>
        <v>2</v>
      </c>
      <c r="E36" t="s" s="558">
        <f>C36&amp;D36&amp;RIGHT(F36,1)</f>
        <v>1800</v>
      </c>
      <c r="F36" s="61"/>
      <c r="G36" s="61"/>
      <c r="H36" s="61"/>
      <c r="I36" s="61"/>
      <c r="J36" s="61"/>
      <c r="K36" s="61"/>
      <c r="L36" s="61"/>
      <c r="M36" s="61"/>
      <c r="N36" s="61"/>
      <c r="O36" s="61"/>
      <c r="P36" s="1042"/>
    </row>
    <row r="37" ht="30" customHeight="1">
      <c r="A37" s="1043"/>
      <c r="B37" s="512"/>
      <c r="C37" t="s" s="513">
        <f>IF(LEFT(RIGHT($B$1,2),1)=" ",RIGHT($B$1,1),RIGHT($B$1,2))</f>
        <v>275</v>
      </c>
      <c r="D37" s="514">
        <f>IF(LEFT(F37,14)="Bonne pratique",D36+1,D36)</f>
        <v>3</v>
      </c>
      <c r="E37" t="s" s="558">
        <f>C37&amp;D37&amp;RIGHT(F37,1)</f>
        <v>2560</v>
      </c>
      <c r="F37" t="s" s="516">
        <v>1797</v>
      </c>
      <c r="G37" s="517"/>
      <c r="H37" s="518"/>
      <c r="I37" s="519"/>
      <c r="J37" t="s" s="520">
        <f>VLOOKUP(E44,'BDD'!$A$2:$N$567,6,FALSE)</f>
        <v>1704</v>
      </c>
      <c r="K37" s="521"/>
      <c r="L37" s="517"/>
      <c r="M37" s="517"/>
      <c r="N37" s="517"/>
      <c r="O37" s="512"/>
      <c r="P37" s="1044"/>
    </row>
    <row r="38" ht="15" customHeight="1">
      <c r="A38" s="1039"/>
      <c r="B38" s="61"/>
      <c r="C38" t="s" s="513">
        <f>IF(LEFT(RIGHT($B$1,2),1)=" ",RIGHT($B$1,1),RIGHT($B$1,2))</f>
        <v>275</v>
      </c>
      <c r="D38" s="514">
        <f>IF(LEFT(F38,14)="Bonne pratique",D37+1,D37)</f>
        <v>3</v>
      </c>
      <c r="E38" t="s" s="558">
        <f>C38&amp;D38&amp;RIGHT(F38,1)</f>
        <v>1796</v>
      </c>
      <c r="F38" s="61"/>
      <c r="G38" s="61"/>
      <c r="H38" s="61"/>
      <c r="I38" s="61"/>
      <c r="J38" s="61"/>
      <c r="K38" s="61"/>
      <c r="L38" s="61"/>
      <c r="M38" s="61"/>
      <c r="N38" s="61"/>
      <c r="O38" s="61"/>
      <c r="P38" s="1042"/>
    </row>
    <row r="39" ht="18" customHeight="1">
      <c r="A39" s="1045"/>
      <c r="B39" s="524"/>
      <c r="C39" t="s" s="513">
        <f>IF(LEFT(RIGHT($B$1,2),1)=" ",RIGHT($B$1,1),RIGHT($B$1,2))</f>
        <v>275</v>
      </c>
      <c r="D39" s="514">
        <f>IF(LEFT(F39,14)="Bonne pratique",D38+1,D38)</f>
        <v>3</v>
      </c>
      <c r="E39" t="s" s="558">
        <f>C39&amp;D39&amp;RIGHT(F39,1)</f>
        <v>1796</v>
      </c>
      <c r="F39" s="524"/>
      <c r="G39" s="524"/>
      <c r="H39" s="524"/>
      <c r="I39" s="525"/>
      <c r="J39" t="s" s="526">
        <v>1705</v>
      </c>
      <c r="K39" s="525"/>
      <c r="L39" s="524"/>
      <c r="M39" s="524"/>
      <c r="N39" s="524"/>
      <c r="O39" s="524"/>
      <c r="P39" s="1046"/>
    </row>
    <row r="40" ht="18" customHeight="1">
      <c r="A40" s="1039"/>
      <c r="B40" s="61"/>
      <c r="C40" t="s" s="513">
        <f>IF(LEFT(RIGHT($B$1,2),1)=" ",RIGHT($B$1,1),RIGHT($B$1,2))</f>
        <v>275</v>
      </c>
      <c r="D40" s="514">
        <f>IF(LEFT(F40,14)="Bonne pratique",D39+1,D39)</f>
        <v>3</v>
      </c>
      <c r="E40" t="s" s="558">
        <f>C40&amp;D40&amp;RIGHT(F40,1)</f>
        <v>1796</v>
      </c>
      <c r="F40" s="61"/>
      <c r="G40" s="61"/>
      <c r="H40" s="61"/>
      <c r="I40" s="61"/>
      <c r="J40" s="528"/>
      <c r="K40" s="61"/>
      <c r="L40" s="61"/>
      <c r="M40" s="529"/>
      <c r="N40" s="529"/>
      <c r="O40" s="61"/>
      <c r="P40" s="1042"/>
    </row>
    <row r="41" ht="15" customHeight="1">
      <c r="A41" s="1039"/>
      <c r="B41" s="61"/>
      <c r="C41" t="s" s="513">
        <f>IF(LEFT(RIGHT($B$1,2),1)=" ",RIGHT($B$1,1),RIGHT($B$1,2))</f>
        <v>275</v>
      </c>
      <c r="D41" s="514">
        <f>IF(LEFT(F41,14)="Bonne pratique",D40+1,D40)</f>
        <v>3</v>
      </c>
      <c r="E41" t="s" s="558">
        <f>C41&amp;D41&amp;RIGHT(F41,1)</f>
        <v>1796</v>
      </c>
      <c r="F41" s="61"/>
      <c r="G41" s="529"/>
      <c r="H41" s="529"/>
      <c r="I41" s="529"/>
      <c r="J41" s="530"/>
      <c r="K41" s="529"/>
      <c r="L41" s="542"/>
      <c r="M41" t="s" s="562">
        <v>1763</v>
      </c>
      <c r="N41" s="563"/>
      <c r="O41" s="534"/>
      <c r="P41" s="1042"/>
    </row>
    <row r="42" ht="33" customHeight="1">
      <c r="A42" s="1039"/>
      <c r="B42" s="61"/>
      <c r="C42" t="s" s="513">
        <f>IF(LEFT(RIGHT($B$1,2),1)=" ",RIGHT($B$1,1),RIGHT($B$1,2))</f>
        <v>275</v>
      </c>
      <c r="D42" s="514">
        <f>IF(LEFT(F42,14)="Bonne pratique",D41+1,D41)</f>
        <v>3</v>
      </c>
      <c r="E42" t="s" s="558">
        <f>C42&amp;D42&amp;RIGHT(F42,1)</f>
        <v>1796</v>
      </c>
      <c r="F42" s="535"/>
      <c r="G42" t="s" s="536">
        <v>244</v>
      </c>
      <c r="H42" t="s" s="536">
        <v>1764</v>
      </c>
      <c r="I42" t="s" s="536">
        <v>1787</v>
      </c>
      <c r="J42" t="s" s="536">
        <v>1765</v>
      </c>
      <c r="K42" t="s" s="536">
        <v>1788</v>
      </c>
      <c r="L42" s="538"/>
      <c r="M42" t="s" s="539">
        <v>1766</v>
      </c>
      <c r="N42" t="s" s="540">
        <v>1767</v>
      </c>
      <c r="O42" s="534"/>
      <c r="P42" s="1042"/>
    </row>
    <row r="43" ht="15" customHeight="1">
      <c r="A43" s="1039"/>
      <c r="B43" s="61"/>
      <c r="C43" t="s" s="513">
        <f>IF(LEFT(RIGHT($B$1,2),1)=" ",RIGHT($B$1,1),RIGHT($B$1,2))</f>
        <v>275</v>
      </c>
      <c r="D43" s="514">
        <f>IF(LEFT(F43,14)="Bonne pratique",D42+1,D42)</f>
        <v>3</v>
      </c>
      <c r="E43" t="s" s="558">
        <f>C43&amp;D43&amp;RIGHT(F43,1)</f>
        <v>1796</v>
      </c>
      <c r="F43" s="529"/>
      <c r="G43" s="541"/>
      <c r="H43" s="541"/>
      <c r="I43" s="541"/>
      <c r="J43" s="541"/>
      <c r="K43" s="541"/>
      <c r="L43" s="61"/>
      <c r="M43" s="541"/>
      <c r="N43" s="541"/>
      <c r="O43" s="61"/>
      <c r="P43" s="1042"/>
    </row>
    <row r="44" ht="169.2" customHeight="1">
      <c r="A44" s="1039"/>
      <c r="B44" s="542"/>
      <c r="C44" t="s" s="543">
        <f>IF(LEFT(RIGHT($B$1,2),1)=" ",RIGHT($B$1,1),RIGHT($B$1,2))</f>
        <v>275</v>
      </c>
      <c r="D44" s="544">
        <f>IF(LEFT(F44,14)="Bonne pratique",D43+1,D43)</f>
        <v>3</v>
      </c>
      <c r="E44" t="s" s="545">
        <f>C44&amp;D44&amp;RIGHT(F44,1)</f>
        <v>2561</v>
      </c>
      <c r="F44" t="s" s="546">
        <v>1769</v>
      </c>
      <c r="G44" t="s" s="547">
        <f>_xlfn.IFERROR(IF(VLOOKUP($E44,'BDD'!$A$1:$S$567,MATCH(G$10,'BDD'!$A$1:$P$1,0),FALSE)=0,"",VLOOKUP($E44,'BDD'!$A$1:$S$567,MATCH(G$10,'BDD'!$A$1:$P$1,0),FALSE)),"")</f>
        <v>1707</v>
      </c>
      <c r="H44" t="s" s="548">
        <f>IF(VLOOKUP(E44,'BDD'!$A$1:$S$567,15,FALSE)=0,"Critère non évalué","")</f>
        <v>1770</v>
      </c>
      <c r="I44" t="s" s="546">
        <f>_xlfn.IFERROR(IF(VLOOKUP($E44,'BDD'!$A$1:$S$567,MATCH(I$10,'BDD'!$A$1:$P$1,0),FALSE)=0,"",VLOOKUP($E44,'BDD'!$A$1:$S$567,MATCH(I$10,'BDD'!$A$1:$P$1,0),FALSE)),"")</f>
        <v>283</v>
      </c>
      <c r="J44" s="549"/>
      <c r="K44" t="s" s="547">
        <f>_xlfn.IFERROR(IF(VLOOKUP($E44,'BDD'!$A$1:$S$567,MATCH(K$10,'BDD'!$A$1:$P$1,0),FALSE)=0,"",VLOOKUP($E44,'BDD'!$A$1:$S$567,MATCH(K$10,'BDD'!$A$1:$P$1,0),FALSE)),"")</f>
        <v>1708</v>
      </c>
      <c r="L44" s="550"/>
      <c r="M44" s="551"/>
      <c r="N44" s="551"/>
      <c r="O44" s="534"/>
      <c r="P44" s="1042"/>
    </row>
    <row r="45" ht="130.05" customHeight="1">
      <c r="A45" s="1039"/>
      <c r="B45" s="542"/>
      <c r="C45" t="s" s="543">
        <f>IF(LEFT(RIGHT($B$1,2),1)=" ",RIGHT($B$1,1),RIGHT($B$1,2))</f>
        <v>275</v>
      </c>
      <c r="D45" s="544">
        <f>IF(LEFT(F45,14)="Bonne pratique",D44+1,D44)</f>
        <v>3</v>
      </c>
      <c r="E45" t="s" s="545">
        <f>C45&amp;D45&amp;RIGHT(F45,1)</f>
        <v>2562</v>
      </c>
      <c r="F45" t="s" s="552">
        <v>1772</v>
      </c>
      <c r="G45" t="s" s="540">
        <f>_xlfn.IFERROR(IF(VLOOKUP($E45,'BDD'!$A$1:$S$567,MATCH(G$10,'BDD'!$A$1:$P$1,0),FALSE)=0,"",VLOOKUP($E45,'BDD'!$A$1:$S$567,MATCH(G$10,'BDD'!$A$1:$P$1,0),FALSE)),"")</f>
        <v>1710</v>
      </c>
      <c r="H45" t="s" s="553">
        <f>IF(VLOOKUP(E45,'BDD'!$A$1:$S$567,15,FALSE)=0,"Critère non évalué","")</f>
        <v>1770</v>
      </c>
      <c r="I45" t="s" s="552">
        <f>_xlfn.IFERROR(IF(VLOOKUP($E45,'BDD'!$A$1:$S$567,MATCH(I$10,'BDD'!$A$1:$P$1,0),FALSE)=0,"",VLOOKUP($E45,'BDD'!$A$1:$S$567,MATCH(I$10,'BDD'!$A$1:$P$1,0),FALSE)),"")</f>
        <v>283</v>
      </c>
      <c r="J45" s="554"/>
      <c r="K45" t="s" s="540">
        <f>_xlfn.IFERROR(IF(VLOOKUP($E45,'BDD'!$A$1:$S$567,MATCH(K$10,'BDD'!$A$1:$P$1,0),FALSE)=0,"",VLOOKUP($E45,'BDD'!$A$1:$S$567,MATCH(K$10,'BDD'!$A$1:$P$1,0),FALSE)),"")</f>
        <v>1711</v>
      </c>
      <c r="L45" s="550"/>
      <c r="M45" s="555"/>
      <c r="N45" s="555"/>
      <c r="O45" s="534"/>
      <c r="P45" s="1042"/>
    </row>
    <row r="46" ht="130.05" customHeight="1">
      <c r="A46" s="1039"/>
      <c r="B46" s="542"/>
      <c r="C46" t="s" s="543">
        <f>IF(LEFT(RIGHT($B$1,2),1)=" ",RIGHT($B$1,1),RIGHT($B$1,2))</f>
        <v>275</v>
      </c>
      <c r="D46" s="544">
        <f>IF(LEFT(F46,14)="Bonne pratique",D45+1,D45)</f>
        <v>3</v>
      </c>
      <c r="E46" t="s" s="545">
        <f>C46&amp;D46&amp;RIGHT(F46,1)</f>
        <v>2560</v>
      </c>
      <c r="F46" t="s" s="546">
        <v>1774</v>
      </c>
      <c r="G46" t="s" s="547">
        <f>_xlfn.IFERROR(IF(VLOOKUP($E46,'BDD'!$A$1:$S$567,MATCH(G$10,'BDD'!$A$1:$P$1,0),FALSE)=0,"",VLOOKUP($E46,'BDD'!$A$1:$S$567,MATCH(G$10,'BDD'!$A$1:$P$1,0),FALSE)),"")</f>
        <v>1713</v>
      </c>
      <c r="H46" t="s" s="548">
        <f>IF(VLOOKUP(E46,'BDD'!$A$1:$S$567,15,FALSE)=0,"Critère non évalué","")</f>
        <v>1770</v>
      </c>
      <c r="I46" t="s" s="546">
        <v>283</v>
      </c>
      <c r="J46" s="549"/>
      <c r="K46" t="s" s="547">
        <f>_xlfn.IFERROR(IF(VLOOKUP($E46,'BDD'!$A$1:$S$567,MATCH(K$10,'BDD'!$A$1:$P$1,0),FALSE)=0,"",VLOOKUP($E46,'BDD'!$A$1:$S$567,MATCH(K$10,'BDD'!$A$1:$P$1,0),FALSE)),"")</f>
        <v>1714</v>
      </c>
      <c r="L46" s="550"/>
      <c r="M46" s="551"/>
      <c r="N46" s="551"/>
      <c r="O46" s="534"/>
      <c r="P46" s="1042"/>
    </row>
    <row r="47" ht="120" customHeight="1">
      <c r="A47" s="1039"/>
      <c r="B47" s="542"/>
      <c r="C47" t="s" s="543">
        <f>IF(LEFT(RIGHT($B$1,2),1)=" ",RIGHT($B$1,1),RIGHT($B$1,2))</f>
        <v>275</v>
      </c>
      <c r="D47" s="544">
        <f>IF(LEFT(F47,14)="Bonne pratique",D46+1,D46)</f>
        <v>3</v>
      </c>
      <c r="E47" t="s" s="545">
        <f>C47&amp;D47&amp;RIGHT(F47,1)</f>
        <v>2563</v>
      </c>
      <c r="F47" t="s" s="552">
        <v>1776</v>
      </c>
      <c r="G47" t="s" s="540">
        <f>_xlfn.IFERROR(IF(VLOOKUP($E47,'BDD'!$A$1:$S$567,MATCH(G$10,'BDD'!$A$1:$P$1,0),FALSE)=0,"",VLOOKUP($E47,'BDD'!$A$1:$S$567,MATCH(G$10,'BDD'!$A$1:$P$1,0),FALSE)),"")</f>
        <v>1716</v>
      </c>
      <c r="H47" t="s" s="553">
        <f>IF(VLOOKUP(E47,'BDD'!$A$1:$S$567,15,FALSE)=0,"Critère non évalué","")</f>
        <v>1770</v>
      </c>
      <c r="I47" t="s" s="552">
        <v>256</v>
      </c>
      <c r="J47" s="556"/>
      <c r="K47" t="s" s="540">
        <f>_xlfn.IFERROR(IF(VLOOKUP($E47,'BDD'!$A$1:$S$567,MATCH(K$10,'BDD'!$A$1:$P$1,0),FALSE)=0,"",VLOOKUP($E47,'BDD'!$A$1:$S$567,MATCH(K$10,'BDD'!$A$1:$P$1,0),FALSE)),"")</f>
        <v>1717</v>
      </c>
      <c r="L47" s="550"/>
      <c r="M47" s="555"/>
      <c r="N47" s="555"/>
      <c r="O47" s="534"/>
      <c r="P47" s="1042"/>
    </row>
    <row r="48" ht="130.05" customHeight="1">
      <c r="A48" s="1039"/>
      <c r="B48" s="542"/>
      <c r="C48" t="s" s="543">
        <f>IF(LEFT(RIGHT($B$1,2),1)=" ",RIGHT($B$1,1),RIGHT($B$1,2))</f>
        <v>275</v>
      </c>
      <c r="D48" s="544">
        <f>IF(LEFT(F48,14)="Bonne pratique",D47+1,D47)</f>
        <v>3</v>
      </c>
      <c r="E48" t="s" s="545">
        <f>C48&amp;D48&amp;RIGHT(F48,1)</f>
        <v>2564</v>
      </c>
      <c r="F48" t="s" s="546">
        <v>1778</v>
      </c>
      <c r="G48" t="s" s="547">
        <f>_xlfn.IFERROR(IF(VLOOKUP($E48,'BDD'!$A$1:$S$567,MATCH(G$10,'BDD'!$A$1:$P$1,0),FALSE)=0,"",VLOOKUP($E48,'BDD'!$A$1:$S$567,MATCH(G$10,'BDD'!$A$1:$P$1,0),FALSE)),"")</f>
        <v>1719</v>
      </c>
      <c r="H48" t="s" s="548">
        <f>IF(VLOOKUP(E48,'BDD'!$A$1:$S$567,15,FALSE)=0,"Critère non évalué","")</f>
        <v>1770</v>
      </c>
      <c r="I48" t="s" s="546">
        <v>283</v>
      </c>
      <c r="J48" s="549"/>
      <c r="K48" t="s" s="547">
        <f>_xlfn.IFERROR(IF(VLOOKUP($E48,'BDD'!$A$1:$S$567,MATCH(K$10,'BDD'!$A$1:$P$1,0),FALSE)=0,"",VLOOKUP($E48,'BDD'!$A$1:$S$567,MATCH(K$10,'BDD'!$A$1:$P$1,0),FALSE)),"")</f>
        <v>1720</v>
      </c>
      <c r="L48" s="550"/>
      <c r="M48" s="551"/>
      <c r="N48" s="551"/>
      <c r="O48" s="534"/>
      <c r="P48" s="1042"/>
    </row>
    <row r="49" ht="184.8" customHeight="1">
      <c r="A49" s="1039"/>
      <c r="B49" s="542"/>
      <c r="C49" t="s" s="543">
        <f>IF(LEFT(RIGHT($B$1,2),1)=" ",RIGHT($B$1,1),RIGHT($B$1,2))</f>
        <v>275</v>
      </c>
      <c r="D49" s="544">
        <f>IF(LEFT(F49,14)="Bonne pratique",D48+1,D48)</f>
        <v>3</v>
      </c>
      <c r="E49" t="s" s="545">
        <f>C49&amp;D49&amp;RIGHT(F49,1)</f>
        <v>2565</v>
      </c>
      <c r="F49" t="s" s="552">
        <v>1780</v>
      </c>
      <c r="G49" t="s" s="540">
        <f>_xlfn.IFERROR(IF(VLOOKUP($E49,'BDD'!$A$1:$S$567,MATCH(G$10,'BDD'!$A$1:$P$1,0),FALSE)=0,"",VLOOKUP($E49,'BDD'!$A$1:$S$567,MATCH(G$10,'BDD'!$A$1:$P$1,0),FALSE)),"")</f>
        <v>1722</v>
      </c>
      <c r="H49" t="s" s="553">
        <f>IF(VLOOKUP(E49,'BDD'!$A$1:$S$567,15,FALSE)=0,"Critère non évalué","")</f>
        <v>1770</v>
      </c>
      <c r="I49" t="s" s="552">
        <v>256</v>
      </c>
      <c r="J49" s="556"/>
      <c r="K49" t="s" s="540">
        <f>_xlfn.IFERROR(IF(VLOOKUP($E49,'BDD'!$A$1:$S$567,MATCH(K$10,'BDD'!$A$1:$P$1,0),FALSE)=0,"",VLOOKUP($E49,'BDD'!$A$1:$S$567,MATCH(K$10,'BDD'!$A$1:$P$1,0),FALSE)),"")</f>
        <v>1723</v>
      </c>
      <c r="L49" s="550"/>
      <c r="M49" s="555"/>
      <c r="N49" s="555"/>
      <c r="O49" s="534"/>
      <c r="P49" s="1042"/>
    </row>
    <row r="50" ht="130.05" customHeight="1">
      <c r="A50" s="1039"/>
      <c r="B50" s="542"/>
      <c r="C50" t="s" s="543">
        <f>IF(LEFT(RIGHT($B$1,2),1)=" ",RIGHT($B$1,1),RIGHT($B$1,2))</f>
        <v>275</v>
      </c>
      <c r="D50" s="544">
        <f>IF(LEFT(F50,14)="Bonne pratique",D49+1,D49)</f>
        <v>3</v>
      </c>
      <c r="E50" t="s" s="545">
        <f>C50&amp;D50&amp;RIGHT(F50,1)</f>
        <v>2566</v>
      </c>
      <c r="F50" t="s" s="546">
        <v>1782</v>
      </c>
      <c r="G50" t="s" s="547">
        <f>_xlfn.IFERROR(IF(VLOOKUP($E50,'BDD'!$A$1:$S$567,MATCH(G$10,'BDD'!$A$1:$P$1,0),FALSE)=0,"",VLOOKUP($E50,'BDD'!$A$1:$S$567,MATCH(G$10,'BDD'!$A$1:$P$1,0),FALSE)),"")</f>
        <v>1725</v>
      </c>
      <c r="H50" t="s" s="548">
        <f>IF(VLOOKUP(E50,'BDD'!$A$1:$S$567,15,FALSE)=0,"Critère non évalué","")</f>
        <v>1770</v>
      </c>
      <c r="I50" t="s" s="546">
        <v>283</v>
      </c>
      <c r="J50" s="549"/>
      <c r="K50" t="s" s="547">
        <f>_xlfn.IFERROR(IF(VLOOKUP($E50,'BDD'!$A$1:$S$567,MATCH(K$10,'BDD'!$A$1:$P$1,0),FALSE)=0,"",VLOOKUP($E50,'BDD'!$A$1:$S$567,MATCH(K$10,'BDD'!$A$1:$P$1,0),FALSE)),"")</f>
      </c>
      <c r="L50" s="550"/>
      <c r="M50" s="551"/>
      <c r="N50" s="551"/>
      <c r="O50" s="534"/>
      <c r="P50" s="1042"/>
    </row>
    <row r="51" ht="120" customHeight="1">
      <c r="A51" s="1039"/>
      <c r="B51" s="542"/>
      <c r="C51" t="s" s="543">
        <f>IF(LEFT(RIGHT($B$1,2),1)=" ",RIGHT($B$1,1),RIGHT($B$1,2))</f>
        <v>275</v>
      </c>
      <c r="D51" s="544">
        <f>IF(LEFT(F51,14)="Bonne pratique",D50+1,D50)</f>
        <v>3</v>
      </c>
      <c r="E51" t="s" s="545">
        <f>C51&amp;D51&amp;RIGHT(F51,1)</f>
        <v>2567</v>
      </c>
      <c r="F51" t="s" s="552">
        <v>2492</v>
      </c>
      <c r="G51" t="s" s="540">
        <f>_xlfn.IFERROR(IF(VLOOKUP($E51,'BDD'!$A$1:$S$567,MATCH(G$10,'BDD'!$A$1:$P$1,0),FALSE)=0,"",VLOOKUP($E51,'BDD'!$A$1:$S$567,MATCH(G$10,'BDD'!$A$1:$P$1,0),FALSE)),"")</f>
        <v>1727</v>
      </c>
      <c r="H51" t="s" s="553">
        <f>IF(VLOOKUP(E51,'BDD'!$A$1:$S$567,15,FALSE)=0,"Critère non évalué","")</f>
        <v>1770</v>
      </c>
      <c r="I51" t="s" s="552">
        <v>256</v>
      </c>
      <c r="J51" s="556"/>
      <c r="K51" t="s" s="540">
        <f>_xlfn.IFERROR(IF(VLOOKUP($E51,'BDD'!$A$1:$S$567,MATCH(K$10,'BDD'!$A$1:$P$1,0),FALSE)=0,"",VLOOKUP($E51,'BDD'!$A$1:$S$567,MATCH(K$10,'BDD'!$A$1:$P$1,0),FALSE)),"")</f>
      </c>
      <c r="L51" s="550"/>
      <c r="M51" s="555"/>
      <c r="N51" s="555"/>
      <c r="O51" s="534"/>
      <c r="P51" s="1042"/>
    </row>
    <row r="52" ht="38.4" customHeight="1">
      <c r="A52" s="1039"/>
      <c r="B52" s="61"/>
      <c r="C52" t="s" s="513">
        <f>IF(LEFT(RIGHT($B$1,2),1)=" ",RIGHT($B$1,1),RIGHT($B$1,2))</f>
        <v>275</v>
      </c>
      <c r="D52" s="514">
        <f>IF(LEFT(F52,14)="Bonne pratique",D48+1,D48)</f>
        <v>3</v>
      </c>
      <c r="E52" t="s" s="558">
        <f>C52&amp;D52&amp;RIGHT(F52,1)</f>
        <v>1796</v>
      </c>
      <c r="F52" s="559"/>
      <c r="G52" s="559"/>
      <c r="H52" s="559"/>
      <c r="I52" s="559"/>
      <c r="J52" s="559"/>
      <c r="K52" s="559"/>
      <c r="L52" s="61"/>
      <c r="M52" s="559"/>
      <c r="N52" s="559"/>
      <c r="O52" s="61"/>
      <c r="P52" s="1042"/>
    </row>
    <row r="53" ht="30" customHeight="1">
      <c r="A53" s="1043"/>
      <c r="B53" s="512"/>
      <c r="C53" t="s" s="513">
        <f>IF(LEFT(RIGHT($B$1,2),1)=" ",RIGHT($B$1,1),RIGHT($B$1,2))</f>
        <v>275</v>
      </c>
      <c r="D53" s="514">
        <f>IF(LEFT(F53,14)="Bonne pratique",D52+1,D52)</f>
        <v>4</v>
      </c>
      <c r="E53" t="s" s="558">
        <f>C53&amp;D53&amp;RIGHT(F53,1)</f>
        <v>2568</v>
      </c>
      <c r="F53" t="s" s="516">
        <v>1806</v>
      </c>
      <c r="G53" s="517"/>
      <c r="H53" s="518"/>
      <c r="I53" s="519"/>
      <c r="J53" s="519">
        <f>VLOOKUP(E60,'BDD'!$A$2:$N$567,6,FALSE)</f>
      </c>
      <c r="K53" s="521"/>
      <c r="L53" s="517"/>
      <c r="M53" s="517"/>
      <c r="N53" s="517"/>
      <c r="O53" s="512"/>
      <c r="P53" s="1044"/>
    </row>
    <row r="54" ht="15" customHeight="1">
      <c r="A54" s="1039"/>
      <c r="B54" s="61"/>
      <c r="C54" t="s" s="513">
        <f>IF(LEFT(RIGHT($B$1,2),1)=" ",RIGHT($B$1,1),RIGHT($B$1,2))</f>
        <v>275</v>
      </c>
      <c r="D54" s="514">
        <f>IF(LEFT(F54,14)="Bonne pratique",D53+1,D53)</f>
        <v>4</v>
      </c>
      <c r="E54" t="s" s="558">
        <f>C54&amp;D54&amp;RIGHT(F54,1)</f>
        <v>1801</v>
      </c>
      <c r="F54" s="61"/>
      <c r="G54" s="61"/>
      <c r="H54" s="61"/>
      <c r="I54" s="61"/>
      <c r="J54" s="61"/>
      <c r="K54" s="61"/>
      <c r="L54" s="61"/>
      <c r="M54" s="61"/>
      <c r="N54" s="61"/>
      <c r="O54" s="61"/>
      <c r="P54" s="1042"/>
    </row>
    <row r="55" ht="18" customHeight="1">
      <c r="A55" s="1045"/>
      <c r="B55" s="524"/>
      <c r="C55" t="s" s="513">
        <f>IF(LEFT(RIGHT($B$1,2),1)=" ",RIGHT($B$1,1),RIGHT($B$1,2))</f>
        <v>275</v>
      </c>
      <c r="D55" s="514">
        <f>IF(LEFT(F55,14)="Bonne pratique",D54+1,D54)</f>
        <v>4</v>
      </c>
      <c r="E55" t="s" s="558">
        <f>C55&amp;D55&amp;RIGHT(F55,1)</f>
        <v>1801</v>
      </c>
      <c r="F55" s="524"/>
      <c r="G55" s="524"/>
      <c r="H55" s="524"/>
      <c r="I55" s="525"/>
      <c r="J55" t="s" s="526">
        <v>1729</v>
      </c>
      <c r="K55" s="525"/>
      <c r="L55" s="524"/>
      <c r="M55" s="524"/>
      <c r="N55" s="524"/>
      <c r="O55" s="524"/>
      <c r="P55" s="1046"/>
    </row>
    <row r="56" ht="18" customHeight="1">
      <c r="A56" s="1039"/>
      <c r="B56" s="61"/>
      <c r="C56" t="s" s="513">
        <f>IF(LEFT(RIGHT($B$1,2),1)=" ",RIGHT($B$1,1),RIGHT($B$1,2))</f>
        <v>275</v>
      </c>
      <c r="D56" s="514">
        <f>IF(LEFT(F56,14)="Bonne pratique",D55+1,D55)</f>
        <v>4</v>
      </c>
      <c r="E56" t="s" s="558">
        <f>C56&amp;D56&amp;RIGHT(F56,1)</f>
        <v>1801</v>
      </c>
      <c r="F56" s="61"/>
      <c r="G56" s="61"/>
      <c r="H56" s="61"/>
      <c r="I56" s="61"/>
      <c r="J56" s="528"/>
      <c r="K56" s="61"/>
      <c r="L56" s="61"/>
      <c r="M56" s="529"/>
      <c r="N56" s="529"/>
      <c r="O56" s="61"/>
      <c r="P56" s="1042"/>
    </row>
    <row r="57" ht="15" customHeight="1">
      <c r="A57" s="1039"/>
      <c r="B57" s="61"/>
      <c r="C57" t="s" s="513">
        <f>IF(LEFT(RIGHT($B$1,2),1)=" ",RIGHT($B$1,1),RIGHT($B$1,2))</f>
        <v>275</v>
      </c>
      <c r="D57" s="514">
        <f>IF(LEFT(F57,14)="Bonne pratique",D56+1,D56)</f>
        <v>4</v>
      </c>
      <c r="E57" s="565">
        <f>C57&amp;D57&amp;RIGHT(F57,1)</f>
      </c>
      <c r="F57" s="61"/>
      <c r="G57" s="529"/>
      <c r="H57" s="529"/>
      <c r="I57" s="529"/>
      <c r="J57" s="530"/>
      <c r="K57" s="529"/>
      <c r="L57" s="542"/>
      <c r="M57" t="s" s="562">
        <v>1763</v>
      </c>
      <c r="N57" s="563"/>
      <c r="O57" s="534"/>
      <c r="P57" s="1042"/>
    </row>
    <row r="58" ht="33" customHeight="1">
      <c r="A58" s="1039"/>
      <c r="B58" s="61"/>
      <c r="C58" t="s" s="513">
        <f>IF(LEFT(RIGHT($B$1,2),1)=" ",RIGHT($B$1,1),RIGHT($B$1,2))</f>
        <v>275</v>
      </c>
      <c r="D58" s="61">
        <f>IF(LEFT(F58,14)="Bonne pratique",D57+1,D57)</f>
      </c>
      <c r="E58" s="565">
        <f>C58&amp;D58&amp;RIGHT(F58,1)</f>
      </c>
      <c r="F58" s="535"/>
      <c r="G58" t="s" s="536">
        <v>244</v>
      </c>
      <c r="H58" t="s" s="536">
        <v>1764</v>
      </c>
      <c r="I58" t="s" s="536">
        <v>1787</v>
      </c>
      <c r="J58" t="s" s="536">
        <v>1765</v>
      </c>
      <c r="K58" t="s" s="536">
        <v>1788</v>
      </c>
      <c r="L58" s="538"/>
      <c r="M58" t="s" s="539">
        <v>1766</v>
      </c>
      <c r="N58" t="s" s="540">
        <v>1767</v>
      </c>
      <c r="O58" s="534"/>
      <c r="P58" s="1042"/>
    </row>
    <row r="59" ht="15" customHeight="1">
      <c r="A59" s="1039"/>
      <c r="B59" s="61"/>
      <c r="C59" t="s" s="513">
        <f>IF(LEFT(RIGHT($B$1,2),1)=" ",RIGHT($B$1,1),RIGHT($B$1,2))</f>
        <v>275</v>
      </c>
      <c r="D59" s="61">
        <f>IF(LEFT(F59,14)="Bonne pratique",D58+1,D58)</f>
      </c>
      <c r="E59" s="565">
        <f>C59&amp;D59&amp;RIGHT(F59,1)</f>
      </c>
      <c r="F59" s="529"/>
      <c r="G59" s="541"/>
      <c r="H59" s="541"/>
      <c r="I59" s="541"/>
      <c r="J59" s="541"/>
      <c r="K59" s="541"/>
      <c r="L59" s="61"/>
      <c r="M59" s="541"/>
      <c r="N59" s="541"/>
      <c r="O59" s="61"/>
      <c r="P59" s="1042"/>
    </row>
    <row r="60" ht="130.05" customHeight="1">
      <c r="A60" s="1039"/>
      <c r="B60" s="542"/>
      <c r="C60" t="s" s="543">
        <f>IF(LEFT(RIGHT($B$1,2),1)=" ",RIGHT($B$1,1),RIGHT($B$1,2))</f>
        <v>275</v>
      </c>
      <c r="D60" s="550">
        <f>IF(LEFT(F60,14)="Bonne pratique",D59+1,D59)</f>
      </c>
      <c r="E60" s="566">
        <f>C60&amp;D60&amp;RIGHT(F60,1)</f>
      </c>
      <c r="F60" t="s" s="546">
        <v>1769</v>
      </c>
      <c r="G60" s="567">
        <f>_xlfn.IFERROR(IF(VLOOKUP($E60,'BDD'!$A$1:$S$567,MATCH(G$10,'BDD'!$A$1:$P$1,0),FALSE)=0,"",VLOOKUP($E60,'BDD'!$A$1:$S$567,MATCH(G$10,'BDD'!$A$1:$P$1,0),FALSE)),"")</f>
      </c>
      <c r="H60" s="568">
        <f>IF(VLOOKUP(E60,'BDD'!$A$1:$S$567,15,FALSE)=0,"Critère non évalué","")</f>
      </c>
      <c r="I60" s="569">
        <f>_xlfn.IFERROR(IF(VLOOKUP($E60,'BDD'!$A$1:$S$567,MATCH(I$10,'BDD'!$A$1:$P$1,0),FALSE)=0,"",VLOOKUP($E60,'BDD'!$A$1:$S$567,MATCH(I$10,'BDD'!$A$1:$P$1,0),FALSE)),"")</f>
      </c>
      <c r="J60" s="549"/>
      <c r="K60" s="567">
        <f>_xlfn.IFERROR(IF(VLOOKUP($E60,'BDD'!$A$1:$S$567,MATCH(K$10,'BDD'!$A$1:$P$1,0),FALSE)=0,"",VLOOKUP($E60,'BDD'!$A$1:$S$567,MATCH(K$10,'BDD'!$A$1:$P$1,0),FALSE)),"")</f>
      </c>
      <c r="L60" s="550"/>
      <c r="M60" s="551"/>
      <c r="N60" s="551"/>
      <c r="O60" s="534"/>
      <c r="P60" s="1042"/>
    </row>
    <row r="61" ht="130.05" customHeight="1">
      <c r="A61" s="1039"/>
      <c r="B61" s="542"/>
      <c r="C61" t="s" s="543">
        <f>IF(LEFT(RIGHT($B$1,2),1)=" ",RIGHT($B$1,1),RIGHT($B$1,2))</f>
        <v>275</v>
      </c>
      <c r="D61" s="550">
        <f>IF(LEFT(F61,14)="Bonne pratique",D60+1,D60)</f>
      </c>
      <c r="E61" s="566">
        <f>C61&amp;D61&amp;RIGHT(F61,1)</f>
      </c>
      <c r="F61" t="s" s="552">
        <v>1772</v>
      </c>
      <c r="G61" s="557">
        <f>_xlfn.IFERROR(IF(VLOOKUP($E61,'BDD'!$A$1:$S$567,MATCH(G$10,'BDD'!$A$1:$P$1,0),FALSE)=0,"",VLOOKUP($E61,'BDD'!$A$1:$S$567,MATCH(G$10,'BDD'!$A$1:$P$1,0),FALSE)),"")</f>
      </c>
      <c r="H61" s="570">
        <f>IF(VLOOKUP(E61,'BDD'!$A$1:$S$567,15,FALSE)=0,"Critère non évalué","")</f>
      </c>
      <c r="I61" s="571">
        <f>_xlfn.IFERROR(IF(VLOOKUP($E61,'BDD'!$A$1:$S$567,MATCH(I$10,'BDD'!$A$1:$P$1,0),FALSE)=0,"",VLOOKUP($E61,'BDD'!$A$1:$S$567,MATCH(I$10,'BDD'!$A$1:$P$1,0),FALSE)),"")</f>
      </c>
      <c r="J61" s="554"/>
      <c r="K61" s="557">
        <f>_xlfn.IFERROR(IF(VLOOKUP($E61,'BDD'!$A$1:$S$567,MATCH(K$10,'BDD'!$A$1:$P$1,0),FALSE)=0,"",VLOOKUP($E61,'BDD'!$A$1:$S$567,MATCH(K$10,'BDD'!$A$1:$P$1,0),FALSE)),"")</f>
      </c>
      <c r="L61" s="550"/>
      <c r="M61" s="555"/>
      <c r="N61" s="555"/>
      <c r="O61" s="534"/>
      <c r="P61" s="1042"/>
    </row>
    <row r="62" ht="130.05" customHeight="1">
      <c r="A62" s="1039"/>
      <c r="B62" s="542"/>
      <c r="C62" t="s" s="543">
        <f>IF(LEFT(RIGHT($B$1,2),1)=" ",RIGHT($B$1,1),RIGHT($B$1,2))</f>
        <v>275</v>
      </c>
      <c r="D62" s="550">
        <f>IF(LEFT(F62,14)="Bonne pratique",D61+1,D61)</f>
      </c>
      <c r="E62" s="566">
        <f>C62&amp;D62&amp;RIGHT(F62,1)</f>
      </c>
      <c r="F62" t="s" s="546">
        <v>1774</v>
      </c>
      <c r="G62" s="567">
        <f>_xlfn.IFERROR(IF(VLOOKUP($E62,'BDD'!$A$1:$S$567,MATCH(G$10,'BDD'!$A$1:$P$1,0),FALSE)=0,"",VLOOKUP($E62,'BDD'!$A$1:$S$567,MATCH(G$10,'BDD'!$A$1:$P$1,0),FALSE)),"")</f>
      </c>
      <c r="H62" s="568">
        <f>IF(VLOOKUP(E62,'BDD'!$A$1:$S$567,15,FALSE)=0,"Critère non évalué","")</f>
      </c>
      <c r="I62" s="569">
        <f>_xlfn.IFERROR(IF(VLOOKUP($E62,'BDD'!$A$1:$S$567,MATCH(I$10,'BDD'!$A$1:$P$1,0),FALSE)=0,"",VLOOKUP($E62,'BDD'!$A$1:$S$567,MATCH(I$10,'BDD'!$A$1:$P$1,0),FALSE)),"")</f>
      </c>
      <c r="J62" s="549"/>
      <c r="K62" s="567">
        <f>_xlfn.IFERROR(IF(VLOOKUP($E62,'BDD'!$A$1:$S$567,MATCH(K$10,'BDD'!$A$1:$P$1,0),FALSE)=0,"",VLOOKUP($E62,'BDD'!$A$1:$S$567,MATCH(K$10,'BDD'!$A$1:$P$1,0),FALSE)),"")</f>
      </c>
      <c r="L62" s="550"/>
      <c r="M62" s="551"/>
      <c r="N62" s="551"/>
      <c r="O62" s="534"/>
      <c r="P62" s="1042"/>
    </row>
    <row r="63" ht="130.05" customHeight="1">
      <c r="A63" s="1039"/>
      <c r="B63" s="542"/>
      <c r="C63" t="s" s="543">
        <f>IF(LEFT(RIGHT($B$1,2),1)=" ",RIGHT($B$1,1),RIGHT($B$1,2))</f>
        <v>275</v>
      </c>
      <c r="D63" s="550">
        <f>IF(LEFT(F63,14)="Bonne pratique",D62+1,D62)</f>
      </c>
      <c r="E63" s="566">
        <f>C63&amp;D63&amp;RIGHT(F63,1)</f>
      </c>
      <c r="F63" t="s" s="552">
        <v>1776</v>
      </c>
      <c r="G63" s="557">
        <f>_xlfn.IFERROR(IF(VLOOKUP($E63,'BDD'!$A$1:$S$567,MATCH(G$10,'BDD'!$A$1:$P$1,0),FALSE)=0,"",VLOOKUP($E63,'BDD'!$A$1:$S$567,MATCH(G$10,'BDD'!$A$1:$P$1,0),FALSE)),"")</f>
      </c>
      <c r="H63" s="570">
        <f>IF(VLOOKUP(E63,'BDD'!$A$1:$S$567,15,FALSE)=0,"Critère non évalué","")</f>
      </c>
      <c r="I63" s="571">
        <f>_xlfn.IFERROR(IF(VLOOKUP($E63,'BDD'!$A$1:$S$567,MATCH(I$10,'BDD'!$A$1:$P$1,0),FALSE)=0,"",VLOOKUP($E63,'BDD'!$A$1:$S$567,MATCH(I$10,'BDD'!$A$1:$P$1,0),FALSE)),"")</f>
      </c>
      <c r="J63" s="556"/>
      <c r="K63" s="557">
        <f>_xlfn.IFERROR(IF(VLOOKUP($E63,'BDD'!$A$1:$S$567,MATCH(K$10,'BDD'!$A$1:$P$1,0),FALSE)=0,"",VLOOKUP($E63,'BDD'!$A$1:$S$567,MATCH(K$10,'BDD'!$A$1:$P$1,0),FALSE)),"")</f>
      </c>
      <c r="L63" s="550"/>
      <c r="M63" s="555"/>
      <c r="N63" s="555"/>
      <c r="O63" s="534"/>
      <c r="P63" s="1042"/>
    </row>
    <row r="64" ht="129.6" customHeight="1">
      <c r="A64" s="1039"/>
      <c r="B64" s="542"/>
      <c r="C64" t="s" s="543">
        <f>IF(LEFT(RIGHT($B$1,2),1)=" ",RIGHT($B$1,1),RIGHT($B$1,2))</f>
        <v>275</v>
      </c>
      <c r="D64" s="550">
        <f>IF(LEFT(F64,14)="Bonne pratique",D63+1,D63)</f>
      </c>
      <c r="E64" s="566">
        <f>C64&amp;D64&amp;RIGHT(F64,1)</f>
      </c>
      <c r="F64" t="s" s="546">
        <v>1778</v>
      </c>
      <c r="G64" s="567">
        <f>_xlfn.IFERROR(IF(VLOOKUP($E64,'BDD'!$A$1:$S$567,MATCH(G$10,'BDD'!$A$1:$P$1,0),FALSE)=0,"",VLOOKUP($E64,'BDD'!$A$1:$S$567,MATCH(G$10,'BDD'!$A$1:$P$1,0),FALSE)),"")</f>
      </c>
      <c r="H64" s="568">
        <f>IF(VLOOKUP(E64,'BDD'!$A$1:$S$567,15,FALSE)=0,"Critère non évalué","")</f>
      </c>
      <c r="I64" s="569">
        <f>_xlfn.IFERROR(IF(VLOOKUP($E64,'BDD'!$A$1:$S$567,MATCH(I$10,'BDD'!$A$1:$P$1,0),FALSE)=0,"",VLOOKUP($E64,'BDD'!$A$1:$S$567,MATCH(I$10,'BDD'!$A$1:$P$1,0),FALSE)),"")</f>
      </c>
      <c r="J64" s="549"/>
      <c r="K64" s="567">
        <f>_xlfn.IFERROR(IF(VLOOKUP($E64,'BDD'!$A$1:$S$567,MATCH(K$10,'BDD'!$A$1:$P$1,0),FALSE)=0,"",VLOOKUP($E64,'BDD'!$A$1:$S$567,MATCH(K$10,'BDD'!$A$1:$P$1,0),FALSE)),"")</f>
      </c>
      <c r="L64" s="550"/>
      <c r="M64" s="557"/>
      <c r="N64" s="557"/>
      <c r="O64" s="534"/>
      <c r="P64" s="1042"/>
    </row>
    <row r="65" ht="129.6" customHeight="1" hidden="1">
      <c r="A65" s="1039"/>
      <c r="B65" s="542"/>
      <c r="C65" t="s" s="543">
        <f>IF(LEFT(RIGHT($B$1,2),1)=" ",RIGHT($B$1,1),RIGHT($B$1,2))</f>
        <v>275</v>
      </c>
      <c r="D65" s="550">
        <f>IF(LEFT(F65,14)="Bonne pratique",D64+1,D64)</f>
      </c>
      <c r="E65" s="566">
        <f>C65&amp;D65&amp;RIGHT(F65,1)</f>
      </c>
      <c r="F65" t="s" s="552">
        <v>1780</v>
      </c>
      <c r="G65" s="557">
        <f>_xlfn.IFERROR(IF(VLOOKUP($E65,'BDD'!$A$1:$S$567,MATCH(G$10,'BDD'!$A$1:$P$1,0),FALSE)=0,"",VLOOKUP($E65,'BDD'!$A$1:$S$567,MATCH(G$10,'BDD'!$A$1:$P$1,0),FALSE)),"")</f>
      </c>
      <c r="H65" s="570">
        <f>IF(VLOOKUP(E65,'BDD'!$A$1:$S$567,15,FALSE)=0,"Critère non évalué","")</f>
      </c>
      <c r="I65" s="571">
        <f>_xlfn.IFERROR(IF(VLOOKUP($E65,'BDD'!$A$1:$S$567,MATCH(I$10,'BDD'!$A$1:$P$1,0),FALSE)=0,"",VLOOKUP($E65,'BDD'!$A$1:$S$567,MATCH(I$10,'BDD'!$A$1:$P$1,0),FALSE)),"")</f>
      </c>
      <c r="J65" s="554"/>
      <c r="K65" s="557">
        <f>_xlfn.IFERROR(IF(VLOOKUP($E65,'BDD'!$A$1:$S$567,MATCH(K$10,'BDD'!$A$1:$P$1,0),FALSE)=0,"",VLOOKUP($E65,'BDD'!$A$1:$S$567,MATCH(K$10,'BDD'!$A$1:$P$1,0),FALSE)),"")</f>
      </c>
      <c r="L65" s="550"/>
      <c r="M65" s="555"/>
      <c r="N65" s="555"/>
      <c r="O65" s="534"/>
      <c r="P65" s="1042"/>
    </row>
    <row r="66" ht="129.6" customHeight="1" hidden="1">
      <c r="A66" s="1039"/>
      <c r="B66" s="542"/>
      <c r="C66" t="s" s="543">
        <f>IF(LEFT(RIGHT($B$1,2),1)=" ",RIGHT($B$1,1),RIGHT($B$1,2))</f>
        <v>275</v>
      </c>
      <c r="D66" s="550">
        <f>IF(LEFT(F66,14)="Bonne pratique",D65+1,D65)</f>
      </c>
      <c r="E66" s="566">
        <f>C66&amp;D66&amp;RIGHT(F66,1)</f>
      </c>
      <c r="F66" t="s" s="546">
        <v>1782</v>
      </c>
      <c r="G66" s="567">
        <f>_xlfn.IFERROR(IF(VLOOKUP($E66,'BDD'!$A$1:$S$567,MATCH(G$10,'BDD'!$A$1:$P$1,0),FALSE)=0,"",VLOOKUP($E66,'BDD'!$A$1:$S$567,MATCH(G$10,'BDD'!$A$1:$P$1,0),FALSE)),"")</f>
      </c>
      <c r="H66" s="568">
        <f>IF(VLOOKUP(E66,'BDD'!$A$1:$S$567,15,FALSE)=0,"Critère non évalué","")</f>
      </c>
      <c r="I66" s="569">
        <f>_xlfn.IFERROR(IF(VLOOKUP($E66,'BDD'!$A$1:$S$567,MATCH(I$10,'BDD'!$A$1:$P$1,0),FALSE)=0,"",VLOOKUP($E66,'BDD'!$A$1:$S$567,MATCH(I$10,'BDD'!$A$1:$P$1,0),FALSE)),"")</f>
      </c>
      <c r="J66" s="549"/>
      <c r="K66" s="567">
        <f>_xlfn.IFERROR(IF(VLOOKUP($E66,'BDD'!$A$1:$S$567,MATCH(K$10,'BDD'!$A$1:$P$1,0),FALSE)=0,"",VLOOKUP($E66,'BDD'!$A$1:$S$567,MATCH(K$10,'BDD'!$A$1:$P$1,0),FALSE)),"")</f>
      </c>
      <c r="L66" s="550"/>
      <c r="M66" s="557"/>
      <c r="N66" s="557"/>
      <c r="O66" s="534"/>
      <c r="P66" s="1042"/>
    </row>
    <row r="67" ht="15" customHeight="1">
      <c r="A67" s="1039"/>
      <c r="B67" s="61"/>
      <c r="C67" t="s" s="513">
        <f>IF(LEFT(RIGHT($B$1,2),1)=" ",RIGHT($B$1,1),RIGHT($B$1,2))</f>
        <v>275</v>
      </c>
      <c r="D67" s="61">
        <f>IF(LEFT(F67,14)="Bonne pratique",D66+1,D66)</f>
      </c>
      <c r="E67" s="565">
        <f>C67&amp;D67&amp;RIGHT(F67,1)</f>
      </c>
      <c r="F67" s="541"/>
      <c r="G67" s="541"/>
      <c r="H67" s="541"/>
      <c r="I67" s="541"/>
      <c r="J67" s="541"/>
      <c r="K67" s="541"/>
      <c r="L67" s="61"/>
      <c r="M67" s="541"/>
      <c r="N67" s="541"/>
      <c r="O67" s="61"/>
      <c r="P67" s="1042"/>
    </row>
    <row r="68" ht="14.4" customHeight="1" hidden="1">
      <c r="A68" s="1039"/>
      <c r="B68" s="61"/>
      <c r="C68" t="s" s="513">
        <f>IF(LEFT(RIGHT($B$1,2),1)=" ",RIGHT($B$1,1),RIGHT($B$1,2))</f>
        <v>275</v>
      </c>
      <c r="D68" s="61"/>
      <c r="E68" s="565"/>
      <c r="F68" s="541"/>
      <c r="G68" s="541"/>
      <c r="H68" s="541"/>
      <c r="I68" s="541"/>
      <c r="J68" s="541"/>
      <c r="K68" s="541"/>
      <c r="L68" s="61"/>
      <c r="M68" s="541"/>
      <c r="N68" s="541"/>
      <c r="O68" s="61"/>
      <c r="P68" s="1042"/>
    </row>
    <row r="69" ht="14.4" customHeight="1" hidden="1">
      <c r="A69" s="1039"/>
      <c r="B69" s="61"/>
      <c r="C69" t="s" s="513">
        <f>IF(LEFT(RIGHT($B$1,2),1)=" ",RIGHT($B$1,1),RIGHT($B$1,2))</f>
        <v>275</v>
      </c>
      <c r="D69" s="61"/>
      <c r="E69" s="565"/>
      <c r="F69" s="541"/>
      <c r="G69" s="541"/>
      <c r="H69" s="541"/>
      <c r="I69" s="541"/>
      <c r="J69" s="541"/>
      <c r="K69" s="541"/>
      <c r="L69" s="61"/>
      <c r="M69" s="541"/>
      <c r="N69" s="541"/>
      <c r="O69" s="61"/>
      <c r="P69" s="1042"/>
    </row>
    <row r="70" ht="14.4" customHeight="1" hidden="1">
      <c r="A70" s="1039"/>
      <c r="B70" s="61"/>
      <c r="C70" t="s" s="513">
        <f>IF(LEFT(RIGHT($B$1,2),1)=" ",RIGHT($B$1,1),RIGHT($B$1,2))</f>
        <v>275</v>
      </c>
      <c r="D70" s="61"/>
      <c r="E70" s="565"/>
      <c r="F70" s="541"/>
      <c r="G70" s="541"/>
      <c r="H70" s="541"/>
      <c r="I70" s="541"/>
      <c r="J70" s="541"/>
      <c r="K70" s="541"/>
      <c r="L70" s="61"/>
      <c r="M70" s="541"/>
      <c r="N70" s="541"/>
      <c r="O70" s="61"/>
      <c r="P70" s="1042"/>
    </row>
    <row r="71" ht="30" customHeight="1" hidden="1">
      <c r="A71" s="1043"/>
      <c r="B71" s="512"/>
      <c r="C71" t="s" s="513">
        <f>IF(LEFT(RIGHT($B$1,2),1)=" ",RIGHT($B$1,1),RIGHT($B$1,2))</f>
        <v>275</v>
      </c>
      <c r="D71" s="61">
        <f>IF(LEFT(F71,14)="Bonne pratique",D67+1,D67)</f>
      </c>
      <c r="E71" s="565">
        <f>C71&amp;D71&amp;RIGHT(F71,1)</f>
      </c>
      <c r="F71" t="s" s="828">
        <v>1814</v>
      </c>
      <c r="G71" s="829"/>
      <c r="H71" s="830"/>
      <c r="I71" s="831"/>
      <c r="J71" s="831">
        <f>VLOOKUP(E78,'BDD'!$A$2:$N$567,6,FALSE)</f>
      </c>
      <c r="K71" s="832"/>
      <c r="L71" s="517"/>
      <c r="M71" s="829"/>
      <c r="N71" s="829"/>
      <c r="O71" s="512"/>
      <c r="P71" s="1044"/>
    </row>
    <row r="72" ht="9" customHeight="1" hidden="1">
      <c r="A72" s="1039"/>
      <c r="B72" s="61"/>
      <c r="C72" t="s" s="513">
        <f>IF(LEFT(RIGHT($B$1,2),1)=" ",RIGHT($B$1,1),RIGHT($B$1,2))</f>
        <v>275</v>
      </c>
      <c r="D72" s="61">
        <f>IF(LEFT(F72,14)="Bonne pratique",D71+1,D71)</f>
      </c>
      <c r="E72" s="565">
        <f>C72&amp;D72&amp;RIGHT(F72,1)</f>
      </c>
      <c r="F72" s="541"/>
      <c r="G72" s="541"/>
      <c r="H72" s="541"/>
      <c r="I72" s="541"/>
      <c r="J72" s="541"/>
      <c r="K72" s="541"/>
      <c r="L72" s="61"/>
      <c r="M72" s="541"/>
      <c r="N72" s="541"/>
      <c r="O72" s="61"/>
      <c r="P72" s="1042"/>
    </row>
    <row r="73" ht="18" customHeight="1" hidden="1">
      <c r="A73" s="1045"/>
      <c r="B73" s="524"/>
      <c r="C73" t="s" s="513">
        <f>IF(LEFT(RIGHT($B$1,2),1)=" ",RIGHT($B$1,1),RIGHT($B$1,2))</f>
        <v>275</v>
      </c>
      <c r="D73" s="61">
        <f>IF(LEFT(F73,14)="Bonne pratique",D72+1,D72)</f>
      </c>
      <c r="E73" s="565">
        <f>C73&amp;D73&amp;RIGHT(F73,1)</f>
      </c>
      <c r="F73" s="833"/>
      <c r="G73" s="833"/>
      <c r="H73" s="833"/>
      <c r="I73" s="834"/>
      <c r="J73" s="835"/>
      <c r="K73" s="834"/>
      <c r="L73" s="524"/>
      <c r="M73" s="833"/>
      <c r="N73" s="833"/>
      <c r="O73" s="524"/>
      <c r="P73" s="1046"/>
    </row>
    <row r="74" ht="18" customHeight="1" hidden="1">
      <c r="A74" s="1039"/>
      <c r="B74" s="61"/>
      <c r="C74" t="s" s="513">
        <f>IF(LEFT(RIGHT($B$1,2),1)=" ",RIGHT($B$1,1),RIGHT($B$1,2))</f>
        <v>275</v>
      </c>
      <c r="D74" s="61">
        <f>IF(LEFT(F74,14)="Bonne pratique",D73+1,D73)</f>
      </c>
      <c r="E74" s="565">
        <f>C74&amp;D74&amp;RIGHT(F74,1)</f>
      </c>
      <c r="F74" s="541"/>
      <c r="G74" s="541"/>
      <c r="H74" s="541"/>
      <c r="I74" s="541"/>
      <c r="J74" s="836"/>
      <c r="K74" s="541"/>
      <c r="L74" s="61"/>
      <c r="M74" s="541"/>
      <c r="N74" s="541"/>
      <c r="O74" s="61"/>
      <c r="P74" s="1042"/>
    </row>
    <row r="75" ht="9" customHeight="1" hidden="1">
      <c r="A75" s="1039"/>
      <c r="B75" s="61"/>
      <c r="C75" t="s" s="513">
        <f>IF(LEFT(RIGHT($B$1,2),1)=" ",RIGHT($B$1,1),RIGHT($B$1,2))</f>
        <v>275</v>
      </c>
      <c r="D75" s="61">
        <f>IF(LEFT(F75,14)="Bonne pratique",D74+1,D74)</f>
      </c>
      <c r="E75" s="565">
        <f>C75&amp;D75&amp;RIGHT(F75,1)</f>
      </c>
      <c r="F75" s="541"/>
      <c r="G75" s="541"/>
      <c r="H75" s="541"/>
      <c r="I75" s="541"/>
      <c r="J75" s="837"/>
      <c r="K75" s="541"/>
      <c r="L75" s="542"/>
      <c r="M75" t="s" s="562">
        <v>1763</v>
      </c>
      <c r="N75" s="563"/>
      <c r="O75" s="534"/>
      <c r="P75" s="1042"/>
    </row>
    <row r="76" ht="33" customHeight="1" hidden="1">
      <c r="A76" s="1039"/>
      <c r="B76" s="61"/>
      <c r="C76" t="s" s="513">
        <f>IF(LEFT(RIGHT($B$1,2),1)=" ",RIGHT($B$1,1),RIGHT($B$1,2))</f>
        <v>275</v>
      </c>
      <c r="D76" s="61">
        <f>IF(LEFT(F76,14)="Bonne pratique",D75+1,D75)</f>
      </c>
      <c r="E76" s="565">
        <f>C76&amp;D76&amp;RIGHT(F76,1)</f>
      </c>
      <c r="F76" s="838"/>
      <c r="G76" t="s" s="536">
        <v>244</v>
      </c>
      <c r="H76" t="s" s="536">
        <v>1764</v>
      </c>
      <c r="I76" t="s" s="536">
        <v>1787</v>
      </c>
      <c r="J76" t="s" s="536">
        <v>1765</v>
      </c>
      <c r="K76" t="s" s="536">
        <v>1788</v>
      </c>
      <c r="L76" s="538"/>
      <c r="M76" t="s" s="539">
        <v>1766</v>
      </c>
      <c r="N76" t="s" s="540">
        <v>1767</v>
      </c>
      <c r="O76" s="534"/>
      <c r="P76" s="1042"/>
    </row>
    <row r="77" ht="9" customHeight="1" hidden="1">
      <c r="A77" s="1039"/>
      <c r="B77" s="61"/>
      <c r="C77" t="s" s="513">
        <f>IF(LEFT(RIGHT($B$1,2),1)=" ",RIGHT($B$1,1),RIGHT($B$1,2))</f>
        <v>275</v>
      </c>
      <c r="D77" s="61">
        <f>IF(LEFT(F77,14)="Bonne pratique",D76+1,D76)</f>
      </c>
      <c r="E77" s="565">
        <f>C77&amp;D77&amp;RIGHT(F77,1)</f>
      </c>
      <c r="F77" s="541"/>
      <c r="G77" s="541"/>
      <c r="H77" s="541"/>
      <c r="I77" s="541"/>
      <c r="J77" s="541"/>
      <c r="K77" s="541"/>
      <c r="L77" s="61"/>
      <c r="M77" s="541"/>
      <c r="N77" s="541"/>
      <c r="O77" s="61"/>
      <c r="P77" s="1042"/>
    </row>
    <row r="78" ht="130.05" customHeight="1" hidden="1">
      <c r="A78" s="1039"/>
      <c r="B78" s="542"/>
      <c r="C78" t="s" s="543">
        <f>IF(LEFT(RIGHT($B$1,2),1)=" ",RIGHT($B$1,1),RIGHT($B$1,2))</f>
        <v>275</v>
      </c>
      <c r="D78" s="550">
        <f>IF(LEFT(F78,14)="Bonne pratique",D77+1,D77)</f>
      </c>
      <c r="E78" s="566">
        <f>C78&amp;D78&amp;RIGHT(F78,1)</f>
      </c>
      <c r="F78" t="s" s="546">
        <v>1769</v>
      </c>
      <c r="G78" s="567">
        <f>_xlfn.IFERROR(IF(VLOOKUP($E78,'BDD'!$A$1:$S$567,MATCH(G$10,'BDD'!$A$1:$P$1,0),FALSE)=0,"",VLOOKUP($E78,'BDD'!$A$1:$S$567,MATCH(G$10,'BDD'!$A$1:$P$1,0),FALSE)),"")</f>
      </c>
      <c r="H78" s="568">
        <f>IF(VLOOKUP(E78,'BDD'!$A$1:$S$567,15,FALSE)=0,"Critère non évalué","")</f>
      </c>
      <c r="I78" s="569">
        <f>_xlfn.IFERROR(IF(VLOOKUP($E78,'BDD'!$A$1:$S$567,MATCH(I$10,'BDD'!$A$1:$P$1,0),FALSE)=0,"",VLOOKUP($E78,'BDD'!$A$1:$S$567,MATCH(I$10,'BDD'!$A$1:$P$1,0),FALSE)),"")</f>
      </c>
      <c r="J78" s="549"/>
      <c r="K78" s="567">
        <f>_xlfn.IFERROR(IF(VLOOKUP($E78,'BDD'!$A$1:$S$567,MATCH(K$10,'BDD'!$A$1:$P$1,0),FALSE)=0,"",VLOOKUP($E78,'BDD'!$A$1:$S$567,MATCH(K$10,'BDD'!$A$1:$P$1,0),FALSE)),"")</f>
      </c>
      <c r="L78" s="550"/>
      <c r="M78" s="551"/>
      <c r="N78" s="551"/>
      <c r="O78" s="534"/>
      <c r="P78" s="1042"/>
    </row>
    <row r="79" ht="130.05" customHeight="1" hidden="1">
      <c r="A79" s="1039"/>
      <c r="B79" s="542"/>
      <c r="C79" t="s" s="543">
        <f>IF(LEFT(RIGHT($B$1,2),1)=" ",RIGHT($B$1,1),RIGHT($B$1,2))</f>
        <v>275</v>
      </c>
      <c r="D79" s="550">
        <f>IF(LEFT(F79,14)="Bonne pratique",D78+1,D78)</f>
      </c>
      <c r="E79" s="566">
        <f>C79&amp;D79&amp;RIGHT(F79,1)</f>
      </c>
      <c r="F79" t="s" s="552">
        <v>1772</v>
      </c>
      <c r="G79" s="557">
        <f>_xlfn.IFERROR(IF(VLOOKUP($E79,'BDD'!$A$1:$S$567,MATCH(G$10,'BDD'!$A$1:$P$1,0),FALSE)=0,"",VLOOKUP($E79,'BDD'!$A$1:$S$567,MATCH(G$10,'BDD'!$A$1:$P$1,0),FALSE)),"")</f>
      </c>
      <c r="H79" s="570">
        <f>IF(VLOOKUP(E79,'BDD'!$A$1:$S$567,15,FALSE)=0,"Critère non évalué","")</f>
      </c>
      <c r="I79" s="571">
        <f>_xlfn.IFERROR(IF(VLOOKUP($E79,'BDD'!$A$1:$S$567,MATCH(I$10,'BDD'!$A$1:$P$1,0),FALSE)=0,"",VLOOKUP($E79,'BDD'!$A$1:$S$567,MATCH(I$10,'BDD'!$A$1:$P$1,0),FALSE)),"")</f>
      </c>
      <c r="J79" s="554"/>
      <c r="K79" s="557">
        <f>_xlfn.IFERROR(IF(VLOOKUP($E79,'BDD'!$A$1:$S$567,MATCH(K$10,'BDD'!$A$1:$P$1,0),FALSE)=0,"",VLOOKUP($E79,'BDD'!$A$1:$S$567,MATCH(K$10,'BDD'!$A$1:$P$1,0),FALSE)),"")</f>
      </c>
      <c r="L79" s="550"/>
      <c r="M79" s="555"/>
      <c r="N79" s="555"/>
      <c r="O79" s="534"/>
      <c r="P79" s="1042"/>
    </row>
    <row r="80" ht="130.05" customHeight="1" hidden="1">
      <c r="A80" s="1039"/>
      <c r="B80" s="542"/>
      <c r="C80" t="s" s="543">
        <f>IF(LEFT(RIGHT($B$1,2),1)=" ",RIGHT($B$1,1),RIGHT($B$1,2))</f>
        <v>275</v>
      </c>
      <c r="D80" s="550">
        <f>IF(LEFT(F80,14)="Bonne pratique",D79+1,D79)</f>
      </c>
      <c r="E80" s="566">
        <f>C80&amp;D80&amp;RIGHT(F80,1)</f>
      </c>
      <c r="F80" t="s" s="546">
        <v>1774</v>
      </c>
      <c r="G80" s="567">
        <f>_xlfn.IFERROR(IF(VLOOKUP($E80,'BDD'!$A$1:$S$567,MATCH(G$10,'BDD'!$A$1:$P$1,0),FALSE)=0,"",VLOOKUP($E80,'BDD'!$A$1:$S$567,MATCH(G$10,'BDD'!$A$1:$P$1,0),FALSE)),"")</f>
      </c>
      <c r="H80" s="568">
        <f>IF(VLOOKUP(E80,'BDD'!$A$1:$S$567,15,FALSE)=0,"Critère non évalué","")</f>
      </c>
      <c r="I80" s="569">
        <f>_xlfn.IFERROR(IF(VLOOKUP($E80,'BDD'!$A$1:$S$567,MATCH(I$10,'BDD'!$A$1:$P$1,0),FALSE)=0,"",VLOOKUP($E80,'BDD'!$A$1:$S$567,MATCH(I$10,'BDD'!$A$1:$P$1,0),FALSE)),"")</f>
      </c>
      <c r="J80" s="549"/>
      <c r="K80" s="567">
        <f>_xlfn.IFERROR(IF(VLOOKUP($E80,'BDD'!$A$1:$S$567,MATCH(K$10,'BDD'!$A$1:$P$1,0),FALSE)=0,"",VLOOKUP($E80,'BDD'!$A$1:$S$567,MATCH(K$10,'BDD'!$A$1:$P$1,0),FALSE)),"")</f>
      </c>
      <c r="L80" s="550"/>
      <c r="M80" s="551"/>
      <c r="N80" s="551"/>
      <c r="O80" s="534"/>
      <c r="P80" s="1042"/>
    </row>
    <row r="81" ht="130.05" customHeight="1" hidden="1">
      <c r="A81" s="1039"/>
      <c r="B81" s="542"/>
      <c r="C81" t="s" s="543">
        <f>IF(LEFT(RIGHT($B$1,2),1)=" ",RIGHT($B$1,1),RIGHT($B$1,2))</f>
        <v>275</v>
      </c>
      <c r="D81" s="550">
        <f>IF(LEFT(F81,14)="Bonne pratique",D80+1,D80)</f>
      </c>
      <c r="E81" s="566">
        <f>C81&amp;D81&amp;RIGHT(F81,1)</f>
      </c>
      <c r="F81" t="s" s="552">
        <v>1776</v>
      </c>
      <c r="G81" s="557">
        <f>_xlfn.IFERROR(IF(VLOOKUP($E81,'BDD'!$A$1:$S$567,MATCH(G$10,'BDD'!$A$1:$P$1,0),FALSE)=0,"",VLOOKUP($E81,'BDD'!$A$1:$S$567,MATCH(G$10,'BDD'!$A$1:$P$1,0),FALSE)),"")</f>
      </c>
      <c r="H81" s="570">
        <f>IF(VLOOKUP(E81,'BDD'!$A$1:$S$567,15,FALSE)=0,"Critère non évalué","")</f>
      </c>
      <c r="I81" s="571">
        <f>_xlfn.IFERROR(IF(VLOOKUP($E81,'BDD'!$A$1:$S$567,MATCH(I$10,'BDD'!$A$1:$P$1,0),FALSE)=0,"",VLOOKUP($E81,'BDD'!$A$1:$S$567,MATCH(I$10,'BDD'!$A$1:$P$1,0),FALSE)),"")</f>
      </c>
      <c r="J81" s="556"/>
      <c r="K81" s="557">
        <f>_xlfn.IFERROR(IF(VLOOKUP($E81,'BDD'!$A$1:$S$567,MATCH(K$10,'BDD'!$A$1:$P$1,0),FALSE)=0,"",VLOOKUP($E81,'BDD'!$A$1:$S$567,MATCH(K$10,'BDD'!$A$1:$P$1,0),FALSE)),"")</f>
      </c>
      <c r="L81" s="550"/>
      <c r="M81" s="555"/>
      <c r="N81" s="555"/>
      <c r="O81" s="534"/>
      <c r="P81" s="1042"/>
    </row>
    <row r="82" ht="130.05" customHeight="1" hidden="1">
      <c r="A82" s="1039"/>
      <c r="B82" s="542"/>
      <c r="C82" t="s" s="543">
        <f>IF(LEFT(RIGHT($B$1,2),1)=" ",RIGHT($B$1,1),RIGHT($B$1,2))</f>
        <v>275</v>
      </c>
      <c r="D82" s="550">
        <f>IF(LEFT(F82,14)="Bonne pratique",D81+1,D81)</f>
      </c>
      <c r="E82" s="566">
        <f>C82&amp;D82&amp;RIGHT(F82,1)</f>
      </c>
      <c r="F82" t="s" s="546">
        <v>1778</v>
      </c>
      <c r="G82" s="567">
        <f>_xlfn.IFERROR(IF(VLOOKUP($E82,'BDD'!$A$1:$S$567,MATCH(G$10,'BDD'!$A$1:$P$1,0),FALSE)=0,"",VLOOKUP($E82,'BDD'!$A$1:$S$567,MATCH(G$10,'BDD'!$A$1:$P$1,0),FALSE)),"")</f>
      </c>
      <c r="H82" s="568">
        <f>IF(VLOOKUP(E82,'BDD'!$A$1:$S$567,15,FALSE)=0,"Critère non évalué","")</f>
      </c>
      <c r="I82" s="569">
        <f>_xlfn.IFERROR(IF(VLOOKUP($E82,'BDD'!$A$1:$S$567,MATCH(I$10,'BDD'!$A$1:$P$1,0),FALSE)=0,"",VLOOKUP($E82,'BDD'!$A$1:$S$567,MATCH(I$10,'BDD'!$A$1:$P$1,0),FALSE)),"")</f>
      </c>
      <c r="J82" s="549"/>
      <c r="K82" s="567">
        <f>_xlfn.IFERROR(IF(VLOOKUP($E82,'BDD'!$A$1:$S$567,MATCH(K$10,'BDD'!$A$1:$P$1,0),FALSE)=0,"",VLOOKUP($E82,'BDD'!$A$1:$S$567,MATCH(K$10,'BDD'!$A$1:$P$1,0),FALSE)),"")</f>
      </c>
      <c r="L82" s="550"/>
      <c r="M82" s="557"/>
      <c r="N82" s="557"/>
      <c r="O82" s="534"/>
      <c r="P82" s="1042"/>
    </row>
    <row r="83" ht="130.05" customHeight="1" hidden="1">
      <c r="A83" s="1039"/>
      <c r="B83" s="542"/>
      <c r="C83" t="s" s="543">
        <f>IF(LEFT(RIGHT($B$1,2),1)=" ",RIGHT($B$1,1),RIGHT($B$1,2))</f>
        <v>275</v>
      </c>
      <c r="D83" s="550">
        <f>IF(LEFT(F83,14)="Bonne pratique",D82+1,D82)</f>
      </c>
      <c r="E83" s="566">
        <f>C83&amp;D83&amp;RIGHT(F83,1)</f>
      </c>
      <c r="F83" t="s" s="552">
        <v>1780</v>
      </c>
      <c r="G83" s="557">
        <f>_xlfn.IFERROR(IF(VLOOKUP($E83,'BDD'!$A$1:$S$567,MATCH(G$10,'BDD'!$A$1:$P$1,0),FALSE)=0,"",VLOOKUP($E83,'BDD'!$A$1:$S$567,MATCH(G$10,'BDD'!$A$1:$P$1,0),FALSE)),"")</f>
      </c>
      <c r="H83" s="570">
        <f>IF(VLOOKUP(E83,'BDD'!$A$1:$S$567,15,FALSE)=0,"Critère non évalué","")</f>
      </c>
      <c r="I83" s="571">
        <f>_xlfn.IFERROR(IF(VLOOKUP($E83,'BDD'!$A$1:$S$567,MATCH(I$10,'BDD'!$A$1:$P$1,0),FALSE)=0,"",VLOOKUP($E83,'BDD'!$A$1:$S$567,MATCH(I$10,'BDD'!$A$1:$P$1,0),FALSE)),"")</f>
      </c>
      <c r="J83" s="556"/>
      <c r="K83" s="557">
        <f>_xlfn.IFERROR(IF(VLOOKUP($E83,'BDD'!$A$1:$S$567,MATCH(K$10,'BDD'!$A$1:$P$1,0),FALSE)=0,"",VLOOKUP($E83,'BDD'!$A$1:$S$567,MATCH(K$10,'BDD'!$A$1:$P$1,0),FALSE)),"")</f>
      </c>
      <c r="L83" s="550"/>
      <c r="M83" s="555"/>
      <c r="N83" s="555"/>
      <c r="O83" s="534"/>
      <c r="P83" s="1042"/>
    </row>
    <row r="84" ht="130.05" customHeight="1" hidden="1">
      <c r="A84" s="1039"/>
      <c r="B84" s="542"/>
      <c r="C84" t="s" s="543">
        <f>IF(LEFT(RIGHT($B$1,2),1)=" ",RIGHT($B$1,1),RIGHT($B$1,2))</f>
        <v>275</v>
      </c>
      <c r="D84" s="550">
        <f>IF(LEFT(F84,14)="Bonne pratique",D83+1,D83)</f>
      </c>
      <c r="E84" s="566">
        <f>C84&amp;D84&amp;RIGHT(F84,1)</f>
      </c>
      <c r="F84" t="s" s="546">
        <v>1782</v>
      </c>
      <c r="G84" s="567">
        <f>_xlfn.IFERROR(IF(VLOOKUP($E84,'BDD'!$A$1:$S$567,MATCH(G$10,'BDD'!$A$1:$P$1,0),FALSE)=0,"",VLOOKUP($E84,'BDD'!$A$1:$S$567,MATCH(G$10,'BDD'!$A$1:$P$1,0),FALSE)),"")</f>
      </c>
      <c r="H84" s="568">
        <f>IF(VLOOKUP(E84,'BDD'!$A$1:$S$567,15,FALSE)=0,"Critère non évalué","")</f>
      </c>
      <c r="I84" s="569">
        <f>_xlfn.IFERROR(IF(VLOOKUP($E84,'BDD'!$A$1:$S$567,MATCH(I$10,'BDD'!$A$1:$P$1,0),FALSE)=0,"",VLOOKUP($E84,'BDD'!$A$1:$S$567,MATCH(I$10,'BDD'!$A$1:$P$1,0),FALSE)),"")</f>
      </c>
      <c r="J84" s="549"/>
      <c r="K84" s="567">
        <f>_xlfn.IFERROR(IF(VLOOKUP($E84,'BDD'!$A$1:$S$567,MATCH(K$10,'BDD'!$A$1:$P$1,0),FALSE)=0,"",VLOOKUP($E84,'BDD'!$A$1:$S$567,MATCH(K$10,'BDD'!$A$1:$P$1,0),FALSE)),"")</f>
      </c>
      <c r="L84" s="550"/>
      <c r="M84" s="557"/>
      <c r="N84" s="557"/>
      <c r="O84" s="534"/>
      <c r="P84" s="1042"/>
    </row>
    <row r="85" ht="14.4" customHeight="1" hidden="1">
      <c r="A85" s="1039"/>
      <c r="B85" s="61"/>
      <c r="C85" t="s" s="513">
        <f>IF(LEFT(RIGHT($B$1,2),1)=" ",RIGHT($B$1,1),RIGHT($B$1,2))</f>
        <v>275</v>
      </c>
      <c r="D85" s="61"/>
      <c r="E85" s="61"/>
      <c r="F85" s="541"/>
      <c r="G85" s="541"/>
      <c r="H85" s="541"/>
      <c r="I85" s="541"/>
      <c r="J85" s="541"/>
      <c r="K85" s="541"/>
      <c r="L85" s="61"/>
      <c r="M85" s="541"/>
      <c r="N85" s="541"/>
      <c r="O85" s="61"/>
      <c r="P85" s="1042"/>
    </row>
    <row r="86" ht="14.4" customHeight="1" hidden="1">
      <c r="A86" s="1039"/>
      <c r="B86" s="61"/>
      <c r="C86" t="s" s="513">
        <f>IF(LEFT(RIGHT($B$1,2),1)=" ",RIGHT($B$1,1),RIGHT($B$1,2))</f>
        <v>275</v>
      </c>
      <c r="D86" s="61"/>
      <c r="E86" s="61"/>
      <c r="F86" s="541"/>
      <c r="G86" s="541"/>
      <c r="H86" s="541"/>
      <c r="I86" s="541"/>
      <c r="J86" s="541"/>
      <c r="K86" s="541"/>
      <c r="L86" s="61"/>
      <c r="M86" s="541"/>
      <c r="N86" s="541"/>
      <c r="O86" s="61"/>
      <c r="P86" s="1042"/>
    </row>
    <row r="87" ht="30" customHeight="1" hidden="1">
      <c r="A87" s="1043"/>
      <c r="B87" s="512"/>
      <c r="C87" t="s" s="513">
        <f>IF(LEFT(RIGHT($B$1,2),1)=" ",RIGHT($B$1,1),RIGHT($B$1,2))</f>
        <v>275</v>
      </c>
      <c r="D87" s="61">
        <f>IF(LEFT(F87,14)="Bonne pratique",D83+1,D83)</f>
      </c>
      <c r="E87" s="565">
        <f>C87&amp;D87&amp;RIGHT(F87,1)</f>
      </c>
      <c r="F87" t="s" s="828">
        <v>1887</v>
      </c>
      <c r="G87" s="829"/>
      <c r="H87" s="830"/>
      <c r="I87" s="831"/>
      <c r="J87" s="831">
        <f>VLOOKUP(E94,'BDD'!$A$2:$N$567,6,FALSE)</f>
      </c>
      <c r="K87" s="832"/>
      <c r="L87" s="517"/>
      <c r="M87" s="829"/>
      <c r="N87" s="829"/>
      <c r="O87" s="512"/>
      <c r="P87" s="1044"/>
    </row>
    <row r="88" ht="9" customHeight="1" hidden="1">
      <c r="A88" s="1039"/>
      <c r="B88" s="61"/>
      <c r="C88" t="s" s="513">
        <f>IF(LEFT(RIGHT($B$1,2),1)=" ",RIGHT($B$1,1),RIGHT($B$1,2))</f>
        <v>275</v>
      </c>
      <c r="D88" s="61">
        <f>IF(LEFT(F88,14)="Bonne pratique",D87+1,D87)</f>
      </c>
      <c r="E88" s="565">
        <f>C88&amp;D88&amp;RIGHT(F88,1)</f>
      </c>
      <c r="F88" s="541"/>
      <c r="G88" s="541"/>
      <c r="H88" s="541"/>
      <c r="I88" s="541"/>
      <c r="J88" s="541"/>
      <c r="K88" s="541"/>
      <c r="L88" s="61"/>
      <c r="M88" s="541"/>
      <c r="N88" s="541"/>
      <c r="O88" s="61"/>
      <c r="P88" s="1042"/>
    </row>
    <row r="89" ht="18" customHeight="1" hidden="1">
      <c r="A89" s="1045"/>
      <c r="B89" s="524"/>
      <c r="C89" t="s" s="513">
        <f>IF(LEFT(RIGHT($B$1,2),1)=" ",RIGHT($B$1,1),RIGHT($B$1,2))</f>
        <v>275</v>
      </c>
      <c r="D89" s="61">
        <f>IF(LEFT(F89,14)="Bonne pratique",D88+1,D88)</f>
      </c>
      <c r="E89" s="565">
        <f>C89&amp;D89&amp;RIGHT(F89,1)</f>
      </c>
      <c r="F89" s="833"/>
      <c r="G89" s="833"/>
      <c r="H89" s="833"/>
      <c r="I89" s="834"/>
      <c r="J89" s="835"/>
      <c r="K89" s="834"/>
      <c r="L89" s="524"/>
      <c r="M89" s="833"/>
      <c r="N89" s="833"/>
      <c r="O89" s="524"/>
      <c r="P89" s="1046"/>
    </row>
    <row r="90" ht="18" customHeight="1" hidden="1">
      <c r="A90" s="1039"/>
      <c r="B90" s="61"/>
      <c r="C90" t="s" s="513">
        <f>IF(LEFT(RIGHT($B$1,2),1)=" ",RIGHT($B$1,1),RIGHT($B$1,2))</f>
        <v>275</v>
      </c>
      <c r="D90" s="61">
        <f>IF(LEFT(F90,14)="Bonne pratique",D89+1,D89)</f>
      </c>
      <c r="E90" s="565">
        <f>C90&amp;D90&amp;RIGHT(F90,1)</f>
      </c>
      <c r="F90" s="541"/>
      <c r="G90" s="541"/>
      <c r="H90" s="541"/>
      <c r="I90" s="541"/>
      <c r="J90" s="836"/>
      <c r="K90" s="541"/>
      <c r="L90" s="61"/>
      <c r="M90" s="541"/>
      <c r="N90" s="541"/>
      <c r="O90" s="61"/>
      <c r="P90" s="1042"/>
    </row>
    <row r="91" ht="9" customHeight="1" hidden="1">
      <c r="A91" s="1039"/>
      <c r="B91" s="61"/>
      <c r="C91" t="s" s="513">
        <f>IF(LEFT(RIGHT($B$1,2),1)=" ",RIGHT($B$1,1),RIGHT($B$1,2))</f>
        <v>275</v>
      </c>
      <c r="D91" s="61">
        <f>IF(LEFT(F91,14)="Bonne pratique",D90+1,D90)</f>
      </c>
      <c r="E91" s="565">
        <f>C91&amp;D91&amp;RIGHT(F91,1)</f>
      </c>
      <c r="F91" s="541"/>
      <c r="G91" s="541"/>
      <c r="H91" s="541"/>
      <c r="I91" s="541"/>
      <c r="J91" s="837"/>
      <c r="K91" s="541"/>
      <c r="L91" s="542"/>
      <c r="M91" t="s" s="562">
        <v>1763</v>
      </c>
      <c r="N91" s="563"/>
      <c r="O91" s="534"/>
      <c r="P91" s="1042"/>
    </row>
    <row r="92" ht="33" customHeight="1" hidden="1">
      <c r="A92" s="1039"/>
      <c r="B92" s="61"/>
      <c r="C92" t="s" s="513">
        <f>IF(LEFT(RIGHT($B$1,2),1)=" ",RIGHT($B$1,1),RIGHT($B$1,2))</f>
        <v>275</v>
      </c>
      <c r="D92" s="61">
        <f>IF(LEFT(F92,14)="Bonne pratique",D91+1,D91)</f>
      </c>
      <c r="E92" s="565">
        <f>C92&amp;D92&amp;RIGHT(F92,1)</f>
      </c>
      <c r="F92" s="838"/>
      <c r="G92" t="s" s="536">
        <v>244</v>
      </c>
      <c r="H92" t="s" s="536">
        <v>1764</v>
      </c>
      <c r="I92" t="s" s="536">
        <v>1787</v>
      </c>
      <c r="J92" t="s" s="536">
        <v>1765</v>
      </c>
      <c r="K92" t="s" s="536">
        <v>1788</v>
      </c>
      <c r="L92" s="538"/>
      <c r="M92" t="s" s="539">
        <v>1766</v>
      </c>
      <c r="N92" t="s" s="540">
        <v>1767</v>
      </c>
      <c r="O92" s="534"/>
      <c r="P92" s="1042"/>
    </row>
    <row r="93" ht="9" customHeight="1" hidden="1">
      <c r="A93" s="1039"/>
      <c r="B93" s="61"/>
      <c r="C93" t="s" s="513">
        <f>IF(LEFT(RIGHT($B$1,2),1)=" ",RIGHT($B$1,1),RIGHT($B$1,2))</f>
        <v>275</v>
      </c>
      <c r="D93" s="61">
        <f>IF(LEFT(F93,14)="Bonne pratique",D92+1,D92)</f>
      </c>
      <c r="E93" s="565">
        <f>C93&amp;D93&amp;RIGHT(F93,1)</f>
      </c>
      <c r="F93" s="541"/>
      <c r="G93" s="541"/>
      <c r="H93" s="541"/>
      <c r="I93" s="541"/>
      <c r="J93" s="541"/>
      <c r="K93" s="541"/>
      <c r="L93" s="61"/>
      <c r="M93" s="541"/>
      <c r="N93" s="541"/>
      <c r="O93" s="61"/>
      <c r="P93" s="1042"/>
    </row>
    <row r="94" ht="130.05" customHeight="1" hidden="1">
      <c r="A94" s="1039"/>
      <c r="B94" s="542"/>
      <c r="C94" t="s" s="543">
        <f>IF(LEFT(RIGHT($B$1,2),1)=" ",RIGHT($B$1,1),RIGHT($B$1,2))</f>
        <v>275</v>
      </c>
      <c r="D94" s="550">
        <f>IF(LEFT(F94,14)="Bonne pratique",D93+1,D93)</f>
      </c>
      <c r="E94" s="566">
        <f>C94&amp;D94&amp;RIGHT(F94,1)</f>
      </c>
      <c r="F94" t="s" s="546">
        <v>1769</v>
      </c>
      <c r="G94" s="567">
        <f>_xlfn.IFERROR(IF(VLOOKUP($E94,'BDD'!$A$1:$S$567,MATCH(G$10,'BDD'!$A$1:$P$1,0),FALSE)=0,"",VLOOKUP($E94,'BDD'!$A$1:$S$567,MATCH(G$10,'BDD'!$A$1:$P$1,0),FALSE)),"")</f>
      </c>
      <c r="H94" s="568">
        <f>IF(VLOOKUP(E94,'BDD'!$A$1:$S$567,15,FALSE)=0,"Critère non évalué","")</f>
      </c>
      <c r="I94" s="569">
        <f>_xlfn.IFERROR(IF(VLOOKUP($E94,'BDD'!$A$1:$S$567,MATCH(I$10,'BDD'!$A$1:$P$1,0),FALSE)=0,"",VLOOKUP($E94,'BDD'!$A$1:$S$567,MATCH(I$10,'BDD'!$A$1:$P$1,0),FALSE)),"")</f>
      </c>
      <c r="J94" s="549"/>
      <c r="K94" s="567">
        <f>_xlfn.IFERROR(IF(VLOOKUP($E94,'BDD'!$A$1:$S$567,MATCH(K$10,'BDD'!$A$1:$P$1,0),FALSE)=0,"",VLOOKUP($E94,'BDD'!$A$1:$S$567,MATCH(K$10,'BDD'!$A$1:$P$1,0),FALSE)),"")</f>
      </c>
      <c r="L94" s="550"/>
      <c r="M94" s="551"/>
      <c r="N94" s="551"/>
      <c r="O94" s="534"/>
      <c r="P94" s="1042"/>
    </row>
    <row r="95" ht="130.05" customHeight="1" hidden="1">
      <c r="A95" s="1039"/>
      <c r="B95" s="542"/>
      <c r="C95" t="s" s="543">
        <f>IF(LEFT(RIGHT($B$1,2),1)=" ",RIGHT($B$1,1),RIGHT($B$1,2))</f>
        <v>275</v>
      </c>
      <c r="D95" s="550">
        <f>IF(LEFT(F95,14)="Bonne pratique",D94+1,D94)</f>
      </c>
      <c r="E95" s="566">
        <f>C95&amp;D95&amp;RIGHT(F95,1)</f>
      </c>
      <c r="F95" t="s" s="552">
        <v>1772</v>
      </c>
      <c r="G95" s="557">
        <f>_xlfn.IFERROR(IF(VLOOKUP($E95,'BDD'!$A$1:$S$567,MATCH(G$10,'BDD'!$A$1:$P$1,0),FALSE)=0,"",VLOOKUP($E95,'BDD'!$A$1:$S$567,MATCH(G$10,'BDD'!$A$1:$P$1,0),FALSE)),"")</f>
      </c>
      <c r="H95" s="570">
        <f>IF(VLOOKUP(E95,'BDD'!$A$1:$S$567,15,FALSE)=0,"Critère non évalué","")</f>
      </c>
      <c r="I95" s="571">
        <f>_xlfn.IFERROR(IF(VLOOKUP($E95,'BDD'!$A$1:$S$567,MATCH(I$10,'BDD'!$A$1:$P$1,0),FALSE)=0,"",VLOOKUP($E95,'BDD'!$A$1:$S$567,MATCH(I$10,'BDD'!$A$1:$P$1,0),FALSE)),"")</f>
      </c>
      <c r="J95" s="554"/>
      <c r="K95" s="557">
        <f>_xlfn.IFERROR(IF(VLOOKUP($E95,'BDD'!$A$1:$S$567,MATCH(K$10,'BDD'!$A$1:$P$1,0),FALSE)=0,"",VLOOKUP($E95,'BDD'!$A$1:$S$567,MATCH(K$10,'BDD'!$A$1:$P$1,0),FALSE)),"")</f>
      </c>
      <c r="L95" s="550"/>
      <c r="M95" s="555"/>
      <c r="N95" s="555"/>
      <c r="O95" s="534"/>
      <c r="P95" s="1042"/>
    </row>
    <row r="96" ht="130.05" customHeight="1" hidden="1">
      <c r="A96" s="1039"/>
      <c r="B96" s="542"/>
      <c r="C96" t="s" s="543">
        <f>IF(LEFT(RIGHT($B$1,2),1)=" ",RIGHT($B$1,1),RIGHT($B$1,2))</f>
        <v>275</v>
      </c>
      <c r="D96" s="550">
        <f>IF(LEFT(F96,14)="Bonne pratique",D95+1,D95)</f>
      </c>
      <c r="E96" s="566">
        <f>C96&amp;D96&amp;RIGHT(F96,1)</f>
      </c>
      <c r="F96" t="s" s="546">
        <v>1774</v>
      </c>
      <c r="G96" s="567">
        <f>_xlfn.IFERROR(IF(VLOOKUP($E96,'BDD'!$A$1:$S$567,MATCH(G$10,'BDD'!$A$1:$P$1,0),FALSE)=0,"",VLOOKUP($E96,'BDD'!$A$1:$S$567,MATCH(G$10,'BDD'!$A$1:$P$1,0),FALSE)),"")</f>
      </c>
      <c r="H96" s="568">
        <f>IF(VLOOKUP(E96,'BDD'!$A$1:$S$567,15,FALSE)=0,"Critère non évalué","")</f>
      </c>
      <c r="I96" s="569">
        <f>_xlfn.IFERROR(IF(VLOOKUP($E96,'BDD'!$A$1:$S$567,MATCH(I$10,'BDD'!$A$1:$P$1,0),FALSE)=0,"",VLOOKUP($E96,'BDD'!$A$1:$S$567,MATCH(I$10,'BDD'!$A$1:$P$1,0),FALSE)),"")</f>
      </c>
      <c r="J96" s="549"/>
      <c r="K96" s="567">
        <f>_xlfn.IFERROR(IF(VLOOKUP($E96,'BDD'!$A$1:$S$567,MATCH(K$10,'BDD'!$A$1:$P$1,0),FALSE)=0,"",VLOOKUP($E96,'BDD'!$A$1:$S$567,MATCH(K$10,'BDD'!$A$1:$P$1,0),FALSE)),"")</f>
      </c>
      <c r="L96" s="550"/>
      <c r="M96" s="551"/>
      <c r="N96" s="551"/>
      <c r="O96" s="534"/>
      <c r="P96" s="1042"/>
    </row>
    <row r="97" ht="130.05" customHeight="1" hidden="1">
      <c r="A97" s="1039"/>
      <c r="B97" s="542"/>
      <c r="C97" t="s" s="543">
        <f>IF(LEFT(RIGHT($B$1,2),1)=" ",RIGHT($B$1,1),RIGHT($B$1,2))</f>
        <v>275</v>
      </c>
      <c r="D97" s="550">
        <f>IF(LEFT(F97,14)="Bonne pratique",D96+1,D96)</f>
      </c>
      <c r="E97" s="566">
        <f>C97&amp;D97&amp;RIGHT(F97,1)</f>
      </c>
      <c r="F97" t="s" s="552">
        <v>1776</v>
      </c>
      <c r="G97" s="557">
        <f>_xlfn.IFERROR(IF(VLOOKUP($E97,'BDD'!$A$1:$S$567,MATCH(G$10,'BDD'!$A$1:$P$1,0),FALSE)=0,"",VLOOKUP($E97,'BDD'!$A$1:$S$567,MATCH(G$10,'BDD'!$A$1:$P$1,0),FALSE)),"")</f>
      </c>
      <c r="H97" s="570">
        <f>IF(VLOOKUP(E97,'BDD'!$A$1:$S$567,15,FALSE)=0,"Critère non évalué","")</f>
      </c>
      <c r="I97" s="571">
        <f>_xlfn.IFERROR(IF(VLOOKUP($E97,'BDD'!$A$1:$S$567,MATCH(I$10,'BDD'!$A$1:$P$1,0),FALSE)=0,"",VLOOKUP($E97,'BDD'!$A$1:$S$567,MATCH(I$10,'BDD'!$A$1:$P$1,0),FALSE)),"")</f>
      </c>
      <c r="J97" s="556"/>
      <c r="K97" s="557">
        <f>_xlfn.IFERROR(IF(VLOOKUP($E97,'BDD'!$A$1:$S$567,MATCH(K$10,'BDD'!$A$1:$P$1,0),FALSE)=0,"",VLOOKUP($E97,'BDD'!$A$1:$S$567,MATCH(K$10,'BDD'!$A$1:$P$1,0),FALSE)),"")</f>
      </c>
      <c r="L97" s="550"/>
      <c r="M97" s="555"/>
      <c r="N97" s="555"/>
      <c r="O97" s="534"/>
      <c r="P97" s="1042"/>
    </row>
    <row r="98" ht="130.05" customHeight="1" hidden="1">
      <c r="A98" s="1039"/>
      <c r="B98" s="542"/>
      <c r="C98" t="s" s="543">
        <f>IF(LEFT(RIGHT($B$1,2),1)=" ",RIGHT($B$1,1),RIGHT($B$1,2))</f>
        <v>275</v>
      </c>
      <c r="D98" s="550">
        <f>IF(LEFT(F98,14)="Bonne pratique",D97+1,D97)</f>
      </c>
      <c r="E98" s="566">
        <f>C98&amp;D98&amp;RIGHT(F98,1)</f>
      </c>
      <c r="F98" t="s" s="546">
        <v>1778</v>
      </c>
      <c r="G98" s="567">
        <f>_xlfn.IFERROR(IF(VLOOKUP($E98,'BDD'!$A$1:$S$567,MATCH(G$10,'BDD'!$A$1:$P$1,0),FALSE)=0,"",VLOOKUP($E98,'BDD'!$A$1:$S$567,MATCH(G$10,'BDD'!$A$1:$P$1,0),FALSE)),"")</f>
      </c>
      <c r="H98" s="568">
        <f>IF(VLOOKUP(E98,'BDD'!$A$1:$S$567,15,FALSE)=0,"Critère non évalué","")</f>
      </c>
      <c r="I98" s="569">
        <f>_xlfn.IFERROR(IF(VLOOKUP($E98,'BDD'!$A$1:$S$567,MATCH(I$10,'BDD'!$A$1:$P$1,0),FALSE)=0,"",VLOOKUP($E98,'BDD'!$A$1:$S$567,MATCH(I$10,'BDD'!$A$1:$P$1,0),FALSE)),"")</f>
      </c>
      <c r="J98" s="549"/>
      <c r="K98" s="567">
        <f>_xlfn.IFERROR(IF(VLOOKUP($E98,'BDD'!$A$1:$S$567,MATCH(K$10,'BDD'!$A$1:$P$1,0),FALSE)=0,"",VLOOKUP($E98,'BDD'!$A$1:$S$567,MATCH(K$10,'BDD'!$A$1:$P$1,0),FALSE)),"")</f>
      </c>
      <c r="L98" s="550"/>
      <c r="M98" s="557"/>
      <c r="N98" s="557"/>
      <c r="O98" s="534"/>
      <c r="P98" s="1042"/>
    </row>
    <row r="99" ht="130.05" customHeight="1" hidden="1">
      <c r="A99" s="1039"/>
      <c r="B99" s="542"/>
      <c r="C99" t="s" s="543">
        <f>IF(LEFT(RIGHT($B$1,2),1)=" ",RIGHT($B$1,1),RIGHT($B$1,2))</f>
        <v>275</v>
      </c>
      <c r="D99" s="550">
        <f>IF(LEFT(F99,14)="Bonne pratique",D98+1,D98)</f>
      </c>
      <c r="E99" s="566">
        <f>C99&amp;D99&amp;RIGHT(F99,1)</f>
      </c>
      <c r="F99" t="s" s="552">
        <v>1780</v>
      </c>
      <c r="G99" s="557">
        <f>_xlfn.IFERROR(IF(VLOOKUP($E99,'BDD'!$A$1:$S$567,MATCH(G$10,'BDD'!$A$1:$P$1,0),FALSE)=0,"",VLOOKUP($E99,'BDD'!$A$1:$S$567,MATCH(G$10,'BDD'!$A$1:$P$1,0),FALSE)),"")</f>
      </c>
      <c r="H99" s="570">
        <f>IF(VLOOKUP(E99,'BDD'!$A$1:$S$567,15,FALSE)=0,"Critère non évalué","")</f>
      </c>
      <c r="I99" s="571">
        <f>_xlfn.IFERROR(IF(VLOOKUP($E99,'BDD'!$A$1:$S$567,MATCH(I$10,'BDD'!$A$1:$P$1,0),FALSE)=0,"",VLOOKUP($E99,'BDD'!$A$1:$S$567,MATCH(I$10,'BDD'!$A$1:$P$1,0),FALSE)),"")</f>
      </c>
      <c r="J99" s="556"/>
      <c r="K99" s="557">
        <f>_xlfn.IFERROR(IF(VLOOKUP($E99,'BDD'!$A$1:$S$567,MATCH(K$10,'BDD'!$A$1:$P$1,0),FALSE)=0,"",VLOOKUP($E99,'BDD'!$A$1:$S$567,MATCH(K$10,'BDD'!$A$1:$P$1,0),FALSE)),"")</f>
      </c>
      <c r="L99" s="550"/>
      <c r="M99" s="555"/>
      <c r="N99" s="555"/>
      <c r="O99" s="534"/>
      <c r="P99" s="1042"/>
    </row>
    <row r="100" ht="130.05" customHeight="1" hidden="1">
      <c r="A100" s="1039"/>
      <c r="B100" s="542"/>
      <c r="C100" t="s" s="543">
        <f>IF(LEFT(RIGHT($B$1,2),1)=" ",RIGHT($B$1,1),RIGHT($B$1,2))</f>
        <v>275</v>
      </c>
      <c r="D100" s="550">
        <f>IF(LEFT(F100,14)="Bonne pratique",D99+1,D99)</f>
      </c>
      <c r="E100" s="566">
        <f>C100&amp;D100&amp;RIGHT(F100,1)</f>
      </c>
      <c r="F100" t="s" s="546">
        <v>1782</v>
      </c>
      <c r="G100" s="567">
        <f>_xlfn.IFERROR(IF(VLOOKUP($E100,'BDD'!$A$1:$S$567,MATCH(G$10,'BDD'!$A$1:$P$1,0),FALSE)=0,"",VLOOKUP($E100,'BDD'!$A$1:$S$567,MATCH(G$10,'BDD'!$A$1:$P$1,0),FALSE)),"")</f>
      </c>
      <c r="H100" s="568">
        <f>IF(VLOOKUP(E100,'BDD'!$A$1:$S$567,15,FALSE)=0,"Critère non évalué","")</f>
      </c>
      <c r="I100" s="569">
        <f>_xlfn.IFERROR(IF(VLOOKUP($E100,'BDD'!$A$1:$S$567,MATCH(I$10,'BDD'!$A$1:$P$1,0),FALSE)=0,"",VLOOKUP($E100,'BDD'!$A$1:$S$567,MATCH(I$10,'BDD'!$A$1:$P$1,0),FALSE)),"")</f>
      </c>
      <c r="J100" s="549"/>
      <c r="K100" s="567">
        <f>_xlfn.IFERROR(IF(VLOOKUP($E100,'BDD'!$A$1:$S$567,MATCH(K$10,'BDD'!$A$1:$P$1,0),FALSE)=0,"",VLOOKUP($E100,'BDD'!$A$1:$S$567,MATCH(K$10,'BDD'!$A$1:$P$1,0),FALSE)),"")</f>
      </c>
      <c r="L100" s="550"/>
      <c r="M100" s="557"/>
      <c r="N100" s="557"/>
      <c r="O100" s="534"/>
      <c r="P100" s="1042"/>
    </row>
    <row r="101" ht="14.4" customHeight="1" hidden="1">
      <c r="A101" s="1039"/>
      <c r="B101" s="61"/>
      <c r="C101" t="s" s="513">
        <f>IF(LEFT(RIGHT($B$1,2),1)=" ",RIGHT($B$1,1),RIGHT($B$1,2))</f>
        <v>275</v>
      </c>
      <c r="D101" s="61"/>
      <c r="E101" s="61"/>
      <c r="F101" s="541"/>
      <c r="G101" s="541"/>
      <c r="H101" s="541"/>
      <c r="I101" s="541"/>
      <c r="J101" s="541"/>
      <c r="K101" s="541"/>
      <c r="L101" s="61"/>
      <c r="M101" s="541"/>
      <c r="N101" s="541"/>
      <c r="O101" s="61"/>
      <c r="P101" s="1042"/>
    </row>
    <row r="102" ht="14.4" customHeight="1" hidden="1">
      <c r="A102" s="1039"/>
      <c r="B102" s="61"/>
      <c r="C102" t="s" s="513">
        <f>IF(LEFT(RIGHT($B$1,2),1)=" ",RIGHT($B$1,1),RIGHT($B$1,2))</f>
        <v>275</v>
      </c>
      <c r="D102" s="61"/>
      <c r="E102" s="61"/>
      <c r="F102" s="541"/>
      <c r="G102" s="541"/>
      <c r="H102" s="541"/>
      <c r="I102" s="541"/>
      <c r="J102" s="541"/>
      <c r="K102" s="541"/>
      <c r="L102" s="61"/>
      <c r="M102" s="541"/>
      <c r="N102" s="541"/>
      <c r="O102" s="61"/>
      <c r="P102" s="1042"/>
    </row>
    <row r="103" ht="30" customHeight="1" hidden="1">
      <c r="A103" s="1043"/>
      <c r="B103" s="512"/>
      <c r="C103" t="s" s="513">
        <f>IF(LEFT(RIGHT($B$1,2),1)=" ",RIGHT($B$1,1),RIGHT($B$1,2))</f>
        <v>275</v>
      </c>
      <c r="D103" s="61">
        <f>IF(LEFT(F103,14)="Bonne pratique",D99+1,D99)</f>
      </c>
      <c r="E103" s="565">
        <f>C103&amp;D103&amp;RIGHT(F103,1)</f>
      </c>
      <c r="F103" t="s" s="828">
        <v>1888</v>
      </c>
      <c r="G103" s="829"/>
      <c r="H103" s="830"/>
      <c r="I103" s="831"/>
      <c r="J103" s="831">
        <f>VLOOKUP(E110,'BDD'!$A$2:$N$567,6,FALSE)</f>
      </c>
      <c r="K103" s="832"/>
      <c r="L103" s="517"/>
      <c r="M103" s="829"/>
      <c r="N103" s="829"/>
      <c r="O103" s="512"/>
      <c r="P103" s="1044"/>
    </row>
    <row r="104" ht="9" customHeight="1" hidden="1">
      <c r="A104" s="1039"/>
      <c r="B104" s="61"/>
      <c r="C104" t="s" s="513">
        <f>IF(LEFT(RIGHT($B$1,2),1)=" ",RIGHT($B$1,1),RIGHT($B$1,2))</f>
        <v>275</v>
      </c>
      <c r="D104" s="61">
        <f>IF(LEFT(F104,14)="Bonne pratique",D103+1,D103)</f>
      </c>
      <c r="E104" s="565">
        <f>C104&amp;D104&amp;RIGHT(F104,1)</f>
      </c>
      <c r="F104" s="541"/>
      <c r="G104" s="541"/>
      <c r="H104" s="541"/>
      <c r="I104" s="541"/>
      <c r="J104" s="541"/>
      <c r="K104" s="541"/>
      <c r="L104" s="61"/>
      <c r="M104" s="541"/>
      <c r="N104" s="541"/>
      <c r="O104" s="61"/>
      <c r="P104" s="1042"/>
    </row>
    <row r="105" ht="18" customHeight="1" hidden="1">
      <c r="A105" s="1045"/>
      <c r="B105" s="524"/>
      <c r="C105" t="s" s="513">
        <f>IF(LEFT(RIGHT($B$1,2),1)=" ",RIGHT($B$1,1),RIGHT($B$1,2))</f>
        <v>275</v>
      </c>
      <c r="D105" s="61">
        <f>IF(LEFT(F105,14)="Bonne pratique",D104+1,D104)</f>
      </c>
      <c r="E105" s="565">
        <f>C105&amp;D105&amp;RIGHT(F105,1)</f>
      </c>
      <c r="F105" s="833"/>
      <c r="G105" s="833"/>
      <c r="H105" s="833"/>
      <c r="I105" s="834"/>
      <c r="J105" s="835"/>
      <c r="K105" s="834"/>
      <c r="L105" s="524"/>
      <c r="M105" s="833"/>
      <c r="N105" s="833"/>
      <c r="O105" s="524"/>
      <c r="P105" s="1046"/>
    </row>
    <row r="106" ht="18" customHeight="1" hidden="1">
      <c r="A106" s="1039"/>
      <c r="B106" s="61"/>
      <c r="C106" t="s" s="513">
        <f>IF(LEFT(RIGHT($B$1,2),1)=" ",RIGHT($B$1,1),RIGHT($B$1,2))</f>
        <v>275</v>
      </c>
      <c r="D106" s="61">
        <f>IF(LEFT(F106,14)="Bonne pratique",D105+1,D105)</f>
      </c>
      <c r="E106" s="565">
        <f>C106&amp;D106&amp;RIGHT(F106,1)</f>
      </c>
      <c r="F106" s="541"/>
      <c r="G106" s="541"/>
      <c r="H106" s="541"/>
      <c r="I106" s="541"/>
      <c r="J106" s="836"/>
      <c r="K106" s="541"/>
      <c r="L106" s="61"/>
      <c r="M106" s="541"/>
      <c r="N106" s="541"/>
      <c r="O106" s="61"/>
      <c r="P106" s="1042"/>
    </row>
    <row r="107" ht="9" customHeight="1" hidden="1">
      <c r="A107" s="1039"/>
      <c r="B107" s="61"/>
      <c r="C107" t="s" s="513">
        <f>IF(LEFT(RIGHT($B$1,2),1)=" ",RIGHT($B$1,1),RIGHT($B$1,2))</f>
        <v>275</v>
      </c>
      <c r="D107" s="61">
        <f>IF(LEFT(F107,14)="Bonne pratique",D106+1,D106)</f>
      </c>
      <c r="E107" s="565">
        <f>C107&amp;D107&amp;RIGHT(F107,1)</f>
      </c>
      <c r="F107" s="541"/>
      <c r="G107" s="541"/>
      <c r="H107" s="541"/>
      <c r="I107" s="541"/>
      <c r="J107" s="837"/>
      <c r="K107" s="541"/>
      <c r="L107" s="542"/>
      <c r="M107" t="s" s="562">
        <v>1763</v>
      </c>
      <c r="N107" s="563"/>
      <c r="O107" s="534"/>
      <c r="P107" s="1042"/>
    </row>
    <row r="108" ht="33" customHeight="1" hidden="1">
      <c r="A108" s="1039"/>
      <c r="B108" s="61"/>
      <c r="C108" t="s" s="513">
        <f>IF(LEFT(RIGHT($B$1,2),1)=" ",RIGHT($B$1,1),RIGHT($B$1,2))</f>
        <v>275</v>
      </c>
      <c r="D108" s="61">
        <f>IF(LEFT(F108,14)="Bonne pratique",D107+1,D107)</f>
      </c>
      <c r="E108" s="565">
        <f>C108&amp;D108&amp;RIGHT(F108,1)</f>
      </c>
      <c r="F108" s="838"/>
      <c r="G108" t="s" s="536">
        <v>244</v>
      </c>
      <c r="H108" t="s" s="536">
        <v>1764</v>
      </c>
      <c r="I108" t="s" s="536">
        <v>1787</v>
      </c>
      <c r="J108" t="s" s="536">
        <v>1765</v>
      </c>
      <c r="K108" t="s" s="536">
        <v>1788</v>
      </c>
      <c r="L108" s="538"/>
      <c r="M108" t="s" s="539">
        <v>1766</v>
      </c>
      <c r="N108" t="s" s="540">
        <v>1767</v>
      </c>
      <c r="O108" s="534"/>
      <c r="P108" s="1042"/>
    </row>
    <row r="109" ht="9" customHeight="1" hidden="1">
      <c r="A109" s="1039"/>
      <c r="B109" s="61"/>
      <c r="C109" t="s" s="513">
        <f>IF(LEFT(RIGHT($B$1,2),1)=" ",RIGHT($B$1,1),RIGHT($B$1,2))</f>
        <v>275</v>
      </c>
      <c r="D109" s="61">
        <f>IF(LEFT(F109,14)="Bonne pratique",D108+1,D108)</f>
      </c>
      <c r="E109" s="565">
        <f>C109&amp;D109&amp;RIGHT(F109,1)</f>
      </c>
      <c r="F109" s="541"/>
      <c r="G109" s="541"/>
      <c r="H109" s="541"/>
      <c r="I109" s="541"/>
      <c r="J109" s="541"/>
      <c r="K109" s="541"/>
      <c r="L109" s="61"/>
      <c r="M109" s="541"/>
      <c r="N109" s="541"/>
      <c r="O109" s="61"/>
      <c r="P109" s="1042"/>
    </row>
    <row r="110" ht="130.05" customHeight="1" hidden="1">
      <c r="A110" s="1039"/>
      <c r="B110" s="542"/>
      <c r="C110" t="s" s="543">
        <f>IF(LEFT(RIGHT($B$1,2),1)=" ",RIGHT($B$1,1),RIGHT($B$1,2))</f>
        <v>275</v>
      </c>
      <c r="D110" s="550">
        <f>IF(LEFT(F110,14)="Bonne pratique",D109+1,D109)</f>
      </c>
      <c r="E110" s="566">
        <f>C110&amp;D110&amp;RIGHT(F110,1)</f>
      </c>
      <c r="F110" t="s" s="546">
        <v>1769</v>
      </c>
      <c r="G110" s="567">
        <f>_xlfn.IFERROR(IF(VLOOKUP($E110,'BDD'!$A$1:$S$567,MATCH(G$10,'BDD'!$A$1:$P$1,0),FALSE)=0,"",VLOOKUP($E110,'BDD'!$A$1:$S$567,MATCH(G$10,'BDD'!$A$1:$P$1,0),FALSE)),"")</f>
      </c>
      <c r="H110" s="568">
        <f>IF(VLOOKUP(E110,'BDD'!$A$1:$S$567,15,FALSE)=0,"Critère non évalué","")</f>
      </c>
      <c r="I110" s="569">
        <f>_xlfn.IFERROR(IF(VLOOKUP($E110,'BDD'!$A$1:$S$567,MATCH(I$10,'BDD'!$A$1:$P$1,0),FALSE)=0,"",VLOOKUP($E110,'BDD'!$A$1:$S$567,MATCH(I$10,'BDD'!$A$1:$P$1,0),FALSE)),"")</f>
      </c>
      <c r="J110" s="549"/>
      <c r="K110" s="567">
        <f>_xlfn.IFERROR(IF(VLOOKUP($E110,'BDD'!$A$1:$S$567,MATCH(K$10,'BDD'!$A$1:$P$1,0),FALSE)=0,"",VLOOKUP($E110,'BDD'!$A$1:$S$567,MATCH(K$10,'BDD'!$A$1:$P$1,0),FALSE)),"")</f>
      </c>
      <c r="L110" s="550"/>
      <c r="M110" s="551"/>
      <c r="N110" s="551"/>
      <c r="O110" s="534"/>
      <c r="P110" s="1042"/>
    </row>
    <row r="111" ht="130.05" customHeight="1" hidden="1">
      <c r="A111" s="1039"/>
      <c r="B111" s="542"/>
      <c r="C111" t="s" s="543">
        <f>IF(LEFT(RIGHT($B$1,2),1)=" ",RIGHT($B$1,1),RIGHT($B$1,2))</f>
        <v>275</v>
      </c>
      <c r="D111" s="550">
        <f>IF(LEFT(F111,14)="Bonne pratique",D110+1,D110)</f>
      </c>
      <c r="E111" s="566">
        <f>C111&amp;D111&amp;RIGHT(F111,1)</f>
      </c>
      <c r="F111" t="s" s="552">
        <v>1772</v>
      </c>
      <c r="G111" s="557">
        <f>_xlfn.IFERROR(IF(VLOOKUP($E111,'BDD'!$A$1:$S$567,MATCH(G$10,'BDD'!$A$1:$P$1,0),FALSE)=0,"",VLOOKUP($E111,'BDD'!$A$1:$S$567,MATCH(G$10,'BDD'!$A$1:$P$1,0),FALSE)),"")</f>
      </c>
      <c r="H111" s="570">
        <f>IF(VLOOKUP(E111,'BDD'!$A$1:$S$567,15,FALSE)=0,"Critère non évalué","")</f>
      </c>
      <c r="I111" s="571">
        <f>_xlfn.IFERROR(IF(VLOOKUP($E111,'BDD'!$A$1:$S$567,MATCH(I$10,'BDD'!$A$1:$P$1,0),FALSE)=0,"",VLOOKUP($E111,'BDD'!$A$1:$S$567,MATCH(I$10,'BDD'!$A$1:$P$1,0),FALSE)),"")</f>
      </c>
      <c r="J111" s="554"/>
      <c r="K111" s="557">
        <f>_xlfn.IFERROR(IF(VLOOKUP($E111,'BDD'!$A$1:$S$567,MATCH(K$10,'BDD'!$A$1:$P$1,0),FALSE)=0,"",VLOOKUP($E111,'BDD'!$A$1:$S$567,MATCH(K$10,'BDD'!$A$1:$P$1,0),FALSE)),"")</f>
      </c>
      <c r="L111" s="550"/>
      <c r="M111" s="555"/>
      <c r="N111" s="555"/>
      <c r="O111" s="534"/>
      <c r="P111" s="1042"/>
    </row>
    <row r="112" ht="130.05" customHeight="1" hidden="1">
      <c r="A112" s="1039"/>
      <c r="B112" s="542"/>
      <c r="C112" t="s" s="543">
        <f>IF(LEFT(RIGHT($B$1,2),1)=" ",RIGHT($B$1,1),RIGHT($B$1,2))</f>
        <v>275</v>
      </c>
      <c r="D112" s="550">
        <f>IF(LEFT(F112,14)="Bonne pratique",D111+1,D111)</f>
      </c>
      <c r="E112" s="566">
        <f>C112&amp;D112&amp;RIGHT(F112,1)</f>
      </c>
      <c r="F112" t="s" s="546">
        <v>1774</v>
      </c>
      <c r="G112" s="567">
        <f>_xlfn.IFERROR(IF(VLOOKUP($E112,'BDD'!$A$1:$S$567,MATCH(G$10,'BDD'!$A$1:$P$1,0),FALSE)=0,"",VLOOKUP($E112,'BDD'!$A$1:$S$567,MATCH(G$10,'BDD'!$A$1:$P$1,0),FALSE)),"")</f>
      </c>
      <c r="H112" s="568">
        <f>IF(VLOOKUP(E112,'BDD'!$A$1:$S$567,15,FALSE)=0,"Critère non évalué","")</f>
      </c>
      <c r="I112" s="569">
        <f>_xlfn.IFERROR(IF(VLOOKUP($E112,'BDD'!$A$1:$S$567,MATCH(I$10,'BDD'!$A$1:$P$1,0),FALSE)=0,"",VLOOKUP($E112,'BDD'!$A$1:$S$567,MATCH(I$10,'BDD'!$A$1:$P$1,0),FALSE)),"")</f>
      </c>
      <c r="J112" s="549"/>
      <c r="K112" s="567">
        <f>_xlfn.IFERROR(IF(VLOOKUP($E112,'BDD'!$A$1:$S$567,MATCH(K$10,'BDD'!$A$1:$P$1,0),FALSE)=0,"",VLOOKUP($E112,'BDD'!$A$1:$S$567,MATCH(K$10,'BDD'!$A$1:$P$1,0),FALSE)),"")</f>
      </c>
      <c r="L112" s="550"/>
      <c r="M112" s="551"/>
      <c r="N112" s="551"/>
      <c r="O112" s="534"/>
      <c r="P112" s="1042"/>
    </row>
    <row r="113" ht="130.05" customHeight="1" hidden="1">
      <c r="A113" s="1039"/>
      <c r="B113" s="542"/>
      <c r="C113" t="s" s="543">
        <f>IF(LEFT(RIGHT($B$1,2),1)=" ",RIGHT($B$1,1),RIGHT($B$1,2))</f>
        <v>275</v>
      </c>
      <c r="D113" s="550">
        <f>IF(LEFT(F113,14)="Bonne pratique",D112+1,D112)</f>
      </c>
      <c r="E113" s="566">
        <f>C113&amp;D113&amp;RIGHT(F113,1)</f>
      </c>
      <c r="F113" t="s" s="552">
        <v>1776</v>
      </c>
      <c r="G113" s="557">
        <f>_xlfn.IFERROR(IF(VLOOKUP($E113,'BDD'!$A$1:$S$567,MATCH(G$10,'BDD'!$A$1:$P$1,0),FALSE)=0,"",VLOOKUP($E113,'BDD'!$A$1:$S$567,MATCH(G$10,'BDD'!$A$1:$P$1,0),FALSE)),"")</f>
      </c>
      <c r="H113" s="570">
        <f>IF(VLOOKUP(E113,'BDD'!$A$1:$S$567,15,FALSE)=0,"Critère non évalué","")</f>
      </c>
      <c r="I113" s="571">
        <f>_xlfn.IFERROR(IF(VLOOKUP($E113,'BDD'!$A$1:$S$567,MATCH(I$10,'BDD'!$A$1:$P$1,0),FALSE)=0,"",VLOOKUP($E113,'BDD'!$A$1:$S$567,MATCH(I$10,'BDD'!$A$1:$P$1,0),FALSE)),"")</f>
      </c>
      <c r="J113" s="556"/>
      <c r="K113" s="557">
        <f>_xlfn.IFERROR(IF(VLOOKUP($E113,'BDD'!$A$1:$S$567,MATCH(K$10,'BDD'!$A$1:$P$1,0),FALSE)=0,"",VLOOKUP($E113,'BDD'!$A$1:$S$567,MATCH(K$10,'BDD'!$A$1:$P$1,0),FALSE)),"")</f>
      </c>
      <c r="L113" s="550"/>
      <c r="M113" s="555"/>
      <c r="N113" s="555"/>
      <c r="O113" s="534"/>
      <c r="P113" s="1042"/>
    </row>
    <row r="114" ht="130.05" customHeight="1" hidden="1">
      <c r="A114" s="1039"/>
      <c r="B114" s="542"/>
      <c r="C114" t="s" s="543">
        <f>IF(LEFT(RIGHT($B$1,2),1)=" ",RIGHT($B$1,1),RIGHT($B$1,2))</f>
        <v>275</v>
      </c>
      <c r="D114" s="550">
        <f>IF(LEFT(F114,14)="Bonne pratique",D113+1,D113)</f>
      </c>
      <c r="E114" s="566">
        <f>C114&amp;D114&amp;RIGHT(F114,1)</f>
      </c>
      <c r="F114" t="s" s="546">
        <v>1778</v>
      </c>
      <c r="G114" s="567">
        <f>_xlfn.IFERROR(IF(VLOOKUP($E114,'BDD'!$A$1:$S$567,MATCH(G$10,'BDD'!$A$1:$P$1,0),FALSE)=0,"",VLOOKUP($E114,'BDD'!$A$1:$S$567,MATCH(G$10,'BDD'!$A$1:$P$1,0),FALSE)),"")</f>
      </c>
      <c r="H114" s="568">
        <f>IF(VLOOKUP(E114,'BDD'!$A$1:$S$567,15,FALSE)=0,"Critère non évalué","")</f>
      </c>
      <c r="I114" s="569">
        <f>_xlfn.IFERROR(IF(VLOOKUP($E114,'BDD'!$A$1:$S$567,MATCH(I$10,'BDD'!$A$1:$P$1,0),FALSE)=0,"",VLOOKUP($E114,'BDD'!$A$1:$S$567,MATCH(I$10,'BDD'!$A$1:$P$1,0),FALSE)),"")</f>
      </c>
      <c r="J114" s="549"/>
      <c r="K114" s="567">
        <f>_xlfn.IFERROR(IF(VLOOKUP($E114,'BDD'!$A$1:$S$567,MATCH(K$10,'BDD'!$A$1:$P$1,0),FALSE)=0,"",VLOOKUP($E114,'BDD'!$A$1:$S$567,MATCH(K$10,'BDD'!$A$1:$P$1,0),FALSE)),"")</f>
      </c>
      <c r="L114" s="550"/>
      <c r="M114" s="557"/>
      <c r="N114" s="557"/>
      <c r="O114" s="534"/>
      <c r="P114" s="1042"/>
    </row>
    <row r="115" ht="130.05" customHeight="1" hidden="1">
      <c r="A115" s="1039"/>
      <c r="B115" s="542"/>
      <c r="C115" t="s" s="543">
        <f>IF(LEFT(RIGHT($B$1,2),1)=" ",RIGHT($B$1,1),RIGHT($B$1,2))</f>
        <v>275</v>
      </c>
      <c r="D115" s="550">
        <f>IF(LEFT(F115,14)="Bonne pratique",D114+1,D114)</f>
      </c>
      <c r="E115" s="566">
        <f>C115&amp;D115&amp;RIGHT(F115,1)</f>
      </c>
      <c r="F115" t="s" s="552">
        <v>1780</v>
      </c>
      <c r="G115" s="557">
        <f>_xlfn.IFERROR(IF(VLOOKUP($E115,'BDD'!$A$1:$S$567,MATCH(G$10,'BDD'!$A$1:$P$1,0),FALSE)=0,"",VLOOKUP($E115,'BDD'!$A$1:$S$567,MATCH(G$10,'BDD'!$A$1:$P$1,0),FALSE)),"")</f>
      </c>
      <c r="H115" s="570">
        <f>IF(VLOOKUP(E115,'BDD'!$A$1:$S$567,15,FALSE)=0,"Critère non évalué","")</f>
      </c>
      <c r="I115" s="571">
        <f>_xlfn.IFERROR(IF(VLOOKUP($E115,'BDD'!$A$1:$S$567,MATCH(I$10,'BDD'!$A$1:$P$1,0),FALSE)=0,"",VLOOKUP($E115,'BDD'!$A$1:$S$567,MATCH(I$10,'BDD'!$A$1:$P$1,0),FALSE)),"")</f>
      </c>
      <c r="J115" s="556"/>
      <c r="K115" s="557">
        <f>_xlfn.IFERROR(IF(VLOOKUP($E115,'BDD'!$A$1:$S$567,MATCH(K$10,'BDD'!$A$1:$P$1,0),FALSE)=0,"",VLOOKUP($E115,'BDD'!$A$1:$S$567,MATCH(K$10,'BDD'!$A$1:$P$1,0),FALSE)),"")</f>
      </c>
      <c r="L115" s="550"/>
      <c r="M115" s="555"/>
      <c r="N115" s="555"/>
      <c r="O115" s="534"/>
      <c r="P115" s="1042"/>
    </row>
    <row r="116" ht="130.05" customHeight="1" hidden="1">
      <c r="A116" s="1039"/>
      <c r="B116" s="542"/>
      <c r="C116" t="s" s="543">
        <f>RIGHT($B$1,1)</f>
        <v>1913</v>
      </c>
      <c r="D116" s="550">
        <f>IF(LEFT(F116,14)="Bonne pratique",D115+1,D115)</f>
      </c>
      <c r="E116" s="566">
        <f>C116&amp;D116&amp;RIGHT(F116,1)</f>
      </c>
      <c r="F116" t="s" s="546">
        <v>1782</v>
      </c>
      <c r="G116" s="567">
        <f>_xlfn.IFERROR(IF(VLOOKUP($E116,'BDD'!$A$1:$S$567,MATCH(G$10,'BDD'!$A$1:$P$1,0),FALSE)=0,"",VLOOKUP($E116,'BDD'!$A$1:$S$567,MATCH(G$10,'BDD'!$A$1:$P$1,0),FALSE)),"")</f>
      </c>
      <c r="H116" s="568">
        <f>IF(VLOOKUP(E116,'BDD'!$A$1:$S$567,15,FALSE)=0,"Critère non évalué","")</f>
      </c>
      <c r="I116" s="569">
        <f>_xlfn.IFERROR(IF(VLOOKUP($E116,'BDD'!$A$1:$S$567,MATCH(I$10,'BDD'!$A$1:$P$1,0),FALSE)=0,"",VLOOKUP($E116,'BDD'!$A$1:$S$567,MATCH(I$10,'BDD'!$A$1:$P$1,0),FALSE)),"")</f>
      </c>
      <c r="J116" s="549"/>
      <c r="K116" s="567">
        <f>_xlfn.IFERROR(IF(VLOOKUP($E116,'BDD'!$A$1:$S$567,MATCH(K$10,'BDD'!$A$1:$P$1,0),FALSE)=0,"",VLOOKUP($E116,'BDD'!$A$1:$S$567,MATCH(K$10,'BDD'!$A$1:$P$1,0),FALSE)),"")</f>
      </c>
      <c r="L116" s="550"/>
      <c r="M116" s="557"/>
      <c r="N116" s="557"/>
      <c r="O116" s="534"/>
      <c r="P116" s="1042"/>
    </row>
    <row r="117" ht="14.4" customHeight="1">
      <c r="A117" s="1039"/>
      <c r="B117" s="61"/>
      <c r="C117" s="61"/>
      <c r="D117" s="61"/>
      <c r="E117" s="61"/>
      <c r="F117" s="559"/>
      <c r="G117" s="559"/>
      <c r="H117" s="559"/>
      <c r="I117" s="559"/>
      <c r="J117" s="559"/>
      <c r="K117" s="559"/>
      <c r="L117" s="61"/>
      <c r="M117" s="559"/>
      <c r="N117" s="559"/>
      <c r="O117" s="61"/>
      <c r="P117" s="1042"/>
    </row>
    <row r="118" ht="14.4" customHeight="1">
      <c r="A118" t="s" s="1047">
        <v>171</v>
      </c>
      <c r="B118" s="1048"/>
      <c r="C118" s="1048"/>
      <c r="D118" s="1048"/>
      <c r="E118" s="1048"/>
      <c r="F118" s="1048"/>
      <c r="G118" s="1048"/>
      <c r="H118" s="1048"/>
      <c r="I118" s="1048"/>
      <c r="J118" s="1048"/>
      <c r="K118" s="1048"/>
      <c r="L118" s="1048"/>
      <c r="M118" s="1048"/>
      <c r="N118" s="1048"/>
      <c r="O118" s="1048"/>
      <c r="P118" t="s" s="1049">
        <v>171</v>
      </c>
    </row>
  </sheetData>
  <mergeCells count="7">
    <mergeCell ref="M107:N107"/>
    <mergeCell ref="M9:N9"/>
    <mergeCell ref="M25:N25"/>
    <mergeCell ref="M41:N41"/>
    <mergeCell ref="M57:N57"/>
    <mergeCell ref="M75:N75"/>
    <mergeCell ref="M91:N91"/>
  </mergeCells>
  <pageMargins left="0.7" right="0.7" top="0.75" bottom="0.75" header="0.3" footer="0.3"/>
  <pageSetup firstPageNumber="1" fitToHeight="1" fitToWidth="1" scale="100" useFirstPageNumber="0" orientation="portrait" pageOrder="downThenOver"/>
  <headerFooter>
    <oddFooter>&amp;C&amp;"Helvetica Neue,Regular"&amp;12&amp;K000000&amp;P</oddFooter>
  </headerFooter>
  <drawing r:id="rId1"/>
</worksheet>
</file>

<file path=xl/worksheets/sheet33.xml><?xml version="1.0" encoding="utf-8"?>
<worksheet xmlns:r="http://schemas.openxmlformats.org/officeDocument/2006/relationships" xmlns="http://schemas.openxmlformats.org/spreadsheetml/2006/main">
  <dimension ref="A1:AJ99"/>
  <sheetViews>
    <sheetView workbookViewId="0" showGridLines="0" defaultGridColor="1"/>
  </sheetViews>
  <sheetFormatPr defaultColWidth="8.83333" defaultRowHeight="14.4" customHeight="1" outlineLevelRow="0" outlineLevelCol="0"/>
  <cols>
    <col min="1" max="2" width="5.85156" style="1171" customWidth="1"/>
    <col min="3" max="5" hidden="1" width="8.83333" style="1171" customWidth="1"/>
    <col min="6" max="6" width="25.6719" style="1171" customWidth="1"/>
    <col min="7" max="7" width="73.5" style="1171" customWidth="1"/>
    <col min="8" max="12" width="5.85156" style="1171" customWidth="1"/>
    <col min="13" max="13" width="8.85156" style="1171" customWidth="1"/>
    <col min="14" max="14" width="50.8516" style="1171" customWidth="1"/>
    <col min="15" max="22" width="4.35156" style="1171" customWidth="1"/>
    <col min="23" max="23" width="3" style="1171" customWidth="1"/>
    <col min="24" max="24" width="23.8516" style="1171" customWidth="1"/>
    <col min="25" max="25" width="59.8516" style="1171" customWidth="1"/>
    <col min="26" max="26" width="4" style="1171" customWidth="1"/>
    <col min="27" max="28" width="17.1719" style="1171" customWidth="1"/>
    <col min="29" max="29" width="5.85156" style="1171" customWidth="1"/>
    <col min="30" max="30" width="7.85156" style="1171" customWidth="1"/>
    <col min="31" max="31" width="2.5" style="1171" customWidth="1"/>
    <col min="32" max="32" width="19" style="1171" customWidth="1"/>
    <col min="33" max="35" width="5.85156" style="1171" customWidth="1"/>
    <col min="36" max="36" width="8.85156" style="1171" customWidth="1"/>
    <col min="37" max="16384" width="8.85156" style="1171" customWidth="1"/>
  </cols>
  <sheetData>
    <row r="1" ht="45" customHeight="1">
      <c r="A1" s="1051"/>
      <c r="B1" t="s" s="1033">
        <v>2545</v>
      </c>
      <c r="C1" s="1052"/>
      <c r="D1" s="1052"/>
      <c r="E1" s="1034"/>
      <c r="F1" s="1034"/>
      <c r="G1" s="1034"/>
      <c r="H1" s="1034"/>
      <c r="I1" s="1034"/>
      <c r="J1" s="1053"/>
      <c r="K1" s="1054"/>
      <c r="L1" s="1034"/>
      <c r="M1" s="1034"/>
      <c r="N1" s="1055"/>
      <c r="O1" s="1055"/>
      <c r="P1" s="1055"/>
      <c r="Q1" t="s" s="1056">
        <f>VLOOKUP($E$27,'BDD'!$A$2:$N$567,3,FALSE)</f>
        <v>236</v>
      </c>
      <c r="R1" s="1035"/>
      <c r="S1" s="1036"/>
      <c r="T1" s="1036"/>
      <c r="U1" s="1036"/>
      <c r="V1" s="1036"/>
      <c r="W1" s="1036"/>
      <c r="X1" s="1036"/>
      <c r="Y1" s="1036"/>
      <c r="Z1" s="1036"/>
      <c r="AA1" s="1036"/>
      <c r="AB1" s="1036"/>
      <c r="AC1" s="1036"/>
      <c r="AD1" s="1036"/>
      <c r="AE1" s="1036"/>
      <c r="AF1" s="1036"/>
      <c r="AG1" s="1036"/>
      <c r="AH1" s="1036"/>
      <c r="AI1" s="1036"/>
      <c r="AJ1" s="582"/>
    </row>
    <row r="2" ht="45" customHeight="1">
      <c r="A2" s="1039"/>
      <c r="B2" s="1040"/>
      <c r="C2" s="1040"/>
      <c r="D2" s="1040"/>
      <c r="E2" s="1040"/>
      <c r="F2" s="1040"/>
      <c r="G2" s="1040"/>
      <c r="H2" s="1040"/>
      <c r="I2" s="1040"/>
      <c r="J2" s="1040"/>
      <c r="K2" s="1040"/>
      <c r="L2" s="1040"/>
      <c r="M2" s="1040"/>
      <c r="N2" s="1057"/>
      <c r="O2" s="1057"/>
      <c r="P2" s="1057"/>
      <c r="Q2" t="s" s="1041">
        <f>VLOOKUP($E$27,'BDD'!$A$2:$N$567,4,FALSE)</f>
        <v>1659</v>
      </c>
      <c r="R2" s="1040"/>
      <c r="S2" s="1058"/>
      <c r="T2" s="1058"/>
      <c r="U2" s="1058"/>
      <c r="V2" s="1058"/>
      <c r="W2" s="1058"/>
      <c r="X2" s="1058"/>
      <c r="Y2" s="1058"/>
      <c r="Z2" s="1058"/>
      <c r="AA2" s="1058"/>
      <c r="AB2" s="1058"/>
      <c r="AC2" s="1058"/>
      <c r="AD2" s="1058"/>
      <c r="AE2" s="1058"/>
      <c r="AF2" s="1058"/>
      <c r="AG2" s="1058"/>
      <c r="AH2" s="1058"/>
      <c r="AI2" s="1058"/>
      <c r="AJ2" s="585"/>
    </row>
    <row r="3" ht="45" customHeight="1">
      <c r="A3" s="1039"/>
      <c r="B3" s="586"/>
      <c r="C3" s="586"/>
      <c r="D3" s="586"/>
      <c r="E3" s="586"/>
      <c r="F3" s="586"/>
      <c r="G3" s="587"/>
      <c r="H3" s="587"/>
      <c r="I3" s="587"/>
      <c r="J3" s="587"/>
      <c r="K3" s="587"/>
      <c r="L3" s="587"/>
      <c r="M3" s="587"/>
      <c r="N3" s="586"/>
      <c r="O3" s="586"/>
      <c r="P3" s="586"/>
      <c r="Q3" s="586"/>
      <c r="R3" s="586"/>
      <c r="S3" s="586"/>
      <c r="T3" s="586"/>
      <c r="U3" s="586"/>
      <c r="V3" s="586"/>
      <c r="W3" s="586"/>
      <c r="X3" s="588"/>
      <c r="Y3" s="586"/>
      <c r="Z3" s="586"/>
      <c r="AA3" s="586"/>
      <c r="AB3" s="589"/>
      <c r="AC3" s="586"/>
      <c r="AD3" s="586"/>
      <c r="AE3" s="586"/>
      <c r="AF3" s="586"/>
      <c r="AG3" s="586"/>
      <c r="AH3" s="586"/>
      <c r="AI3" s="1040"/>
      <c r="AJ3" s="585"/>
    </row>
    <row r="4" ht="26.4" customHeight="1">
      <c r="A4" s="1039"/>
      <c r="B4" s="586"/>
      <c r="C4" s="586"/>
      <c r="D4" s="586"/>
      <c r="E4" s="586"/>
      <c r="F4" s="586"/>
      <c r="G4" t="s" s="590">
        <v>1817</v>
      </c>
      <c r="H4" s="591"/>
      <c r="I4" s="587"/>
      <c r="J4" s="591"/>
      <c r="K4" s="591"/>
      <c r="L4" s="591"/>
      <c r="M4" s="591"/>
      <c r="N4" s="586"/>
      <c r="O4" s="586"/>
      <c r="P4" s="586"/>
      <c r="Q4" s="586"/>
      <c r="R4" s="586"/>
      <c r="S4" s="586"/>
      <c r="T4" s="586"/>
      <c r="U4" s="586"/>
      <c r="V4" s="586"/>
      <c r="W4" s="586"/>
      <c r="X4" t="s" s="1060">
        <v>1818</v>
      </c>
      <c r="Y4" s="586"/>
      <c r="Z4" s="586"/>
      <c r="AA4" s="593"/>
      <c r="AB4" s="594"/>
      <c r="AC4" t="s" s="595">
        <v>1819</v>
      </c>
      <c r="AD4" s="586"/>
      <c r="AE4" s="586"/>
      <c r="AF4" s="586"/>
      <c r="AG4" s="596"/>
      <c r="AH4" s="596"/>
      <c r="AI4" s="1061"/>
      <c r="AJ4" s="585"/>
    </row>
    <row r="5" ht="30" customHeight="1">
      <c r="A5" s="1039"/>
      <c r="B5" s="586"/>
      <c r="C5" s="586"/>
      <c r="D5" s="586"/>
      <c r="E5" t="s" s="744">
        <f>$C$25&amp;"11"</f>
        <v>2546</v>
      </c>
      <c r="F5" s="586"/>
      <c r="G5" t="s" s="598">
        <f>IF(VLOOKUP(E5,'BDD'!$A$2:$N$567,13,FALSE)=0,"",VLOOKUP(E5,'BDD'!$A$2:$N$567,13,FALSE))</f>
        <v>1663</v>
      </c>
      <c r="H5" s="599"/>
      <c r="I5" s="587"/>
      <c r="J5" s="25"/>
      <c r="K5" s="599"/>
      <c r="L5" s="1062"/>
      <c r="M5" s="1062"/>
      <c r="N5" s="1063"/>
      <c r="O5" s="1063"/>
      <c r="P5" s="1063"/>
      <c r="Q5" s="1063"/>
      <c r="R5" s="1063"/>
      <c r="S5" s="1063"/>
      <c r="T5" s="1063"/>
      <c r="U5" s="1063"/>
      <c r="V5" s="1063"/>
      <c r="W5" s="1063"/>
      <c r="X5" s="1064"/>
      <c r="Y5" s="1063"/>
      <c r="Z5" s="1063"/>
      <c r="AA5" s="1063"/>
      <c r="AB5" s="1065"/>
      <c r="AC5" s="1063"/>
      <c r="AD5" s="586"/>
      <c r="AE5" s="586"/>
      <c r="AF5" s="586"/>
      <c r="AG5" s="586"/>
      <c r="AH5" s="586"/>
      <c r="AI5" s="1040"/>
      <c r="AJ5" s="585"/>
    </row>
    <row r="6" ht="30" customHeight="1">
      <c r="A6" s="1066"/>
      <c r="B6" s="565"/>
      <c r="C6" s="565"/>
      <c r="D6" s="565"/>
      <c r="E6" t="s" s="558">
        <f>$C$25&amp;"12"</f>
        <v>2547</v>
      </c>
      <c r="F6" s="565"/>
      <c r="G6" t="s" s="598">
        <f>IF(VLOOKUP(E6,'BDD'!$A$2:$N$567,13,FALSE)=0,"",VLOOKUP(E6,'BDD'!$A$2:$N$567,13,FALSE))</f>
        <v>1667</v>
      </c>
      <c r="H6" s="605"/>
      <c r="I6" s="587"/>
      <c r="J6" s="25"/>
      <c r="K6" s="1067"/>
      <c r="L6" s="1068"/>
      <c r="M6" s="1069"/>
      <c r="N6" s="1070"/>
      <c r="O6" s="1071"/>
      <c r="P6" s="1071"/>
      <c r="Q6" s="1071"/>
      <c r="R6" s="1071"/>
      <c r="S6" s="1071"/>
      <c r="T6" s="1071"/>
      <c r="U6" s="1071"/>
      <c r="V6" s="1071"/>
      <c r="W6" s="1072"/>
      <c r="X6" s="1071"/>
      <c r="Y6" s="1071"/>
      <c r="Z6" s="1072"/>
      <c r="AA6" s="1073"/>
      <c r="AB6" s="1073"/>
      <c r="AC6" s="1074"/>
      <c r="AD6" s="1075"/>
      <c r="AE6" s="615"/>
      <c r="AF6" s="615"/>
      <c r="AG6" s="587"/>
      <c r="AH6" s="587"/>
      <c r="AI6" s="1076"/>
      <c r="AJ6" s="617"/>
    </row>
    <row r="7" ht="31.8" customHeight="1">
      <c r="A7" s="1066"/>
      <c r="B7" s="565"/>
      <c r="C7" s="565"/>
      <c r="D7" s="565"/>
      <c r="E7" t="s" s="558">
        <f>$C$25&amp;"13"</f>
        <v>2548</v>
      </c>
      <c r="F7" s="565"/>
      <c r="G7" t="s" s="598">
        <f>IF(VLOOKUP(E7,'BDD'!$A$2:$N$567,13,FALSE)=0,"",VLOOKUP(E7,'BDD'!$A$2:$N$567,13,FALSE))</f>
        <v>1672</v>
      </c>
      <c r="H7" s="605"/>
      <c r="I7" s="587"/>
      <c r="J7" s="25"/>
      <c r="K7" s="1067"/>
      <c r="L7" s="1077"/>
      <c r="M7" s="1078"/>
      <c r="N7" t="s" s="620">
        <v>11</v>
      </c>
      <c r="O7" t="s" s="621">
        <v>12</v>
      </c>
      <c r="P7" t="s" s="621">
        <v>13</v>
      </c>
      <c r="Q7" t="s" s="621">
        <v>14</v>
      </c>
      <c r="R7" t="s" s="621">
        <v>15</v>
      </c>
      <c r="S7" t="s" s="621">
        <v>16</v>
      </c>
      <c r="T7" t="s" s="621">
        <v>17</v>
      </c>
      <c r="U7" t="s" s="621">
        <v>18</v>
      </c>
      <c r="V7" t="s" s="621">
        <v>19</v>
      </c>
      <c r="W7" s="206"/>
      <c r="X7" t="s" s="622">
        <v>20</v>
      </c>
      <c r="Y7" t="s" s="623">
        <v>21</v>
      </c>
      <c r="Z7" s="1079"/>
      <c r="AA7" t="s" s="625">
        <v>22</v>
      </c>
      <c r="AB7" t="s" s="626">
        <v>223</v>
      </c>
      <c r="AC7" s="1080"/>
      <c r="AD7" s="1081"/>
      <c r="AE7" t="s" s="629">
        <v>1820</v>
      </c>
      <c r="AF7" t="s" s="630">
        <v>1752</v>
      </c>
      <c r="AG7" s="631"/>
      <c r="AH7" s="587"/>
      <c r="AI7" s="1076"/>
      <c r="AJ7" s="617"/>
    </row>
    <row r="8" ht="41.4" customHeight="1">
      <c r="A8" s="1066"/>
      <c r="B8" s="565"/>
      <c r="C8" s="565"/>
      <c r="D8" s="565"/>
      <c r="E8" t="s" s="558">
        <f>$C$25&amp;"14"</f>
        <v>2549</v>
      </c>
      <c r="F8" s="565"/>
      <c r="G8" t="s" s="598">
        <f>IF(VLOOKUP(E8,'BDD'!$A$2:$N$567,13,FALSE)=0,"",VLOOKUP(E8,'BDD'!$A$2:$N$567,13,FALSE))</f>
        <v>1677</v>
      </c>
      <c r="H8" s="605"/>
      <c r="I8" s="587"/>
      <c r="J8" s="25"/>
      <c r="K8" s="1067"/>
      <c r="L8" s="1077"/>
      <c r="M8" t="s" s="929">
        <f>IF(LEFT(RIGHT($B$1,2),1)=" ",RIGHT($B$1,1),RIGHT($B$1,2))&amp;1</f>
        <v>32</v>
      </c>
      <c r="N8" t="s" s="539">
        <f>RIGHT(M8,1)&amp;" : "&amp;VLOOKUP($M8&amp;"1",'BDD'!$A$2:$N$567,6,FALSE)</f>
        <v>2569</v>
      </c>
      <c r="O8" t="s" s="71">
        <f>IF(VLOOKUP($M8&amp;RIGHT(O$7,1),'BDD'!$A$1:$S$600,15,FALSE)=4,"NE",IF(VLOOKUP($M8&amp;RIGHT(O$7,1),'BDD'!$A$1:$S$600,15,FALSE)=0,"NE",VLOOKUP($M8&amp;RIGHT(O$7,1),'BDD'!$A$1:$S$600,15,FALSE)))</f>
        <v>27</v>
      </c>
      <c r="P8" t="s" s="71">
        <f>IF(VLOOKUP($M8&amp;RIGHT(P$7,1),'BDD'!$A$1:$S$600,15,FALSE)=4,"NE",IF(VLOOKUP($M8&amp;RIGHT(P$7,1),'BDD'!$A$1:$S$600,15,FALSE)=0,"NE",VLOOKUP($M8&amp;RIGHT(P$7,1),'BDD'!$A$1:$S$600,15,FALSE)))</f>
        <v>27</v>
      </c>
      <c r="Q8" t="s" s="71">
        <f>IF(VLOOKUP($M8&amp;RIGHT(Q$7,1),'BDD'!$A$1:$S$600,15,FALSE)=4,"NE",IF(VLOOKUP($M8&amp;RIGHT(Q$7,1),'BDD'!$A$1:$S$600,15,FALSE)=0,"NE",VLOOKUP($M8&amp;RIGHT(Q$7,1),'BDD'!$A$1:$S$600,15,FALSE)))</f>
        <v>27</v>
      </c>
      <c r="R8" t="s" s="71">
        <f>IF(VLOOKUP($M8&amp;RIGHT(R$7,1),'BDD'!$A$1:$S$600,15,FALSE)=4,"NE",IF(VLOOKUP($M8&amp;RIGHT(R$7,1),'BDD'!$A$1:$S$600,15,FALSE)=0,"NE",VLOOKUP($M8&amp;RIGHT(R$7,1),'BDD'!$A$1:$S$600,15,FALSE)))</f>
        <v>27</v>
      </c>
      <c r="S8" t="s" s="71">
        <f>IF(VLOOKUP($M8&amp;RIGHT(S$7,1),'BDD'!$A$1:$S$600,15,FALSE)=4,"NE",IF(VLOOKUP($M8&amp;RIGHT(S$7,1),'BDD'!$A$1:$S$600,15,FALSE)=0,"NE",VLOOKUP($M8&amp;RIGHT(S$7,1),'BDD'!$A$1:$S$600,15,FALSE)))</f>
        <v>27</v>
      </c>
      <c r="T8" s="72"/>
      <c r="U8" s="72"/>
      <c r="V8" s="72"/>
      <c r="W8" s="1082"/>
      <c r="X8" t="s" s="634">
        <v>28</v>
      </c>
      <c r="Y8" s="635"/>
      <c r="Z8" s="1083"/>
      <c r="AA8" s="637">
        <f>O25</f>
        <v>0</v>
      </c>
      <c r="AB8" s="77">
        <f>S25</f>
      </c>
      <c r="AC8" s="1080"/>
      <c r="AD8" s="1081"/>
      <c r="AE8" s="638"/>
      <c r="AF8" t="s" s="639">
        <v>1753</v>
      </c>
      <c r="AG8" s="631"/>
      <c r="AH8" s="587"/>
      <c r="AI8" s="1076"/>
      <c r="AJ8" s="617"/>
    </row>
    <row r="9" ht="30" customHeight="1">
      <c r="A9" s="1066"/>
      <c r="B9" s="565"/>
      <c r="C9" s="565"/>
      <c r="D9" s="565"/>
      <c r="E9" t="s" s="558">
        <f>$C$25&amp;"15"</f>
        <v>2550</v>
      </c>
      <c r="F9" s="565"/>
      <c r="G9" t="s" s="598">
        <f>IF(VLOOKUP(E9,'BDD'!$A$2:$N$567,13,FALSE)=0,"",VLOOKUP(E9,'BDD'!$A$2:$N$567,13,FALSE))</f>
        <v>1681</v>
      </c>
      <c r="H9" s="605"/>
      <c r="I9" s="587"/>
      <c r="J9" s="25"/>
      <c r="K9" s="1067"/>
      <c r="L9" s="1077"/>
      <c r="M9" t="s" s="929">
        <f>IF(LEFT(RIGHT($B$1,2),1)=" ",RIGHT($B$1,1),RIGHT($B$1,2))&amp;2</f>
        <v>326</v>
      </c>
      <c r="N9" t="s" s="640">
        <f>RIGHT(M9,1)&amp;" : "&amp;VLOOKUP($M9&amp;"1",'BDD'!$A$2:$N$567,6,FALSE)</f>
        <v>2570</v>
      </c>
      <c r="O9" t="s" s="85">
        <f>IF(VLOOKUP($M9&amp;RIGHT(O$7,1),'BDD'!$A$1:$S$600,15,FALSE)=4,"NE",IF(VLOOKUP($M9&amp;RIGHT(O$7,1),'BDD'!$A$1:$S$600,15,FALSE)=0,"NE",VLOOKUP($M9&amp;RIGHT(O$7,1),'BDD'!$A$1:$S$600,15,FALSE)))</f>
        <v>27</v>
      </c>
      <c r="P9" t="s" s="85">
        <f>IF(VLOOKUP($M9&amp;RIGHT(P$7,1),'BDD'!$A$1:$S$600,15,FALSE)=4,"NE",IF(VLOOKUP($M9&amp;RIGHT(P$7,1),'BDD'!$A$1:$S$600,15,FALSE)=0,"NE",VLOOKUP($M9&amp;RIGHT(P$7,1),'BDD'!$A$1:$S$600,15,FALSE)))</f>
        <v>27</v>
      </c>
      <c r="Q9" t="s" s="85">
        <f>IF(VLOOKUP($M9&amp;RIGHT(Q$7,1),'BDD'!$A$1:$S$600,15,FALSE)=4,"NE",IF(VLOOKUP($M9&amp;RIGHT(Q$7,1),'BDD'!$A$1:$S$600,15,FALSE)=0,"NE",VLOOKUP($M9&amp;RIGHT(Q$7,1),'BDD'!$A$1:$S$600,15,FALSE)))</f>
        <v>27</v>
      </c>
      <c r="R9" t="s" s="85">
        <f>IF(VLOOKUP($M9&amp;RIGHT(R$7,1),'BDD'!$A$1:$S$600,15,FALSE)=4,"NE",IF(VLOOKUP($M9&amp;RIGHT(R$7,1),'BDD'!$A$1:$S$600,15,FALSE)=0,"NE",VLOOKUP($M9&amp;RIGHT(R$7,1),'BDD'!$A$1:$S$600,15,FALSE)))</f>
        <v>27</v>
      </c>
      <c r="S9" t="s" s="85">
        <f>IF(VLOOKUP($M9&amp;RIGHT(S$7,1),'BDD'!$A$1:$S$600,15,FALSE)=4,"NE",IF(VLOOKUP($M9&amp;RIGHT(S$7,1),'BDD'!$A$1:$S$600,15,FALSE)=0,"NE",VLOOKUP($M9&amp;RIGHT(S$7,1),'BDD'!$A$1:$S$600,15,FALSE)))</f>
        <v>27</v>
      </c>
      <c r="T9" s="86"/>
      <c r="U9" s="86"/>
      <c r="V9" s="86"/>
      <c r="W9" s="1082"/>
      <c r="X9" t="s" s="641">
        <v>28</v>
      </c>
      <c r="Y9" s="642"/>
      <c r="Z9" s="1084"/>
      <c r="AA9" s="644">
        <f>O33</f>
        <v>0</v>
      </c>
      <c r="AB9" s="90">
        <f>S33</f>
      </c>
      <c r="AC9" s="1080"/>
      <c r="AD9" s="1081"/>
      <c r="AE9" s="638"/>
      <c r="AF9" t="s" s="645">
        <v>1754</v>
      </c>
      <c r="AG9" s="631"/>
      <c r="AH9" s="587"/>
      <c r="AI9" s="1076"/>
      <c r="AJ9" s="617"/>
    </row>
    <row r="10" ht="30" customHeight="1">
      <c r="A10" s="1066"/>
      <c r="B10" s="565"/>
      <c r="C10" s="565"/>
      <c r="D10" s="565"/>
      <c r="E10" t="s" s="558">
        <f>$C$25&amp;"16"</f>
        <v>2551</v>
      </c>
      <c r="F10" s="565"/>
      <c r="G10" t="s" s="646">
        <f>IF(VLOOKUP(E10,'BDD'!$A$2:$N$567,13,FALSE)=0,"",VLOOKUP(E10,'BDD'!$A$2:$N$567,13,FALSE))</f>
      </c>
      <c r="H10" s="605"/>
      <c r="I10" s="587"/>
      <c r="J10" s="25"/>
      <c r="K10" s="1067"/>
      <c r="L10" s="1077"/>
      <c r="M10" t="s" s="929">
        <f>IF(LEFT(RIGHT($B$1,2),1)=" ",RIGHT($B$1,1),RIGHT($B$1,2))&amp;3</f>
        <v>330</v>
      </c>
      <c r="N10" t="s" s="539">
        <f>RIGHT(M10,1)&amp;" : "&amp;VLOOKUP($M10&amp;"1",'BDD'!$A$2:$N$567,6,FALSE)</f>
        <v>2571</v>
      </c>
      <c r="O10" t="s" s="71">
        <f>IF(VLOOKUP($M10&amp;RIGHT(O$7,1),'BDD'!$A$1:$S$600,15,FALSE)=4,"NE",IF(VLOOKUP($M10&amp;RIGHT(O$7,1),'BDD'!$A$1:$S$600,15,FALSE)=0,"NE",VLOOKUP($M10&amp;RIGHT(O$7,1),'BDD'!$A$1:$S$600,15,FALSE)))</f>
        <v>27</v>
      </c>
      <c r="P10" t="s" s="71">
        <f>IF(VLOOKUP($M10&amp;RIGHT(P$7,1),'BDD'!$A$1:$S$600,15,FALSE)=4,"NE",IF(VLOOKUP($M10&amp;RIGHT(P$7,1),'BDD'!$A$1:$S$600,15,FALSE)=0,"NE",VLOOKUP($M10&amp;RIGHT(P$7,1),'BDD'!$A$1:$S$600,15,FALSE)))</f>
        <v>27</v>
      </c>
      <c r="Q10" t="s" s="71">
        <f>IF(VLOOKUP($M10&amp;RIGHT(Q$7,1),'BDD'!$A$1:$S$600,15,FALSE)=4,"NE",IF(VLOOKUP($M10&amp;RIGHT(Q$7,1),'BDD'!$A$1:$S$600,15,FALSE)=0,"NE",VLOOKUP($M10&amp;RIGHT(Q$7,1),'BDD'!$A$1:$S$600,15,FALSE)))</f>
        <v>27</v>
      </c>
      <c r="R10" t="s" s="71">
        <f>IF(VLOOKUP($M10&amp;RIGHT(R$7,1),'BDD'!$A$1:$S$600,15,FALSE)=4,"NE",IF(VLOOKUP($M10&amp;RIGHT(R$7,1),'BDD'!$A$1:$S$600,15,FALSE)=0,"NE",VLOOKUP($M10&amp;RIGHT(R$7,1),'BDD'!$A$1:$S$600,15,FALSE)))</f>
        <v>27</v>
      </c>
      <c r="S10" t="s" s="71">
        <f>IF(VLOOKUP($M10&amp;RIGHT(S$7,1),'BDD'!$A$1:$S$600,15,FALSE)=4,"NE",IF(VLOOKUP($M10&amp;RIGHT(S$7,1),'BDD'!$A$1:$S$600,15,FALSE)=0,"NE",VLOOKUP($M10&amp;RIGHT(S$7,1),'BDD'!$A$1:$S$600,15,FALSE)))</f>
        <v>27</v>
      </c>
      <c r="T10" t="s" s="71">
        <f>IF(VLOOKUP($M10&amp;RIGHT(T$7,1),'BDD'!$A$1:$S$600,15,FALSE)=4,"NE",IF(VLOOKUP($M10&amp;RIGHT(T$7,1),'BDD'!$A$1:$S$600,15,FALSE)=0,"NE",VLOOKUP($M10&amp;RIGHT(T$7,1),'BDD'!$A$1:$S$600,15,FALSE)))</f>
        <v>27</v>
      </c>
      <c r="U10" t="s" s="71">
        <f>IF(VLOOKUP($M10&amp;RIGHT(U$7,1),'BDD'!$A$1:$S$600,15,FALSE)=4,"NE",IF(VLOOKUP($M10&amp;RIGHT(U$7,1),'BDD'!$A$1:$S$600,15,FALSE)=0,"NE",VLOOKUP($M10&amp;RIGHT(U$7,1),'BDD'!$A$1:$S$600,15,FALSE)))</f>
        <v>27</v>
      </c>
      <c r="V10" t="s" s="71">
        <f>IF(VLOOKUP($M10&amp;RIGHT(V$7,1),'BDD'!$A$1:$S$600,15,FALSE)=4,"NE",IF(VLOOKUP($M10&amp;RIGHT(V$7,1),'BDD'!$A$1:$S$600,15,FALSE)=0,"NE",VLOOKUP($M10&amp;RIGHT(V$7,1),'BDD'!$A$1:$S$600,15,FALSE)))</f>
        <v>27</v>
      </c>
      <c r="W10" s="1082"/>
      <c r="X10" t="s" s="647">
        <v>28</v>
      </c>
      <c r="Y10" s="648"/>
      <c r="Z10" s="1083"/>
      <c r="AA10" s="637">
        <f>O40</f>
        <v>0</v>
      </c>
      <c r="AB10" s="77">
        <f>S40</f>
      </c>
      <c r="AC10" s="1080"/>
      <c r="AD10" s="1081"/>
      <c r="AE10" s="649"/>
      <c r="AF10" t="s" s="650">
        <v>1824</v>
      </c>
      <c r="AG10" s="651"/>
      <c r="AH10" s="652"/>
      <c r="AI10" s="1085"/>
      <c r="AJ10" s="617"/>
    </row>
    <row r="11" ht="30" customHeight="1">
      <c r="A11" s="1039"/>
      <c r="B11" s="586"/>
      <c r="C11" s="586"/>
      <c r="D11" s="586"/>
      <c r="E11" t="s" s="744">
        <f>$C$25&amp;"17"</f>
        <v>2552</v>
      </c>
      <c r="F11" s="586"/>
      <c r="G11" t="s" s="646">
        <f>IF(VLOOKUP(E11,'BDD'!$A$2:$N$567,13,FALSE)=0,"",VLOOKUP(E11,'BDD'!$A$2:$N$567,13,FALSE))</f>
      </c>
      <c r="H11" s="652"/>
      <c r="I11" s="587"/>
      <c r="J11" s="25"/>
      <c r="K11" s="1086"/>
      <c r="L11" s="1087"/>
      <c r="M11" t="s" s="929">
        <f>IF(LEFT(RIGHT($B$1,2),1)=" ",RIGHT($B$1,1),RIGHT($B$1,2))&amp;4</f>
        <v>334</v>
      </c>
      <c r="N11" t="s" s="640">
        <f>RIGHT(M11,1)&amp;" : "&amp;VLOOKUP($M11&amp;"1",'BDD'!$A$2:$N$567,6,FALSE)</f>
        <v>2572</v>
      </c>
      <c r="O11" t="s" s="85">
        <f>IF(VLOOKUP($M11&amp;RIGHT(O$7,1),'BDD'!$A$1:$S$600,15,FALSE)=4,"NE",IF(VLOOKUP($M11&amp;RIGHT(O$7,1),'BDD'!$A$1:$S$600,15,FALSE)=0,"NE",VLOOKUP($M11&amp;RIGHT(O$7,1),'BDD'!$A$1:$S$600,15,FALSE)))</f>
        <v>27</v>
      </c>
      <c r="P11" t="s" s="85">
        <f>IF(VLOOKUP($M11&amp;RIGHT(P$7,1),'BDD'!$A$1:$S$600,15,FALSE)=4,"NE",IF(VLOOKUP($M11&amp;RIGHT(P$7,1),'BDD'!$A$1:$S$600,15,FALSE)=0,"NE",VLOOKUP($M11&amp;RIGHT(P$7,1),'BDD'!$A$1:$S$600,15,FALSE)))</f>
        <v>27</v>
      </c>
      <c r="Q11" t="s" s="85">
        <f>IF(VLOOKUP($M11&amp;RIGHT(Q$7,1),'BDD'!$A$1:$S$600,15,FALSE)=4,"NE",IF(VLOOKUP($M11&amp;RIGHT(Q$7,1),'BDD'!$A$1:$S$600,15,FALSE)=0,"NE",VLOOKUP($M11&amp;RIGHT(Q$7,1),'BDD'!$A$1:$S$600,15,FALSE)))</f>
        <v>27</v>
      </c>
      <c r="R11" t="s" s="85">
        <f>IF(VLOOKUP($M11&amp;RIGHT(R$7,1),'BDD'!$A$1:$S$600,15,FALSE)=4,"NE",IF(VLOOKUP($M11&amp;RIGHT(R$7,1),'BDD'!$A$1:$S$600,15,FALSE)=0,"NE",VLOOKUP($M11&amp;RIGHT(R$7,1),'BDD'!$A$1:$S$600,15,FALSE)))</f>
        <v>27</v>
      </c>
      <c r="S11" t="s" s="85">
        <f>IF(VLOOKUP($M11&amp;RIGHT(S$7,1),'BDD'!$A$1:$S$600,15,FALSE)=4,"NE",IF(VLOOKUP($M11&amp;RIGHT(S$7,1),'BDD'!$A$1:$S$600,15,FALSE)=0,"NE",VLOOKUP($M11&amp;RIGHT(S$7,1),'BDD'!$A$1:$S$600,15,FALSE)))</f>
        <v>27</v>
      </c>
      <c r="T11" s="86"/>
      <c r="U11" s="86"/>
      <c r="V11" s="86"/>
      <c r="W11" s="1082"/>
      <c r="X11" t="s" s="847">
        <v>28</v>
      </c>
      <c r="Y11" s="848"/>
      <c r="Z11" s="1083"/>
      <c r="AA11" s="644">
        <f>O50</f>
        <v>0</v>
      </c>
      <c r="AB11" s="90">
        <f>S50</f>
      </c>
      <c r="AC11" s="1080"/>
      <c r="AD11" s="1088"/>
      <c r="AE11" s="658"/>
      <c r="AF11" s="659"/>
      <c r="AG11" s="652"/>
      <c r="AH11" s="652"/>
      <c r="AI11" s="1085"/>
      <c r="AJ11" s="585"/>
    </row>
    <row r="12" ht="30" customHeight="1">
      <c r="A12" s="1039"/>
      <c r="B12" s="586"/>
      <c r="C12" s="586"/>
      <c r="D12" s="586"/>
      <c r="E12" s="25"/>
      <c r="F12" s="586"/>
      <c r="G12" t="s" s="660">
        <v>1826</v>
      </c>
      <c r="H12" s="681"/>
      <c r="I12" s="587"/>
      <c r="J12" s="25"/>
      <c r="K12" s="1092"/>
      <c r="L12" s="1093"/>
      <c r="M12" s="1094"/>
      <c r="N12" s="1095"/>
      <c r="O12" s="1096"/>
      <c r="P12" s="1096"/>
      <c r="Q12" s="1096"/>
      <c r="R12" s="1096"/>
      <c r="S12" s="1096"/>
      <c r="T12" s="1096"/>
      <c r="U12" s="1096"/>
      <c r="V12" s="1096"/>
      <c r="W12" s="1097"/>
      <c r="X12" s="1099"/>
      <c r="Y12" s="1099"/>
      <c r="Z12" s="1097"/>
      <c r="AA12" s="1100"/>
      <c r="AB12" s="1100"/>
      <c r="AC12" s="1101"/>
      <c r="AD12" s="1113"/>
      <c r="AE12" s="679"/>
      <c r="AF12" s="679"/>
      <c r="AG12" s="586"/>
      <c r="AH12" s="586"/>
      <c r="AI12" s="1040"/>
      <c r="AJ12" s="585"/>
    </row>
    <row r="13" ht="30" customHeight="1">
      <c r="A13" s="1039"/>
      <c r="B13" s="586"/>
      <c r="C13" s="586"/>
      <c r="D13" s="586"/>
      <c r="E13" t="s" s="744">
        <v>211</v>
      </c>
      <c r="F13" s="586"/>
      <c r="G13" t="s" s="667">
        <f>IF(VLOOKUP(E13,'BDD'!$A$2:$N$567,14,FALSE)=0,"",VLOOKUP(E13,'BDD'!$A$2:$N$567,14,FALSE))</f>
        <v>1664</v>
      </c>
      <c r="H13" s="694"/>
      <c r="I13" s="587"/>
      <c r="J13" s="25"/>
      <c r="K13" s="1148"/>
      <c r="L13" s="1103"/>
      <c r="M13" s="1104"/>
      <c r="N13" t="s" s="1105">
        <f>"Evaluation globale du vecteur "&amp;RIGHT(B1,2)</f>
        <v>2573</v>
      </c>
      <c r="O13" s="1106"/>
      <c r="P13" s="1107"/>
      <c r="Q13" s="1107"/>
      <c r="R13" s="1107"/>
      <c r="S13" s="1107"/>
      <c r="T13" s="1107"/>
      <c r="U13" s="1097"/>
      <c r="V13" s="1097"/>
      <c r="W13" s="1097"/>
      <c r="X13" s="1109"/>
      <c r="Y13" s="1109"/>
      <c r="Z13" s="1110"/>
      <c r="AA13" t="s" s="1111">
        <v>1829</v>
      </c>
      <c r="AB13" t="s" s="1111">
        <v>1830</v>
      </c>
      <c r="AC13" s="1112"/>
      <c r="AD13" s="1113"/>
      <c r="AE13" s="586"/>
      <c r="AF13" s="586"/>
      <c r="AG13" s="586"/>
      <c r="AH13" s="586"/>
      <c r="AI13" s="1040"/>
      <c r="AJ13" s="585"/>
    </row>
    <row r="14" ht="38.4" customHeight="1">
      <c r="A14" s="1039"/>
      <c r="B14" s="586"/>
      <c r="C14" s="586"/>
      <c r="D14" s="586"/>
      <c r="E14" t="s" s="744">
        <v>1665</v>
      </c>
      <c r="F14" s="586"/>
      <c r="G14" t="s" s="667">
        <f>IF(VLOOKUP(E14,'BDD'!$A$2:$N$567,14,FALSE)=0,"",VLOOKUP(E14,'BDD'!$A$2:$N$567,14,FALSE))</f>
        <v>1668</v>
      </c>
      <c r="H14" s="694"/>
      <c r="I14" s="587"/>
      <c r="J14" s="25"/>
      <c r="K14" s="1102"/>
      <c r="L14" s="1090"/>
      <c r="M14" s="1114"/>
      <c r="N14" s="697"/>
      <c r="O14" s="1115"/>
      <c r="P14" s="1107"/>
      <c r="Q14" s="1107"/>
      <c r="R14" s="1107"/>
      <c r="S14" s="1107"/>
      <c r="T14" s="1107"/>
      <c r="U14" s="1107"/>
      <c r="V14" s="1107"/>
      <c r="W14" s="1116"/>
      <c r="X14" t="s" s="701">
        <v>28</v>
      </c>
      <c r="Y14" s="702"/>
      <c r="Z14" s="1117"/>
      <c r="AA14" s="1118">
        <f>O22</f>
        <v>0</v>
      </c>
      <c r="AB14" s="1119">
        <f>SUM($X$27:$X$56)</f>
      </c>
      <c r="AC14" s="1120"/>
      <c r="AD14" s="1113"/>
      <c r="AE14" s="586"/>
      <c r="AF14" s="586"/>
      <c r="AG14" s="586"/>
      <c r="AH14" s="586"/>
      <c r="AI14" s="1040"/>
      <c r="AJ14" s="585"/>
    </row>
    <row r="15" ht="38.4" customHeight="1">
      <c r="A15" s="1039"/>
      <c r="B15" s="586"/>
      <c r="C15" s="586"/>
      <c r="D15" s="586"/>
      <c r="E15" t="s" s="744">
        <v>1669</v>
      </c>
      <c r="F15" s="586"/>
      <c r="G15" t="s" s="667">
        <f>IF(VLOOKUP(E15,'BDD'!$A$2:$N$567,14,FALSE)=0,"",VLOOKUP(E15,'BDD'!$A$2:$N$567,14,FALSE))</f>
        <v>1673</v>
      </c>
      <c r="H15" s="694"/>
      <c r="I15" s="587"/>
      <c r="J15" s="25"/>
      <c r="K15" s="1089"/>
      <c r="L15" s="1121"/>
      <c r="M15" s="1122"/>
      <c r="N15" s="1123"/>
      <c r="O15" s="1124"/>
      <c r="P15" s="1124"/>
      <c r="Q15" s="1124"/>
      <c r="R15" s="1124"/>
      <c r="S15" s="1124"/>
      <c r="T15" s="1124"/>
      <c r="U15" s="1124"/>
      <c r="V15" s="1124"/>
      <c r="W15" s="1124"/>
      <c r="X15" s="1125"/>
      <c r="Y15" s="1123"/>
      <c r="Z15" s="1124"/>
      <c r="AA15" s="1126"/>
      <c r="AB15" s="1126"/>
      <c r="AC15" s="1127"/>
      <c r="AD15" s="1113"/>
      <c r="AE15" s="586"/>
      <c r="AF15" s="586"/>
      <c r="AG15" s="586"/>
      <c r="AH15" s="586"/>
      <c r="AI15" s="1040"/>
      <c r="AJ15" s="585"/>
    </row>
    <row r="16" ht="24" customHeight="1">
      <c r="A16" s="1039"/>
      <c r="B16" s="586"/>
      <c r="C16" s="586"/>
      <c r="D16" s="586"/>
      <c r="E16" t="s" s="744">
        <v>1674</v>
      </c>
      <c r="F16" s="586"/>
      <c r="G16" t="s" s="667">
        <f>IF(VLOOKUP(E16,'BDD'!$A$2:$N$567,14,FALSE)=0,"",VLOOKUP(E16,'BDD'!$A$2:$N$567,14,FALSE))</f>
      </c>
      <c r="H16" s="694"/>
      <c r="I16" s="587"/>
      <c r="J16" s="25"/>
      <c r="K16" s="25"/>
      <c r="L16" s="1142"/>
      <c r="M16" s="1143"/>
      <c r="N16" s="1145"/>
      <c r="O16" s="1145"/>
      <c r="P16" s="1145"/>
      <c r="Q16" s="1145"/>
      <c r="R16" s="1145"/>
      <c r="S16" s="1145"/>
      <c r="T16" s="1145"/>
      <c r="U16" s="1145"/>
      <c r="V16" s="1145"/>
      <c r="W16" s="1145"/>
      <c r="X16" s="1145"/>
      <c r="Y16" s="1145"/>
      <c r="Z16" s="1145"/>
      <c r="AA16" s="1145"/>
      <c r="AB16" s="1145"/>
      <c r="AC16" s="1145"/>
      <c r="AD16" s="25"/>
      <c r="AE16" s="586"/>
      <c r="AF16" s="586"/>
      <c r="AG16" s="586"/>
      <c r="AH16" s="586"/>
      <c r="AI16" s="1040"/>
      <c r="AJ16" s="585"/>
    </row>
    <row r="17" ht="24" customHeight="1" hidden="1">
      <c r="A17" s="1039"/>
      <c r="B17" s="586"/>
      <c r="C17" s="586"/>
      <c r="D17" s="586"/>
      <c r="E17" t="s" s="744">
        <v>1678</v>
      </c>
      <c r="F17" s="586"/>
      <c r="G17" t="s" s="667">
        <f>IF(VLOOKUP(E17,'BDD'!$A$2:$N$567,14,FALSE)=0,"",VLOOKUP(E17,'BDD'!$A$2:$N$567,14,FALSE))</f>
      </c>
      <c r="H17" s="694"/>
      <c r="I17" s="587"/>
      <c r="J17" s="25"/>
      <c r="K17" s="25"/>
      <c r="L17" s="25"/>
      <c r="M17" s="25"/>
      <c r="N17" s="25"/>
      <c r="O17" s="25"/>
      <c r="P17" s="25"/>
      <c r="Q17" s="25"/>
      <c r="R17" s="25"/>
      <c r="S17" s="25"/>
      <c r="T17" s="25"/>
      <c r="U17" s="25"/>
      <c r="V17" s="25"/>
      <c r="W17" s="25"/>
      <c r="X17" s="25"/>
      <c r="Y17" s="25"/>
      <c r="Z17" s="25"/>
      <c r="AA17" s="25"/>
      <c r="AB17" s="25"/>
      <c r="AC17" s="25"/>
      <c r="AD17" s="25"/>
      <c r="AE17" s="586"/>
      <c r="AF17" s="586"/>
      <c r="AG17" s="586"/>
      <c r="AH17" s="586"/>
      <c r="AI17" s="1040"/>
      <c r="AJ17" s="585"/>
    </row>
    <row r="18" ht="24" customHeight="1" hidden="1">
      <c r="A18" s="1039"/>
      <c r="B18" s="586"/>
      <c r="C18" s="586"/>
      <c r="D18" s="586"/>
      <c r="E18" t="s" s="744">
        <v>1684</v>
      </c>
      <c r="F18" s="586"/>
      <c r="G18" t="s" s="667">
        <f>IF(VLOOKUP(E18,'BDD'!$A$2:$N$567,14,FALSE)=0,"",VLOOKUP(E18,'BDD'!$A$2:$N$567,14,FALSE))</f>
      </c>
      <c r="H18" s="694"/>
      <c r="I18" s="587"/>
      <c r="J18" s="25"/>
      <c r="K18" s="25"/>
      <c r="L18" s="25"/>
      <c r="M18" s="25"/>
      <c r="N18" s="25"/>
      <c r="O18" s="25"/>
      <c r="P18" s="25"/>
      <c r="Q18" s="25"/>
      <c r="R18" s="25"/>
      <c r="S18" s="25"/>
      <c r="T18" s="25"/>
      <c r="U18" s="25"/>
      <c r="V18" s="25"/>
      <c r="W18" s="25"/>
      <c r="X18" s="25"/>
      <c r="Y18" s="25"/>
      <c r="Z18" s="25"/>
      <c r="AA18" s="25"/>
      <c r="AB18" s="25"/>
      <c r="AC18" s="25"/>
      <c r="AD18" s="25"/>
      <c r="AE18" s="586"/>
      <c r="AF18" s="586"/>
      <c r="AG18" s="586"/>
      <c r="AH18" s="586"/>
      <c r="AI18" s="1040"/>
      <c r="AJ18" s="585"/>
    </row>
    <row r="19" ht="24" customHeight="1">
      <c r="A19" s="1039"/>
      <c r="B19" s="586"/>
      <c r="C19" s="586"/>
      <c r="D19" s="586"/>
      <c r="E19" s="586"/>
      <c r="F19" s="586"/>
      <c r="G19" s="25"/>
      <c r="H19" s="694"/>
      <c r="I19" s="587"/>
      <c r="J19" s="25"/>
      <c r="K19" s="25"/>
      <c r="L19" s="25"/>
      <c r="M19" s="25"/>
      <c r="N19" s="872"/>
      <c r="O19" s="872"/>
      <c r="P19" s="872"/>
      <c r="Q19" s="872"/>
      <c r="R19" s="872"/>
      <c r="S19" s="25"/>
      <c r="T19" s="25"/>
      <c r="U19" s="25"/>
      <c r="V19" s="25"/>
      <c r="W19" s="25"/>
      <c r="X19" s="25"/>
      <c r="Y19" s="25"/>
      <c r="Z19" s="25"/>
      <c r="AA19" s="25"/>
      <c r="AB19" s="25"/>
      <c r="AC19" s="25"/>
      <c r="AD19" s="25"/>
      <c r="AE19" s="586"/>
      <c r="AF19" s="586"/>
      <c r="AG19" s="586"/>
      <c r="AH19" s="586"/>
      <c r="AI19" s="1040"/>
      <c r="AJ19" s="585"/>
    </row>
    <row r="20" ht="30" customHeight="1">
      <c r="A20" s="1039"/>
      <c r="B20" s="586"/>
      <c r="C20" s="586"/>
      <c r="D20" s="586"/>
      <c r="E20" s="586"/>
      <c r="F20" s="586"/>
      <c r="G20" s="717"/>
      <c r="H20" s="694"/>
      <c r="I20" s="587"/>
      <c r="J20" s="25"/>
      <c r="K20" s="694"/>
      <c r="L20" s="694"/>
      <c r="M20" s="719"/>
      <c r="N20" t="s" s="536">
        <v>1831</v>
      </c>
      <c r="O20" s="721">
        <f>COUNTIF(N27:N99,"Non renseigné")</f>
        <v>24</v>
      </c>
      <c r="P20" s="722"/>
      <c r="Q20" s="722"/>
      <c r="R20" s="723"/>
      <c r="S20" s="724"/>
      <c r="T20" s="586"/>
      <c r="U20" s="586"/>
      <c r="V20" s="586"/>
      <c r="W20" s="586"/>
      <c r="X20" s="586"/>
      <c r="Y20" s="586"/>
      <c r="Z20" s="586"/>
      <c r="AA20" s="586"/>
      <c r="AB20" s="586"/>
      <c r="AC20" s="586"/>
      <c r="AD20" s="586"/>
      <c r="AE20" s="586"/>
      <c r="AF20" s="586"/>
      <c r="AG20" s="586"/>
      <c r="AH20" s="586"/>
      <c r="AI20" s="1040"/>
      <c r="AJ20" s="585"/>
    </row>
    <row r="21" ht="30" customHeight="1">
      <c r="A21" s="1039"/>
      <c r="B21" s="586"/>
      <c r="C21" s="586"/>
      <c r="D21" s="586"/>
      <c r="E21" s="586"/>
      <c r="F21" s="586"/>
      <c r="G21" s="717"/>
      <c r="H21" s="694"/>
      <c r="I21" s="694"/>
      <c r="J21" s="25"/>
      <c r="K21" s="694"/>
      <c r="L21" s="694"/>
      <c r="M21" s="719"/>
      <c r="N21" t="s" s="855">
        <v>1832</v>
      </c>
      <c r="O21" s="856">
        <f>COUNTIF($N$27:$N$76,"Non évalué")</f>
        <v>0</v>
      </c>
      <c r="P21" s="857"/>
      <c r="Q21" s="857"/>
      <c r="R21" s="858"/>
      <c r="S21" s="724"/>
      <c r="T21" s="586"/>
      <c r="U21" s="586"/>
      <c r="V21" s="586"/>
      <c r="W21" s="586"/>
      <c r="X21" s="586"/>
      <c r="Y21" s="586"/>
      <c r="Z21" s="586"/>
      <c r="AA21" s="586"/>
      <c r="AB21" s="586"/>
      <c r="AC21" s="586"/>
      <c r="AD21" s="586"/>
      <c r="AE21" s="586"/>
      <c r="AF21" s="586"/>
      <c r="AG21" s="586"/>
      <c r="AH21" s="586"/>
      <c r="AI21" s="1040"/>
      <c r="AJ21" s="585"/>
    </row>
    <row r="22" ht="50.4" customHeight="1">
      <c r="A22" s="1039"/>
      <c r="B22" s="586"/>
      <c r="C22" s="586"/>
      <c r="D22" s="586"/>
      <c r="E22" s="25"/>
      <c r="F22" s="586"/>
      <c r="G22" s="859"/>
      <c r="H22" s="730"/>
      <c r="I22" s="730"/>
      <c r="J22" s="730"/>
      <c r="K22" s="730"/>
      <c r="L22" s="731"/>
      <c r="M22" s="719"/>
      <c r="N22" t="s" s="732">
        <v>1833</v>
      </c>
      <c r="O22" s="733">
        <v>0</v>
      </c>
      <c r="P22" s="734"/>
      <c r="Q22" s="734"/>
      <c r="R22" s="734"/>
      <c r="S22" s="586"/>
      <c r="T22" s="586"/>
      <c r="U22" s="586"/>
      <c r="V22" s="586"/>
      <c r="W22" s="586"/>
      <c r="X22" s="586"/>
      <c r="Y22" s="586"/>
      <c r="Z22" s="586"/>
      <c r="AA22" s="586"/>
      <c r="AB22" s="586"/>
      <c r="AC22" s="586"/>
      <c r="AD22" s="586"/>
      <c r="AE22" s="586"/>
      <c r="AF22" s="586"/>
      <c r="AG22" s="586"/>
      <c r="AH22" s="586"/>
      <c r="AI22" s="1040"/>
      <c r="AJ22" s="585"/>
    </row>
    <row r="23" ht="30" customHeight="1">
      <c r="A23" s="1039"/>
      <c r="B23" s="586"/>
      <c r="C23" s="25"/>
      <c r="D23" s="586"/>
      <c r="E23" s="586"/>
      <c r="F23" s="586"/>
      <c r="G23" s="736"/>
      <c r="H23" t="s" s="737">
        <v>245</v>
      </c>
      <c r="I23" s="738"/>
      <c r="J23" s="739"/>
      <c r="K23" s="739"/>
      <c r="L23" s="740"/>
      <c r="M23" s="741"/>
      <c r="N23" s="742"/>
      <c r="O23" s="730"/>
      <c r="P23" s="730"/>
      <c r="Q23" s="730"/>
      <c r="R23" s="730"/>
      <c r="S23" s="730"/>
      <c r="T23" s="730"/>
      <c r="U23" s="730"/>
      <c r="V23" s="730"/>
      <c r="W23" s="586"/>
      <c r="X23" s="1172"/>
      <c r="Y23" s="586"/>
      <c r="Z23" s="586"/>
      <c r="AA23" s="586"/>
      <c r="AB23" s="586"/>
      <c r="AC23" s="586"/>
      <c r="AD23" s="586"/>
      <c r="AE23" s="586"/>
      <c r="AF23" s="586"/>
      <c r="AG23" s="586"/>
      <c r="AH23" s="586"/>
      <c r="AI23" s="1040"/>
      <c r="AJ23" s="585"/>
    </row>
    <row r="24" ht="39.6" customHeight="1">
      <c r="A24" s="1039"/>
      <c r="B24" s="586"/>
      <c r="C24" t="s" s="744">
        <v>10</v>
      </c>
      <c r="D24" t="s" s="745">
        <v>1745</v>
      </c>
      <c r="E24" t="s" s="745">
        <v>1834</v>
      </c>
      <c r="F24" s="746"/>
      <c r="G24" t="s" s="747">
        <v>244</v>
      </c>
      <c r="H24" t="s" s="747">
        <v>283</v>
      </c>
      <c r="I24" t="s" s="747">
        <v>263</v>
      </c>
      <c r="J24" t="s" s="747">
        <v>271</v>
      </c>
      <c r="K24" t="s" s="747">
        <v>291</v>
      </c>
      <c r="L24" t="s" s="747">
        <v>256</v>
      </c>
      <c r="M24" s="748"/>
      <c r="N24" t="s" s="747">
        <v>1764</v>
      </c>
      <c r="O24" t="s" s="749">
        <v>22</v>
      </c>
      <c r="P24" s="750"/>
      <c r="Q24" s="750"/>
      <c r="R24" s="752"/>
      <c r="S24" t="s" s="749">
        <v>223</v>
      </c>
      <c r="T24" s="750"/>
      <c r="U24" s="750"/>
      <c r="V24" s="752"/>
      <c r="W24" s="1173"/>
      <c r="X24" s="1172"/>
      <c r="Y24" s="586"/>
      <c r="Z24" s="586"/>
      <c r="AA24" s="586"/>
      <c r="AB24" s="586"/>
      <c r="AC24" s="586"/>
      <c r="AD24" s="586"/>
      <c r="AE24" s="586"/>
      <c r="AF24" s="586"/>
      <c r="AG24" s="586"/>
      <c r="AH24" s="586"/>
      <c r="AI24" s="1040"/>
      <c r="AJ24" s="585"/>
    </row>
    <row r="25" ht="30" customHeight="1">
      <c r="A25" s="1039"/>
      <c r="B25" s="753"/>
      <c r="C25" t="s" s="754">
        <f>IF(LEFT(RIGHT($B$1,2),1)=" ",RIGHT($B$1,1),RIGHT($B$1,2))</f>
        <v>275</v>
      </c>
      <c r="D25" s="755">
        <f>IF(LEFT(F25,5)="Bonne",B23+1,D24)</f>
        <v>1</v>
      </c>
      <c r="E25" s="756"/>
      <c r="F25" t="s" s="757">
        <v>1762</v>
      </c>
      <c r="G25" t="s" s="758">
        <f>VLOOKUP(E27,'BDD'!$A$2:$N$567,6,FALSE)</f>
        <v>1660</v>
      </c>
      <c r="H25" s="759"/>
      <c r="I25" s="760"/>
      <c r="J25" s="760"/>
      <c r="K25" s="760"/>
      <c r="L25" s="761"/>
      <c r="M25" s="762"/>
      <c r="N25" s="763"/>
      <c r="O25" s="764">
        <v>0</v>
      </c>
      <c r="P25" s="764"/>
      <c r="Q25" s="764"/>
      <c r="R25" s="764"/>
      <c r="S25" s="765">
        <f>_xlfn.SUMIFS(S1:S99,$D1:$D99,D25,$N1:$N99,"Exigences"&amp;"*")</f>
      </c>
      <c r="T25" s="765"/>
      <c r="U25" s="765"/>
      <c r="V25" s="1149"/>
      <c r="W25" s="1174"/>
      <c r="X25" s="1172"/>
      <c r="Y25" s="586"/>
      <c r="Z25" s="586"/>
      <c r="AA25" s="586"/>
      <c r="AB25" s="586"/>
      <c r="AC25" s="586"/>
      <c r="AD25" s="586"/>
      <c r="AE25" s="586"/>
      <c r="AF25" s="586"/>
      <c r="AG25" s="586"/>
      <c r="AH25" s="586"/>
      <c r="AI25" s="1040"/>
      <c r="AJ25" s="585"/>
    </row>
    <row r="26" ht="30" customHeight="1">
      <c r="A26" s="1039"/>
      <c r="B26" s="753"/>
      <c r="C26" t="s" s="754">
        <f>IF(LEFT(RIGHT($B$1,2),1)=" ",RIGHT($B$1,1),RIGHT($B$1,2))</f>
        <v>275</v>
      </c>
      <c r="D26" s="755">
        <f>IF(LEFT(F26,5)="Bonne",D24+1,D25)</f>
        <v>1</v>
      </c>
      <c r="E26" s="768"/>
      <c r="F26" t="s" s="769">
        <v>1835</v>
      </c>
      <c r="G26" t="s" s="809">
        <f>VLOOKUP(E28,'BDD'!$A$2:$N$567,7,FALSE)</f>
        <v>2574</v>
      </c>
      <c r="H26" s="810"/>
      <c r="I26" s="810"/>
      <c r="J26" s="810"/>
      <c r="K26" s="810"/>
      <c r="L26" s="810"/>
      <c r="M26" s="810"/>
      <c r="N26" s="811"/>
      <c r="O26" s="775"/>
      <c r="P26" s="775"/>
      <c r="Q26" s="775"/>
      <c r="R26" s="775"/>
      <c r="S26" s="776"/>
      <c r="T26" s="776"/>
      <c r="U26" s="776"/>
      <c r="V26" s="1150"/>
      <c r="W26" s="1174"/>
      <c r="X26" s="797">
        <f>_xlfn.IFERROR(IF(N26='Suppl'!$E$65,0,IF(N26='Suppl'!$E$66,1/2/(_xlfn.COUNTIFS($N1:$N99,"Exigences"&amp;"*")+_xlfn.COUNTIFS($N1:$N99,"Non"&amp;"*")),IF(N26='Suppl'!$E$67,1/(_xlfn.COUNTIFS($N1:$N99,"Exigences"&amp;"*")+_xlfn.COUNTIFS($N1:$N99,"Non"&amp;"*")),0))),0)</f>
        <v>0</v>
      </c>
      <c r="Y26" s="586"/>
      <c r="Z26" s="586"/>
      <c r="AA26" s="586"/>
      <c r="AB26" s="586"/>
      <c r="AC26" s="586"/>
      <c r="AD26" s="586"/>
      <c r="AE26" s="586"/>
      <c r="AF26" s="586"/>
      <c r="AG26" s="586"/>
      <c r="AH26" s="586"/>
      <c r="AI26" s="1040"/>
      <c r="AJ26" s="585"/>
    </row>
    <row r="27" ht="30" customHeight="1">
      <c r="A27" s="1039"/>
      <c r="B27" s="753"/>
      <c r="C27" t="s" s="754">
        <f>IF(LEFT(RIGHT($B$1,2),1)=" ",RIGHT($B$1,1),RIGHT($B$1,2))</f>
        <v>275</v>
      </c>
      <c r="D27" s="755">
        <f>IF(LEFT(F27,5)="Bonne",D25+1,D26)</f>
        <v>1</v>
      </c>
      <c r="E27" t="s" s="778">
        <f>C27&amp;D27&amp;RIGHT(F27,1)</f>
        <v>2546</v>
      </c>
      <c r="F27" t="s" s="779">
        <v>1769</v>
      </c>
      <c r="G27" t="s" s="780">
        <f>VLOOKUP(E27,'BDD'!$A$2:$N$567,MATCH(G$24,'BDD'!$A$1:$P$1,0),FALSE)</f>
        <v>1662</v>
      </c>
      <c r="H27" t="s" s="799">
        <f>IF(VLOOKUP($E27,'BDD'!$A$2:$N$567,MATCH($H$23,'BDD'!$A$1:$P$1,0),FALSE)=H$24,H$24,"")</f>
        <v>1966</v>
      </c>
      <c r="I27" t="s" s="792">
        <f>IF(VLOOKUP($E27,'BDD'!$A$2:$N$567,MATCH($H$23,'BDD'!$A$1:$P$1,0),FALSE)=I$24,I$24,"")</f>
      </c>
      <c r="J27" t="s" s="792">
        <f>IF(VLOOKUP($E27,'BDD'!$A$2:$N$567,MATCH($H$23,'BDD'!$A$1:$P$1,0),FALSE)=J$24,J$24,"")</f>
      </c>
      <c r="K27" t="s" s="792">
        <f>IF(VLOOKUP($E27,'BDD'!$A$2:$N$567,MATCH($H$23,'BDD'!$A$1:$P$1,0),FALSE)=K$24,K$24,"")</f>
      </c>
      <c r="L27" t="s" s="783">
        <f>IF(VLOOKUP($E27,'BDD'!$A$2:$N$567,MATCH($H$23,'BDD'!$A$1:$P$1,0),FALSE)=L$24,L$24,"")</f>
      </c>
      <c r="M27" s="784">
        <f>IF(N27="Exigences partiellement respectées",1,IF(N27="Exigences respectées",2,0))</f>
        <v>0</v>
      </c>
      <c r="N27" t="s" s="780">
        <f>VLOOKUP(VLOOKUP(E27,'BDD'!$A$2:$P$550,15,FALSE),'Suppl'!$D$64:$E$68,2,FALSE)</f>
        <v>1751</v>
      </c>
      <c r="O27" s="785"/>
      <c r="P27" s="786"/>
      <c r="Q27" s="786"/>
      <c r="R27" s="1152"/>
      <c r="S27" s="1153">
        <f>IF(N27='Suppl'!$E$65,0,IF(N27='Suppl'!$E$66,1/2/(_xlfn.COUNTIFS($D1:$D99,D27,$N1:$N99,"Exigences"&amp;"*",G1:G99,"&lt;&gt;0")+_xlfn.COUNTIFS($D1:$D99,D27,$N1:$N99,"Non"&amp;"*",G1:G99,"&lt;&gt;0")),IF(N27='Suppl'!$E$67,1/(_xlfn.COUNTIFS($D1:$D99,D27,$N1:$N99,"Exigences"&amp;"*",G1:G99,"&lt;&gt;0")+_xlfn.COUNTIFS($D1:$D99,D27,$N1:$N99,"Non"&amp;"*",G1:G99,"&lt;&gt;0")),0)))</f>
        <v>0</v>
      </c>
      <c r="T27" s="787"/>
      <c r="U27" s="787"/>
      <c r="V27" s="1154"/>
      <c r="W27" s="1175"/>
      <c r="X27" s="797">
        <f>_xlfn.IFERROR(IF(N27='Suppl'!$E$65,0,IF(N27='Suppl'!$E$66,1/2/(_xlfn.COUNTIFS($N1:$N99,"Exigences"&amp;"*")+_xlfn.COUNTIFS($N1:$N99,"Non"&amp;"*")),IF(N27='Suppl'!$E$67,1/(_xlfn.COUNTIFS($N1:$N99,"Exigences"&amp;"*")+_xlfn.COUNTIFS($N1:$N99,"Non"&amp;"*")),0))),0)</f>
        <v>0</v>
      </c>
      <c r="Y27" s="586"/>
      <c r="Z27" s="586"/>
      <c r="AA27" s="586"/>
      <c r="AB27" s="586"/>
      <c r="AC27" s="586"/>
      <c r="AD27" s="586"/>
      <c r="AE27" s="586"/>
      <c r="AF27" s="586"/>
      <c r="AG27" s="586"/>
      <c r="AH27" s="586"/>
      <c r="AI27" s="1040"/>
      <c r="AJ27" s="585"/>
    </row>
    <row r="28" ht="30" customHeight="1">
      <c r="A28" s="1039"/>
      <c r="B28" s="753"/>
      <c r="C28" t="s" s="754">
        <f>IF(LEFT(RIGHT($B$1,2),1)=" ",RIGHT($B$1,1),RIGHT($B$1,2))</f>
        <v>275</v>
      </c>
      <c r="D28" s="755">
        <f>IF(LEFT(F28,5)="Bonne",D26+1,D27)</f>
        <v>1</v>
      </c>
      <c r="E28" t="s" s="778">
        <f>C28&amp;D28&amp;RIGHT(F28,1)</f>
        <v>2547</v>
      </c>
      <c r="F28" t="s" s="790">
        <v>1837</v>
      </c>
      <c r="G28" t="s" s="791">
        <f>VLOOKUP(E28,'BDD'!$A$2:$N$567,MATCH(G$24,'BDD'!$A$1:$P$1,0),FALSE)</f>
        <v>1666</v>
      </c>
      <c r="H28" t="s" s="799">
        <f>IF(VLOOKUP($E28,'BDD'!$A$2:$N$567,MATCH($H$23,'BDD'!$A$1:$P$1,0),FALSE)=H$24,H$24,"")</f>
      </c>
      <c r="I28" t="s" s="792">
        <f>IF(VLOOKUP($E28,'BDD'!$A$2:$N$567,MATCH($H$23,'BDD'!$A$1:$P$1,0),FALSE)=I$24,I$24,"")</f>
        <v>1969</v>
      </c>
      <c r="J28" t="s" s="792">
        <f>IF(VLOOKUP($E28,'BDD'!$A$2:$N$567,MATCH($H$23,'BDD'!$A$1:$P$1,0),FALSE)=J$24,J$24,"")</f>
      </c>
      <c r="K28" t="s" s="792">
        <f>IF(VLOOKUP($E28,'BDD'!$A$2:$N$567,MATCH($H$23,'BDD'!$A$1:$P$1,0),FALSE)=K$24,K$24,"")</f>
      </c>
      <c r="L28" t="s" s="783">
        <f>IF(VLOOKUP($E28,'BDD'!$A$2:$N$567,MATCH($H$23,'BDD'!$A$1:$P$1,0),FALSE)=L$24,L$24,"")</f>
      </c>
      <c r="M28" s="794">
        <f>IF(N28="Exigences partiellement respectées",1,IF(N28="Exigences respectées",2,0))</f>
        <v>0</v>
      </c>
      <c r="N28" t="s" s="791">
        <f>VLOOKUP(VLOOKUP(E28,'BDD'!$A$2:$P$550,15,FALSE),'Suppl'!$D$64:$E$68,2,FALSE)</f>
        <v>1751</v>
      </c>
      <c r="O28" s="795"/>
      <c r="P28" s="796"/>
      <c r="Q28" s="796"/>
      <c r="R28" s="1155"/>
      <c r="S28" s="1151">
        <f>IF(N28='Suppl'!$E$65,0,IF(N28='Suppl'!$E$66,1/2/(_xlfn.COUNTIFS($D1:$D99,D28,$N1:$N99,"Exigences"&amp;"*",G1:G99,"&lt;&gt;0")+_xlfn.COUNTIFS($D1:$D99,D28,$N1:$N99,"Non"&amp;"*",G1:G99,"&lt;&gt;0")),IF(N28='Suppl'!$E$67,1/(_xlfn.COUNTIFS($D1:$D99,D28,$N1:$N99,"Exigences"&amp;"*",G1:G99,"&lt;&gt;0")+_xlfn.COUNTIFS($D1:$D99,D28,$N1:$N99,"Non"&amp;"*",G1:G99,"&lt;&gt;0")),0)))</f>
        <v>0</v>
      </c>
      <c r="T28" s="797"/>
      <c r="U28" s="797"/>
      <c r="V28" s="1156"/>
      <c r="W28" s="1175"/>
      <c r="X28" s="797">
        <f>_xlfn.IFERROR(IF(N28='Suppl'!$E$65,0,IF(N28='Suppl'!$E$66,1/2/(_xlfn.COUNTIFS($N1:$N99,"Exigences"&amp;"*")+_xlfn.COUNTIFS($N1:$N99,"Non"&amp;"*")),IF(N28='Suppl'!$E$67,1/(_xlfn.COUNTIFS($N1:$N99,"Exigences"&amp;"*")+_xlfn.COUNTIFS($N1:$N99,"Non"&amp;"*")),0))),0)</f>
        <v>0</v>
      </c>
      <c r="Y28" s="586"/>
      <c r="Z28" s="586"/>
      <c r="AA28" s="586"/>
      <c r="AB28" s="586"/>
      <c r="AC28" s="586"/>
      <c r="AD28" s="586"/>
      <c r="AE28" s="586"/>
      <c r="AF28" s="586"/>
      <c r="AG28" s="586"/>
      <c r="AH28" s="586"/>
      <c r="AI28" s="1040"/>
      <c r="AJ28" s="585"/>
    </row>
    <row r="29" ht="30" customHeight="1">
      <c r="A29" s="1039"/>
      <c r="B29" s="753"/>
      <c r="C29" t="s" s="754">
        <f>IF(LEFT(RIGHT($B$1,2),1)=" ",RIGHT($B$1,1),RIGHT($B$1,2))</f>
        <v>275</v>
      </c>
      <c r="D29" s="755">
        <f>IF(LEFT(F29,5)="Bonne",D27+1,D28)</f>
        <v>1</v>
      </c>
      <c r="E29" t="s" s="778">
        <f>C29&amp;D29&amp;RIGHT(F29,1)</f>
        <v>2548</v>
      </c>
      <c r="F29" t="s" s="779">
        <v>1774</v>
      </c>
      <c r="G29" t="s" s="780">
        <f>VLOOKUP(E29,'BDD'!$A$2:$N$567,MATCH(G$24,'BDD'!$A$1:$P$1,0),FALSE)</f>
        <v>1671</v>
      </c>
      <c r="H29" t="s" s="799">
        <f>IF(VLOOKUP($E29,'BDD'!$A$2:$N$567,MATCH($H$23,'BDD'!$A$1:$P$1,0),FALSE)=H$24,H$24,"")</f>
      </c>
      <c r="I29" t="s" s="792">
        <f>IF(VLOOKUP($E29,'BDD'!$A$2:$N$567,MATCH($H$23,'BDD'!$A$1:$P$1,0),FALSE)=I$24,I$24,"")</f>
      </c>
      <c r="J29" t="s" s="792">
        <f>IF(VLOOKUP($E29,'BDD'!$A$2:$N$567,MATCH($H$23,'BDD'!$A$1:$P$1,0),FALSE)=J$24,J$24,"")</f>
        <v>1967</v>
      </c>
      <c r="K29" t="s" s="792">
        <f>IF(VLOOKUP($E29,'BDD'!$A$2:$N$567,MATCH($H$23,'BDD'!$A$1:$P$1,0),FALSE)=K$24,K$24,"")</f>
      </c>
      <c r="L29" t="s" s="783">
        <f>IF(VLOOKUP($E29,'BDD'!$A$2:$N$567,MATCH($H$23,'BDD'!$A$1:$P$1,0),FALSE)=L$24,L$24,"")</f>
      </c>
      <c r="M29" s="794">
        <f>IF(N29="Exigences partiellement respectées",1,IF(N29="Exigences respectées",2,0))</f>
        <v>0</v>
      </c>
      <c r="N29" t="s" s="780">
        <f>VLOOKUP(VLOOKUP(E29,'BDD'!$A$2:$P$550,15,FALSE),'Suppl'!$D$64:$E$68,2,FALSE)</f>
        <v>1751</v>
      </c>
      <c r="O29" s="795"/>
      <c r="P29" s="796"/>
      <c r="Q29" s="796"/>
      <c r="R29" s="1155"/>
      <c r="S29" s="1151">
        <f>IF(N29='Suppl'!$E$65,0,IF(N29='Suppl'!$E$66,1/2/(_xlfn.COUNTIFS($D1:$D99,D29,$N1:$N99,"Exigences"&amp;"*",G1:G99,"&lt;&gt;0")+_xlfn.COUNTIFS($D1:$D99,D29,$N1:$N99,"Non"&amp;"*",G1:G99,"&lt;&gt;0")),IF(N29='Suppl'!$E$67,1/(_xlfn.COUNTIFS($D1:$D99,D29,$N1:$N99,"Exigences"&amp;"*",G1:G99,"&lt;&gt;0")+_xlfn.COUNTIFS($D1:$D99,D29,$N1:$N99,"Non"&amp;"*",G1:G99,"&lt;&gt;0")),0)))</f>
        <v>0</v>
      </c>
      <c r="T29" s="797"/>
      <c r="U29" s="797"/>
      <c r="V29" s="1156"/>
      <c r="W29" s="1175"/>
      <c r="X29" s="797">
        <f>_xlfn.IFERROR(IF(N29='Suppl'!$E$65,0,IF(N29='Suppl'!$E$66,1/2/(_xlfn.COUNTIFS($N1:$N99,"Exigences"&amp;"*")+_xlfn.COUNTIFS($N1:$N99,"Non"&amp;"*")),IF(N29='Suppl'!$E$67,1/(_xlfn.COUNTIFS($N1:$N99,"Exigences"&amp;"*")+_xlfn.COUNTIFS($N1:$N99,"Non"&amp;"*")),0))),0)</f>
        <v>0</v>
      </c>
      <c r="Y29" s="586"/>
      <c r="Z29" s="586"/>
      <c r="AA29" s="586"/>
      <c r="AB29" s="586"/>
      <c r="AC29" s="586"/>
      <c r="AD29" s="586"/>
      <c r="AE29" s="586"/>
      <c r="AF29" s="586"/>
      <c r="AG29" s="586"/>
      <c r="AH29" s="586"/>
      <c r="AI29" s="1040"/>
      <c r="AJ29" s="585"/>
    </row>
    <row r="30" ht="30" customHeight="1">
      <c r="A30" s="1039"/>
      <c r="B30" s="753"/>
      <c r="C30" t="s" s="754">
        <f>IF(LEFT(RIGHT($B$1,2),1)=" ",RIGHT($B$1,1),RIGHT($B$1,2))</f>
        <v>275</v>
      </c>
      <c r="D30" s="755">
        <f>IF(LEFT(F30,5)="Bonne",D28+1,D29)</f>
        <v>1</v>
      </c>
      <c r="E30" t="s" s="778">
        <f>C30&amp;D30&amp;RIGHT(F30,1)</f>
        <v>2549</v>
      </c>
      <c r="F30" t="s" s="790">
        <v>1776</v>
      </c>
      <c r="G30" t="s" s="791">
        <f>VLOOKUP(E30,'BDD'!$A$2:$N$567,MATCH(G$24,'BDD'!$A$1:$P$1,0),FALSE)</f>
        <v>1675</v>
      </c>
      <c r="H30" t="s" s="799">
        <f>IF(VLOOKUP($E30,'BDD'!$A$2:$N$567,MATCH($H$23,'BDD'!$A$1:$P$1,0),FALSE)=H$24,H$24,"")</f>
      </c>
      <c r="I30" t="s" s="792">
        <f>IF(VLOOKUP($E30,'BDD'!$A$2:$N$567,MATCH($H$23,'BDD'!$A$1:$P$1,0),FALSE)=I$24,I$24,"")</f>
      </c>
      <c r="J30" t="s" s="792">
        <f>IF(VLOOKUP($E30,'BDD'!$A$2:$N$567,MATCH($H$23,'BDD'!$A$1:$P$1,0),FALSE)=J$24,J$24,"")</f>
      </c>
      <c r="K30" t="s" s="792">
        <f>IF(VLOOKUP($E30,'BDD'!$A$2:$N$567,MATCH($H$23,'BDD'!$A$1:$P$1,0),FALSE)=K$24,K$24,"")</f>
      </c>
      <c r="L30" t="s" s="783">
        <f>IF(VLOOKUP($E30,'BDD'!$A$2:$N$567,MATCH($H$23,'BDD'!$A$1:$P$1,0),FALSE)=L$24,L$24,"")</f>
        <v>1985</v>
      </c>
      <c r="M30" s="794">
        <f>IF(N30="Exigences partiellement respectées",1,IF(N30="Exigences respectées",2,0))</f>
        <v>0</v>
      </c>
      <c r="N30" t="s" s="791">
        <f>VLOOKUP(VLOOKUP(E30,'BDD'!$A$2:$P$550,15,FALSE),'Suppl'!$D$64:$E$68,2,FALSE)</f>
        <v>1751</v>
      </c>
      <c r="O30" s="795"/>
      <c r="P30" s="796"/>
      <c r="Q30" s="796"/>
      <c r="R30" s="1155"/>
      <c r="S30" s="1151">
        <f>IF(N30='Suppl'!$E$65,0,IF(N30='Suppl'!$E$66,1/2/(_xlfn.COUNTIFS($D1:$D99,D30,$N1:$N99,"Exigences"&amp;"*",G1:G99,"&lt;&gt;0")+_xlfn.COUNTIFS($D1:$D99,D30,$N1:$N99,"Non"&amp;"*",G1:G99,"&lt;&gt;0")),IF(N30='Suppl'!$E$67,1/(_xlfn.COUNTIFS($D1:$D99,D30,$N1:$N99,"Exigences"&amp;"*",G1:G99,"&lt;&gt;0")+_xlfn.COUNTIFS($D1:$D99,D30,$N1:$N99,"Non"&amp;"*",G1:G99,"&lt;&gt;0")),0)))</f>
        <v>0</v>
      </c>
      <c r="T30" s="797"/>
      <c r="U30" s="797"/>
      <c r="V30" s="1156"/>
      <c r="W30" s="1175"/>
      <c r="X30" s="797">
        <f>_xlfn.IFERROR(IF(N30='Suppl'!$E$65,0,IF(N30='Suppl'!$E$66,1/2/(_xlfn.COUNTIFS($N1:$N99,"Exigences"&amp;"*")+_xlfn.COUNTIFS($N1:$N99,"Non"&amp;"*")),IF(N30='Suppl'!$E$67,1/(_xlfn.COUNTIFS($N1:$N99,"Exigences"&amp;"*")+_xlfn.COUNTIFS($N1:$N99,"Non"&amp;"*")),0))),0)</f>
        <v>0</v>
      </c>
      <c r="Y30" t="s" s="744">
        <v>171</v>
      </c>
      <c r="Z30" s="586"/>
      <c r="AA30" s="586"/>
      <c r="AB30" s="586"/>
      <c r="AC30" s="586"/>
      <c r="AD30" s="586"/>
      <c r="AE30" s="586"/>
      <c r="AF30" s="586"/>
      <c r="AG30" s="586"/>
      <c r="AH30" s="586"/>
      <c r="AI30" s="1040"/>
      <c r="AJ30" s="585"/>
    </row>
    <row r="31" ht="30" customHeight="1">
      <c r="A31" s="1039"/>
      <c r="B31" s="753"/>
      <c r="C31" t="s" s="754">
        <f>IF(LEFT(RIGHT($B$1,2),1)=" ",RIGHT($B$1,1),RIGHT($B$1,2))</f>
        <v>275</v>
      </c>
      <c r="D31" s="755">
        <f>IF(LEFT(F31,5)="Bonne",D29+1,D30)</f>
        <v>1</v>
      </c>
      <c r="E31" t="s" s="778">
        <f>C31&amp;D31&amp;RIGHT(F31,1)</f>
        <v>2550</v>
      </c>
      <c r="F31" t="s" s="779">
        <v>1778</v>
      </c>
      <c r="G31" t="s" s="780">
        <f>VLOOKUP(E31,'BDD'!$A$2:$N$567,MATCH(G$24,'BDD'!$A$1:$P$1,0),FALSE)</f>
        <v>1679</v>
      </c>
      <c r="H31" t="s" s="799">
        <f>IF(VLOOKUP($E31,'BDD'!$A$2:$N$567,MATCH($H$23,'BDD'!$A$1:$P$1,0),FALSE)=H$24,H$24,"")</f>
      </c>
      <c r="I31" t="s" s="792">
        <f>IF(VLOOKUP($E31,'BDD'!$A$2:$N$567,MATCH($H$23,'BDD'!$A$1:$P$1,0),FALSE)=I$24,I$24,"")</f>
        <v>1969</v>
      </c>
      <c r="J31" t="s" s="792">
        <f>IF(VLOOKUP($E31,'BDD'!$A$2:$N$567,MATCH($H$23,'BDD'!$A$1:$P$1,0),FALSE)=J$24,J$24,"")</f>
      </c>
      <c r="K31" t="s" s="792">
        <f>IF(VLOOKUP($E31,'BDD'!$A$2:$N$567,MATCH($H$23,'BDD'!$A$1:$P$1,0),FALSE)=K$24,K$24,"")</f>
      </c>
      <c r="L31" t="s" s="783">
        <f>IF(VLOOKUP($E31,'BDD'!$A$2:$N$567,MATCH($H$23,'BDD'!$A$1:$P$1,0),FALSE)=L$24,L$24,"")</f>
      </c>
      <c r="M31" s="794">
        <f>IF(N31="Exigences partiellement respectées",1,IF(N31="Exigences respectées",2,0))</f>
        <v>0</v>
      </c>
      <c r="N31" t="s" s="780">
        <f>VLOOKUP(VLOOKUP(E31,'BDD'!$A$2:$P$550,15,FALSE),'Suppl'!$D$64:$E$68,2,FALSE)</f>
        <v>1751</v>
      </c>
      <c r="O31" s="795"/>
      <c r="P31" s="796"/>
      <c r="Q31" s="796"/>
      <c r="R31" s="1155"/>
      <c r="S31" s="1151">
        <f>IF(N31='Suppl'!$E$65,0,IF(N31='Suppl'!$E$66,1/2/(_xlfn.COUNTIFS($D1:$D99,D31,$N1:$N99,"Exigences"&amp;"*",G1:G99,"&lt;&gt;0")+_xlfn.COUNTIFS($D1:$D99,D31,$N1:$N99,"Non"&amp;"*",G1:G99,"&lt;&gt;0")),IF(N31='Suppl'!$E$67,1/(_xlfn.COUNTIFS($D1:$D99,D31,$N1:$N99,"Exigences"&amp;"*",G1:G99,"&lt;&gt;0")+_xlfn.COUNTIFS($D1:$D99,D31,$N1:$N99,"Non"&amp;"*",G1:G99,"&lt;&gt;0")),0)))</f>
        <v>0</v>
      </c>
      <c r="T31" s="797"/>
      <c r="U31" s="797"/>
      <c r="V31" s="1156"/>
      <c r="W31" s="1175"/>
      <c r="X31" s="797">
        <f>_xlfn.IFERROR(IF(N31='Suppl'!$E$65,0,IF(N31='Suppl'!$E$66,1/2/(_xlfn.COUNTIFS($N1:$N99,"Exigences"&amp;"*")+_xlfn.COUNTIFS($N1:$N99,"Non"&amp;"*")),IF(N31='Suppl'!$E$67,1/(_xlfn.COUNTIFS($N1:$N99,"Exigences"&amp;"*")+_xlfn.COUNTIFS($N1:$N99,"Non"&amp;"*")),0))),0)</f>
        <v>0</v>
      </c>
      <c r="Y31" s="586"/>
      <c r="Z31" s="586"/>
      <c r="AA31" s="586"/>
      <c r="AB31" s="586"/>
      <c r="AC31" s="586"/>
      <c r="AD31" s="586"/>
      <c r="AE31" s="586"/>
      <c r="AF31" s="586"/>
      <c r="AG31" s="586"/>
      <c r="AH31" s="586"/>
      <c r="AI31" s="1040"/>
      <c r="AJ31" s="585"/>
    </row>
    <row r="32" ht="30" customHeight="1">
      <c r="A32" s="1039"/>
      <c r="B32" s="753"/>
      <c r="C32" t="s" s="754">
        <f>IF(LEFT(RIGHT($B$1,2),1)=" ",RIGHT($B$1,1),RIGHT($B$1,2))</f>
        <v>275</v>
      </c>
      <c r="D32" s="755">
        <f>IF(LEFT(F32,5)="Bonne",D30+1,D31)</f>
        <v>1</v>
      </c>
      <c r="E32" t="s" s="778">
        <f>C32&amp;D32&amp;RIGHT(F32,1)</f>
        <v>2551</v>
      </c>
      <c r="F32" t="s" s="790">
        <v>1780</v>
      </c>
      <c r="G32" t="s" s="791">
        <f>VLOOKUP(E32,'BDD'!$A$2:$N$567,MATCH(G$24,'BDD'!$A$1:$P$1,0),FALSE)</f>
        <v>1683</v>
      </c>
      <c r="H32" t="s" s="799">
        <f>IF(VLOOKUP($E32,'BDD'!$A$2:$N$567,MATCH($H$23,'BDD'!$A$1:$P$1,0),FALSE)=H$24,H$24,"")</f>
      </c>
      <c r="I32" t="s" s="792">
        <f>IF(VLOOKUP($E32,'BDD'!$A$2:$N$567,MATCH($H$23,'BDD'!$A$1:$P$1,0),FALSE)=I$24,I$24,"")</f>
      </c>
      <c r="J32" t="s" s="792">
        <f>IF(VLOOKUP($E32,'BDD'!$A$2:$N$567,MATCH($H$23,'BDD'!$A$1:$P$1,0),FALSE)=J$24,J$24,"")</f>
      </c>
      <c r="K32" t="s" s="792">
        <f>IF(VLOOKUP($E32,'BDD'!$A$2:$N$567,MATCH($H$23,'BDD'!$A$1:$P$1,0),FALSE)=K$24,K$24,"")</f>
        <v>1968</v>
      </c>
      <c r="L32" t="s" s="783">
        <f>IF(VLOOKUP($E32,'BDD'!$A$2:$N$567,MATCH($H$23,'BDD'!$A$1:$P$1,0),FALSE)=L$24,L$24,"")</f>
      </c>
      <c r="M32" s="800">
        <f>IF(N32="Exigences partiellement respectées",1,IF(N32="Exigences respectées",2,0))</f>
        <v>0</v>
      </c>
      <c r="N32" t="s" s="791">
        <f>VLOOKUP(VLOOKUP(E32,'BDD'!$A$2:$P$550,15,FALSE),'Suppl'!$D$64:$E$68,2,FALSE)</f>
        <v>1751</v>
      </c>
      <c r="O32" s="801"/>
      <c r="P32" s="802"/>
      <c r="Q32" s="802"/>
      <c r="R32" s="1157"/>
      <c r="S32" s="1158">
        <f>IF(N32='Suppl'!$E$65,0,IF(N32='Suppl'!$E$66,1/2/(_xlfn.COUNTIFS($D1:$D99,D32,$N1:$N99,"Exigences"&amp;"*",G1:G99,"&lt;&gt;0")+_xlfn.COUNTIFS($D1:$D99,D32,$N1:$N99,"Non"&amp;"*",G1:G99,"&lt;&gt;0")),IF(N32='Suppl'!$E$67,1/(_xlfn.COUNTIFS($D1:$D99,D32,$N1:$N99,"Exigences"&amp;"*",G1:G99,"&lt;&gt;0")+_xlfn.COUNTIFS($D1:$D99,D32,$N1:$N99,"Non"&amp;"*",G1:G99,"&lt;&gt;0")),0)))</f>
        <v>0</v>
      </c>
      <c r="T32" s="803"/>
      <c r="U32" s="803"/>
      <c r="V32" s="1159"/>
      <c r="W32" s="1175"/>
      <c r="X32" s="797">
        <f>_xlfn.IFERROR(IF(N32='Suppl'!$E$65,0,IF(N32='Suppl'!$E$66,1/2/(_xlfn.COUNTIFS($N1:$N99,"Exigences"&amp;"*")+_xlfn.COUNTIFS($N1:$N99,"Non"&amp;"*")),IF(N32='Suppl'!$E$67,1/(_xlfn.COUNTIFS($N1:$N99,"Exigences"&amp;"*")+_xlfn.COUNTIFS($N1:$N99,"Non"&amp;"*")),0))),0)</f>
        <v>0</v>
      </c>
      <c r="Y32" s="586"/>
      <c r="Z32" s="586"/>
      <c r="AA32" s="586"/>
      <c r="AB32" s="586"/>
      <c r="AC32" s="586"/>
      <c r="AD32" s="586"/>
      <c r="AE32" s="586"/>
      <c r="AF32" s="586"/>
      <c r="AG32" s="586"/>
      <c r="AH32" s="586"/>
      <c r="AI32" s="1040"/>
      <c r="AJ32" s="585"/>
    </row>
    <row r="33" ht="30" customHeight="1">
      <c r="A33" s="1039"/>
      <c r="B33" s="753"/>
      <c r="C33" t="s" s="754">
        <f>IF(LEFT(RIGHT($B$1,2),1)=" ",RIGHT($B$1,1),RIGHT($B$1,2))</f>
        <v>275</v>
      </c>
      <c r="D33" s="755">
        <f>IF(LEFT(F33,5)="Bonne",D31+1,D32)</f>
        <v>2</v>
      </c>
      <c r="E33" t="s" s="778">
        <f>C33&amp;D33&amp;RIGHT(F33,1)</f>
        <v>2553</v>
      </c>
      <c r="F33" t="s" s="757">
        <v>1785</v>
      </c>
      <c r="G33" t="s" s="758">
        <f>VLOOKUP(E35,'BDD'!$A$2:$N$567,6,FALSE)</f>
        <v>1685</v>
      </c>
      <c r="H33" t="s" s="805">
        <f>VLOOKUP(E35,'BDD'!$A$2:$N$567,6,FALSE)</f>
        <v>1685</v>
      </c>
      <c r="I33" s="760"/>
      <c r="J33" s="760"/>
      <c r="K33" s="760"/>
      <c r="L33" s="761"/>
      <c r="M33" s="762"/>
      <c r="N33" s="763"/>
      <c r="O33" s="764">
        <v>0</v>
      </c>
      <c r="P33" s="764"/>
      <c r="Q33" s="764"/>
      <c r="R33" s="764"/>
      <c r="S33" s="765">
        <f>_xlfn.SUMIFS(S1:S99,$D1:$D99,D33,$N1:$N99,"Exigences"&amp;"*")</f>
      </c>
      <c r="T33" s="765"/>
      <c r="U33" s="765"/>
      <c r="V33" s="1149"/>
      <c r="W33" s="1174"/>
      <c r="X33" s="797">
        <f>_xlfn.IFERROR(IF(N33='Suppl'!$E$65,0,IF(N33='Suppl'!$E$66,1/2/(_xlfn.COUNTIFS($N1:$N99,"Exigences"&amp;"*")+_xlfn.COUNTIFS($N1:$N99,"Non"&amp;"*")),IF(N33='Suppl'!$E$67,1/(_xlfn.COUNTIFS($N1:$N99,"Exigences"&amp;"*")+_xlfn.COUNTIFS($N1:$N99,"Non"&amp;"*")),0))),0)</f>
        <v>0</v>
      </c>
      <c r="Y33" s="586"/>
      <c r="Z33" s="586"/>
      <c r="AA33" s="586"/>
      <c r="AB33" s="586"/>
      <c r="AC33" s="586"/>
      <c r="AD33" s="586"/>
      <c r="AE33" s="586"/>
      <c r="AF33" s="586"/>
      <c r="AG33" s="586"/>
      <c r="AH33" s="586"/>
      <c r="AI33" s="1040"/>
      <c r="AJ33" s="585"/>
    </row>
    <row r="34" ht="30" customHeight="1">
      <c r="A34" s="1039"/>
      <c r="B34" s="753"/>
      <c r="C34" t="s" s="754">
        <f>IF(LEFT(RIGHT($B$1,2),1)=" ",RIGHT($B$1,1),RIGHT($B$1,2))</f>
        <v>275</v>
      </c>
      <c r="D34" s="755">
        <f>IF(LEFT(F34,5)="Bonne",D32+1,D33)</f>
        <v>2</v>
      </c>
      <c r="E34" t="s" s="778">
        <f>C34&amp;D34&amp;RIGHT(F34,1)</f>
        <v>2554</v>
      </c>
      <c r="F34" t="s" s="769">
        <v>1835</v>
      </c>
      <c r="G34" t="s" s="809">
        <f>VLOOKUP(E36,'BDD'!$A$2:$N$567,7,FALSE)</f>
        <v>2575</v>
      </c>
      <c r="H34" s="810"/>
      <c r="I34" s="810"/>
      <c r="J34" s="810"/>
      <c r="K34" s="810"/>
      <c r="L34" s="810"/>
      <c r="M34" s="810"/>
      <c r="N34" s="811"/>
      <c r="O34" s="775"/>
      <c r="P34" s="775"/>
      <c r="Q34" s="775"/>
      <c r="R34" s="775"/>
      <c r="S34" s="776"/>
      <c r="T34" s="776"/>
      <c r="U34" s="776"/>
      <c r="V34" s="1150"/>
      <c r="W34" s="1174"/>
      <c r="X34" s="797">
        <f>_xlfn.IFERROR(IF(N34='Suppl'!$E$65,0,IF(N34='Suppl'!$E$66,1/2/(_xlfn.COUNTIFS($N1:$N99,"Exigences"&amp;"*")+_xlfn.COUNTIFS($N1:$N99,"Non"&amp;"*")),IF(N34='Suppl'!$E$67,1/(_xlfn.COUNTIFS($N1:$N99,"Exigences"&amp;"*")+_xlfn.COUNTIFS($N1:$N99,"Non"&amp;"*")),0))),0)</f>
        <v>0</v>
      </c>
      <c r="Y34" s="586"/>
      <c r="Z34" s="586"/>
      <c r="AA34" s="586"/>
      <c r="AB34" s="586"/>
      <c r="AC34" s="586"/>
      <c r="AD34" s="586"/>
      <c r="AE34" s="586"/>
      <c r="AF34" s="586"/>
      <c r="AG34" s="586"/>
      <c r="AH34" s="586"/>
      <c r="AI34" s="1040"/>
      <c r="AJ34" s="585"/>
    </row>
    <row r="35" ht="30" customHeight="1">
      <c r="A35" s="1039"/>
      <c r="B35" s="753"/>
      <c r="C35" t="s" s="754">
        <f>IF(LEFT(RIGHT($B$1,2),1)=" ",RIGHT($B$1,1),RIGHT($B$1,2))</f>
        <v>275</v>
      </c>
      <c r="D35" s="755">
        <f>IF(LEFT(F35,5)="Bonne",D33+1,D34)</f>
        <v>2</v>
      </c>
      <c r="E35" t="s" s="778">
        <f>C35&amp;D35&amp;RIGHT(F35,1)</f>
        <v>2554</v>
      </c>
      <c r="F35" t="s" s="779">
        <v>1769</v>
      </c>
      <c r="G35" t="s" s="780">
        <f>VLOOKUP(E35,'BDD'!$A$2:$N$567,MATCH(G$24,'BDD'!$A$1:$P$1,0),FALSE)</f>
        <v>1688</v>
      </c>
      <c r="H35" t="s" s="799">
        <f>IF(VLOOKUP($E35,'BDD'!$A$2:$N$567,MATCH($H$23,'BDD'!$A$1:$P$1,0),FALSE)=H$24,H$24,"")</f>
      </c>
      <c r="I35" t="s" s="792">
        <f>IF(VLOOKUP($E35,'BDD'!$A$2:$N$567,MATCH($H$23,'BDD'!$A$1:$P$1,0),FALSE)=I$24,I$24,"")</f>
      </c>
      <c r="J35" t="s" s="792">
        <f>IF(VLOOKUP($E35,'BDD'!$A$2:$N$567,MATCH($H$23,'BDD'!$A$1:$P$1,0),FALSE)=J$24,J$24,"")</f>
        <v>1967</v>
      </c>
      <c r="K35" t="s" s="792">
        <f>IF(VLOOKUP($E35,'BDD'!$A$2:$N$567,MATCH($H$23,'BDD'!$A$1:$P$1,0),FALSE)=K$24,K$24,"")</f>
      </c>
      <c r="L35" t="s" s="783">
        <f>IF(VLOOKUP($E35,'BDD'!$A$2:$N$567,MATCH($H$23,'BDD'!$A$1:$P$1,0),FALSE)=L$24,L$24,"")</f>
      </c>
      <c r="M35" s="784">
        <f>IF(N35="Exigences partiellement respectées",1,IF(N35="Exigences respectées",2,0))</f>
        <v>0</v>
      </c>
      <c r="N35" t="s" s="780">
        <f>VLOOKUP(VLOOKUP(E35,'BDD'!$A$2:$P$550,15,FALSE),'Suppl'!$D$64:$E$68,2,FALSE)</f>
        <v>1751</v>
      </c>
      <c r="O35" s="785"/>
      <c r="P35" s="786"/>
      <c r="Q35" s="786"/>
      <c r="R35" s="1152"/>
      <c r="S35" s="1153">
        <f>IF(N35='Suppl'!$E$65,0,IF(N35='Suppl'!$E$66,1/2/(_xlfn.COUNTIFS($D1:$D99,D35,$N1:$N99,"Exigences"&amp;"*",G1:G99,"&lt;&gt;0")+_xlfn.COUNTIFS($D1:$D99,D35,$N1:$N99,"Non"&amp;"*",G1:G99,"&lt;&gt;0")),IF(N35='Suppl'!$E$67,1/(_xlfn.COUNTIFS($D1:$D99,D35,$N1:$N99,"Exigences"&amp;"*",G1:G99,"&lt;&gt;0")+_xlfn.COUNTIFS($D1:$D99,D35,$N1:$N99,"Non"&amp;"*",G1:G99,"&lt;&gt;0")),0)))</f>
        <v>0</v>
      </c>
      <c r="T35" s="787"/>
      <c r="U35" s="787"/>
      <c r="V35" s="1154"/>
      <c r="W35" s="1175"/>
      <c r="X35" s="797">
        <f>_xlfn.IFERROR(IF(N35='Suppl'!$E$65,0,IF(N35='Suppl'!$E$66,1/2/(_xlfn.COUNTIFS($N1:$N99,"Exigences"&amp;"*")+_xlfn.COUNTIFS($N1:$N99,"Non"&amp;"*")),IF(N35='Suppl'!$E$67,1/(_xlfn.COUNTIFS($N1:$N99,"Exigences"&amp;"*")+_xlfn.COUNTIFS($N1:$N99,"Non"&amp;"*")),0))),0)</f>
        <v>0</v>
      </c>
      <c r="Y35" s="586"/>
      <c r="Z35" s="586"/>
      <c r="AA35" s="586"/>
      <c r="AB35" s="586"/>
      <c r="AC35" s="586"/>
      <c r="AD35" s="586"/>
      <c r="AE35" s="586"/>
      <c r="AF35" s="586"/>
      <c r="AG35" s="586"/>
      <c r="AH35" s="586"/>
      <c r="AI35" s="1040"/>
      <c r="AJ35" s="585"/>
    </row>
    <row r="36" ht="30" customHeight="1">
      <c r="A36" s="1039"/>
      <c r="B36" s="753"/>
      <c r="C36" t="s" s="754">
        <f>IF(LEFT(RIGHT($B$1,2),1)=" ",RIGHT($B$1,1),RIGHT($B$1,2))</f>
        <v>275</v>
      </c>
      <c r="D36" s="755">
        <f>IF(LEFT(F36,5)="Bonne",D34+1,D35)</f>
        <v>2</v>
      </c>
      <c r="E36" t="s" s="778">
        <f>C36&amp;D36&amp;RIGHT(F36,1)</f>
        <v>2553</v>
      </c>
      <c r="F36" t="s" s="790">
        <v>1837</v>
      </c>
      <c r="G36" t="s" s="791">
        <f>VLOOKUP(E36,'BDD'!$A$2:$N$567,MATCH(G$24,'BDD'!$A$1:$P$1,0),FALSE)</f>
        <v>1691</v>
      </c>
      <c r="H36" t="s" s="799">
        <f>IF(VLOOKUP($E36,'BDD'!$A$2:$N$567,MATCH($H$23,'BDD'!$A$1:$P$1,0),FALSE)=H$24,H$24,"")</f>
      </c>
      <c r="I36" t="s" s="792">
        <f>IF(VLOOKUP($E36,'BDD'!$A$2:$N$567,MATCH($H$23,'BDD'!$A$1:$P$1,0),FALSE)=I$24,I$24,"")</f>
      </c>
      <c r="J36" t="s" s="792">
        <f>IF(VLOOKUP($E36,'BDD'!$A$2:$N$567,MATCH($H$23,'BDD'!$A$1:$P$1,0),FALSE)=J$24,J$24,"")</f>
        <v>1967</v>
      </c>
      <c r="K36" t="s" s="792">
        <f>IF(VLOOKUP($E36,'BDD'!$A$2:$N$567,MATCH($H$23,'BDD'!$A$1:$P$1,0),FALSE)=K$24,K$24,"")</f>
      </c>
      <c r="L36" t="s" s="783">
        <f>IF(VLOOKUP($E36,'BDD'!$A$2:$N$567,MATCH($H$23,'BDD'!$A$1:$P$1,0),FALSE)=L$24,L$24,"")</f>
      </c>
      <c r="M36" s="794">
        <f>IF(N36="Exigences partiellement respectées",1,IF(N36="Exigences respectées",2,0))</f>
        <v>0</v>
      </c>
      <c r="N36" t="s" s="791">
        <f>VLOOKUP(VLOOKUP(E36,'BDD'!$A$2:$P$550,15,FALSE),'Suppl'!$D$64:$E$68,2,FALSE)</f>
        <v>1751</v>
      </c>
      <c r="O36" s="795"/>
      <c r="P36" s="796"/>
      <c r="Q36" s="796"/>
      <c r="R36" s="1155"/>
      <c r="S36" s="1151">
        <f>IF(N36='Suppl'!$E$65,0,IF(N36='Suppl'!$E$66,1/2/(_xlfn.COUNTIFS($D1:$D99,D36,$N1:$N99,"Exigences"&amp;"*",G1:G99,"&lt;&gt;0")+_xlfn.COUNTIFS($D1:$D99,D36,$N1:$N99,"Non"&amp;"*",G1:G99,"&lt;&gt;0")),IF(N36='Suppl'!$E$67,1/(_xlfn.COUNTIFS($D1:$D99,D36,$N1:$N99,"Exigences"&amp;"*",G1:G99,"&lt;&gt;0")+_xlfn.COUNTIFS($D1:$D99,D36,$N1:$N99,"Non"&amp;"*",G1:G99,"&lt;&gt;0")),0)))</f>
        <v>0</v>
      </c>
      <c r="T36" s="797"/>
      <c r="U36" s="797"/>
      <c r="V36" s="1156"/>
      <c r="W36" s="1175"/>
      <c r="X36" s="797">
        <f>_xlfn.IFERROR(IF(N36='Suppl'!$E$65,0,IF(N36='Suppl'!$E$66,1/2/(_xlfn.COUNTIFS($N1:$N99,"Exigences"&amp;"*")+_xlfn.COUNTIFS($N1:$N99,"Non"&amp;"*")),IF(N36='Suppl'!$E$67,1/(_xlfn.COUNTIFS($N1:$N99,"Exigences"&amp;"*")+_xlfn.COUNTIFS($N1:$N99,"Non"&amp;"*")),0))),0)</f>
        <v>0</v>
      </c>
      <c r="Y36" s="586"/>
      <c r="Z36" s="586"/>
      <c r="AA36" s="586"/>
      <c r="AB36" s="586"/>
      <c r="AC36" s="586"/>
      <c r="AD36" s="586"/>
      <c r="AE36" s="586"/>
      <c r="AF36" s="586"/>
      <c r="AG36" s="586"/>
      <c r="AH36" s="586"/>
      <c r="AI36" s="1040"/>
      <c r="AJ36" s="585"/>
    </row>
    <row r="37" ht="30" customHeight="1">
      <c r="A37" s="1039"/>
      <c r="B37" s="753"/>
      <c r="C37" t="s" s="754">
        <f>IF(LEFT(RIGHT($B$1,2),1)=" ",RIGHT($B$1,1),RIGHT($B$1,2))</f>
        <v>275</v>
      </c>
      <c r="D37" s="755">
        <f>IF(LEFT(F37,5)="Bonne",D35+1,D36)</f>
        <v>2</v>
      </c>
      <c r="E37" t="s" s="778">
        <f>C37&amp;D37&amp;RIGHT(F37,1)</f>
        <v>2555</v>
      </c>
      <c r="F37" t="s" s="779">
        <v>1774</v>
      </c>
      <c r="G37" t="s" s="780">
        <f>VLOOKUP(E37,'BDD'!$A$2:$N$567,MATCH(G$24,'BDD'!$A$1:$P$1,0),FALSE)</f>
        <v>1694</v>
      </c>
      <c r="H37" t="s" s="799">
        <f>IF(VLOOKUP($E37,'BDD'!$A$2:$N$567,MATCH($H$23,'BDD'!$A$1:$P$1,0),FALSE)=H$24,H$24,"")</f>
      </c>
      <c r="I37" t="s" s="792">
        <f>IF(VLOOKUP($E37,'BDD'!$A$2:$N$567,MATCH($H$23,'BDD'!$A$1:$P$1,0),FALSE)=I$24,I$24,"")</f>
      </c>
      <c r="J37" t="s" s="792">
        <f>IF(VLOOKUP($E37,'BDD'!$A$2:$N$567,MATCH($H$23,'BDD'!$A$1:$P$1,0),FALSE)=J$24,J$24,"")</f>
      </c>
      <c r="K37" t="s" s="792">
        <f>IF(VLOOKUP($E37,'BDD'!$A$2:$N$567,MATCH($H$23,'BDD'!$A$1:$P$1,0),FALSE)=K$24,K$24,"")</f>
        <v>1968</v>
      </c>
      <c r="L37" t="s" s="783">
        <f>IF(VLOOKUP($E37,'BDD'!$A$2:$N$567,MATCH($H$23,'BDD'!$A$1:$P$1,0),FALSE)=L$24,L$24,"")</f>
      </c>
      <c r="M37" s="794">
        <f>IF(N37="Exigences partiellement respectées",1,IF(N37="Exigences respectées",2,0))</f>
        <v>0</v>
      </c>
      <c r="N37" t="s" s="780">
        <f>VLOOKUP(VLOOKUP(E37,'BDD'!$A$2:$P$550,15,FALSE),'Suppl'!$D$64:$E$68,2,FALSE)</f>
        <v>1751</v>
      </c>
      <c r="O37" s="795"/>
      <c r="P37" s="796"/>
      <c r="Q37" s="796"/>
      <c r="R37" s="1155"/>
      <c r="S37" s="1151">
        <f>IF(N37='Suppl'!$E$65,0,IF(N37='Suppl'!$E$66,1/2/(_xlfn.COUNTIFS($D1:$D99,D37,$N1:$N99,"Exigences"&amp;"*",G1:G99,"&lt;&gt;0")+_xlfn.COUNTIFS($D1:$D99,D37,$N1:$N99,"Non"&amp;"*",G1:G99,"&lt;&gt;0")),IF(N37='Suppl'!$E$67,1/(_xlfn.COUNTIFS($D1:$D99,D37,$N1:$N99,"Exigences"&amp;"*",G1:G99,"&lt;&gt;0")+_xlfn.COUNTIFS($D1:$D99,D37,$N1:$N99,"Non"&amp;"*",G1:G99,"&lt;&gt;0")),0)))</f>
        <v>0</v>
      </c>
      <c r="T37" s="797"/>
      <c r="U37" s="797"/>
      <c r="V37" s="1156"/>
      <c r="W37" s="1175"/>
      <c r="X37" s="797">
        <f>_xlfn.IFERROR(IF(N37='Suppl'!$E$65,0,IF(N37='Suppl'!$E$66,1/2/(_xlfn.COUNTIFS($N1:$N99,"Exigences"&amp;"*")+_xlfn.COUNTIFS($N1:$N99,"Non"&amp;"*")),IF(N37='Suppl'!$E$67,1/(_xlfn.COUNTIFS($N1:$N99,"Exigences"&amp;"*")+_xlfn.COUNTIFS($N1:$N99,"Non"&amp;"*")),0))),0)</f>
      </c>
      <c r="Y37" s="586"/>
      <c r="Z37" s="586"/>
      <c r="AA37" s="586"/>
      <c r="AB37" s="586"/>
      <c r="AC37" s="586"/>
      <c r="AD37" s="586"/>
      <c r="AE37" s="586"/>
      <c r="AF37" s="586"/>
      <c r="AG37" s="586"/>
      <c r="AH37" s="586"/>
      <c r="AI37" s="1040"/>
      <c r="AJ37" s="585"/>
    </row>
    <row r="38" ht="30" customHeight="1">
      <c r="A38" s="1039"/>
      <c r="B38" s="753"/>
      <c r="C38" t="s" s="754">
        <f>IF(LEFT(RIGHT($B$1,2),1)=" ",RIGHT($B$1,1),RIGHT($B$1,2))</f>
        <v>275</v>
      </c>
      <c r="D38" s="755">
        <f>IF(LEFT(F38,5)="Bonne",D36+1,D37)</f>
        <v>2</v>
      </c>
      <c r="E38" t="s" s="778">
        <f>C38&amp;D38&amp;RIGHT(F38,1)</f>
        <v>2556</v>
      </c>
      <c r="F38" t="s" s="790">
        <v>1776</v>
      </c>
      <c r="G38" t="s" s="791">
        <f>VLOOKUP(E38,'BDD'!$A$2:$N$567,MATCH(G$24,'BDD'!$A$1:$P$1,0),FALSE)</f>
        <v>1697</v>
      </c>
      <c r="H38" t="s" s="799">
        <f>IF(VLOOKUP($E38,'BDD'!$A$2:$N$567,MATCH($H$23,'BDD'!$A$1:$P$1,0),FALSE)=H$24,H$24,"")</f>
      </c>
      <c r="I38" t="s" s="792">
        <f>IF(VLOOKUP($E38,'BDD'!$A$2:$N$567,MATCH($H$23,'BDD'!$A$1:$P$1,0),FALSE)=I$24,I$24,"")</f>
      </c>
      <c r="J38" t="s" s="792">
        <f>IF(VLOOKUP($E38,'BDD'!$A$2:$N$567,MATCH($H$23,'BDD'!$A$1:$P$1,0),FALSE)=J$24,J$24,"")</f>
      </c>
      <c r="K38" t="s" s="792">
        <f>IF(VLOOKUP($E38,'BDD'!$A$2:$N$567,MATCH($H$23,'BDD'!$A$1:$P$1,0),FALSE)=K$24,K$24,"")</f>
      </c>
      <c r="L38" t="s" s="783">
        <f>IF(VLOOKUP($E38,'BDD'!$A$2:$N$567,MATCH($H$23,'BDD'!$A$1:$P$1,0),FALSE)=L$24,L$24,"")</f>
        <v>1985</v>
      </c>
      <c r="M38" s="794">
        <f>IF(N38="Exigences partiellement respectées",1,IF(N38="Exigences respectées",2,0))</f>
        <v>0</v>
      </c>
      <c r="N38" t="s" s="791">
        <f>VLOOKUP(VLOOKUP(E38,'BDD'!$A$2:$P$550,15,FALSE),'Suppl'!$D$64:$E$68,2,FALSE)</f>
        <v>1751</v>
      </c>
      <c r="O38" s="795"/>
      <c r="P38" s="796"/>
      <c r="Q38" s="796"/>
      <c r="R38" s="1155"/>
      <c r="S38" s="1151">
        <f>IF(N38='Suppl'!$E$65,0,IF(N38='Suppl'!$E$66,1/2/(_xlfn.COUNTIFS($D1:$D99,D38,$N1:$N99,"Exigences"&amp;"*",G1:G99,"&lt;&gt;0")+_xlfn.COUNTIFS($D1:$D99,D38,$N1:$N99,"Non"&amp;"*",G1:G99,"&lt;&gt;0")),IF(N38='Suppl'!$E$67,1/(_xlfn.COUNTIFS($D1:$D99,D38,$N1:$N99,"Exigences"&amp;"*",G1:G99,"&lt;&gt;0")+_xlfn.COUNTIFS($D1:$D99,D38,$N1:$N99,"Non"&amp;"*",G1:G99,"&lt;&gt;0")),0)))</f>
        <v>0</v>
      </c>
      <c r="T38" s="797"/>
      <c r="U38" s="797"/>
      <c r="V38" s="1156"/>
      <c r="W38" s="1175"/>
      <c r="X38" s="797">
        <f>_xlfn.IFERROR(IF(N38='Suppl'!$E$65,0,IF(N38='Suppl'!$E$66,1/2/(_xlfn.COUNTIFS($N1:$N99,"Exigences"&amp;"*")+_xlfn.COUNTIFS($N1:$N99,"Non"&amp;"*")),IF(N38='Suppl'!$E$67,1/(_xlfn.COUNTIFS($N1:$N99,"Exigences"&amp;"*")+_xlfn.COUNTIFS($N1:$N99,"Non"&amp;"*")),0))),0)</f>
      </c>
      <c r="Y38" s="586"/>
      <c r="Z38" s="586"/>
      <c r="AA38" s="586"/>
      <c r="AB38" s="586"/>
      <c r="AC38" s="586"/>
      <c r="AD38" s="586"/>
      <c r="AE38" s="586"/>
      <c r="AF38" s="586"/>
      <c r="AG38" s="586"/>
      <c r="AH38" s="586"/>
      <c r="AI38" s="1040"/>
      <c r="AJ38" s="585"/>
    </row>
    <row r="39" ht="30" customHeight="1">
      <c r="A39" s="1039"/>
      <c r="B39" s="753"/>
      <c r="C39" t="s" s="754">
        <f>IF(LEFT(RIGHT($B$1,2),1)=" ",RIGHT($B$1,1),RIGHT($B$1,2))</f>
        <v>275</v>
      </c>
      <c r="D39" s="755">
        <f>IF(LEFT(F39,5)="Bonne",D37+1,D38)</f>
        <v>2</v>
      </c>
      <c r="E39" t="s" s="778">
        <f>C39&amp;D39&amp;RIGHT(F39,1)</f>
        <v>2557</v>
      </c>
      <c r="F39" t="s" s="779">
        <v>1778</v>
      </c>
      <c r="G39" t="s" s="780">
        <f>VLOOKUP(E39,'BDD'!$A$2:$N$567,MATCH(G$24,'BDD'!$A$1:$P$1,0),FALSE)</f>
        <v>1700</v>
      </c>
      <c r="H39" t="s" s="799">
        <f>IF(VLOOKUP($E39,'BDD'!$A$2:$N$567,MATCH($H$23,'BDD'!$A$1:$P$1,0),FALSE)=H$24,H$24,"")</f>
      </c>
      <c r="I39" t="s" s="792">
        <f>IF(VLOOKUP($E39,'BDD'!$A$2:$N$567,MATCH($H$23,'BDD'!$A$1:$P$1,0),FALSE)=I$24,I$24,"")</f>
      </c>
      <c r="J39" t="s" s="792">
        <f>IF(VLOOKUP($E39,'BDD'!$A$2:$N$567,MATCH($H$23,'BDD'!$A$1:$P$1,0),FALSE)=J$24,J$24,"")</f>
      </c>
      <c r="K39" t="s" s="792">
        <f>IF(VLOOKUP($E39,'BDD'!$A$2:$N$567,MATCH($H$23,'BDD'!$A$1:$P$1,0),FALSE)=K$24,K$24,"")</f>
        <v>1968</v>
      </c>
      <c r="L39" t="s" s="783">
        <f>IF(VLOOKUP($E39,'BDD'!$A$2:$N$567,MATCH($H$23,'BDD'!$A$1:$P$1,0),FALSE)=L$24,L$24,"")</f>
      </c>
      <c r="M39" s="800">
        <f>IF(N39="Exigences partiellement respectées",1,IF(N39="Exigences respectées",2,0))</f>
        <v>0</v>
      </c>
      <c r="N39" t="s" s="780">
        <f>VLOOKUP(VLOOKUP(E39,'BDD'!$A$2:$P$550,15,FALSE),'Suppl'!$D$64:$E$68,2,FALSE)</f>
        <v>1751</v>
      </c>
      <c r="O39" s="801"/>
      <c r="P39" s="802"/>
      <c r="Q39" s="802"/>
      <c r="R39" s="1157"/>
      <c r="S39" s="1158">
        <f>IF(N39='Suppl'!$E$65,0,IF(N39='Suppl'!$E$66,1/2/(_xlfn.COUNTIFS($D1:$D99,D39,$N1:$N99,"Exigences"&amp;"*",G1:G99,"&lt;&gt;0")+_xlfn.COUNTIFS($D1:$D99,D39,$N1:$N99,"Non"&amp;"*",G1:G99,"&lt;&gt;0")),IF(N39='Suppl'!$E$67,1/(_xlfn.COUNTIFS($D1:$D99,D39,$N1:$N99,"Exigences"&amp;"*",G1:G99,"&lt;&gt;0")+_xlfn.COUNTIFS($D1:$D99,D39,$N1:$N99,"Non"&amp;"*",G1:G99,"&lt;&gt;0")),0)))</f>
        <v>0</v>
      </c>
      <c r="T39" s="803"/>
      <c r="U39" s="803"/>
      <c r="V39" s="1159"/>
      <c r="W39" s="1175"/>
      <c r="X39" s="797">
        <f>_xlfn.IFERROR(IF(N39='Suppl'!$E$65,0,IF(N39='Suppl'!$E$66,1/2/(_xlfn.COUNTIFS($N1:$N99,"Exigences"&amp;"*")+_xlfn.COUNTIFS($N1:$N99,"Non"&amp;"*")),IF(N39='Suppl'!$E$67,1/(_xlfn.COUNTIFS($N1:$N99,"Exigences"&amp;"*")+_xlfn.COUNTIFS($N1:$N99,"Non"&amp;"*")),0))),0)</f>
      </c>
      <c r="Y39" s="586"/>
      <c r="Z39" s="586"/>
      <c r="AA39" s="586"/>
      <c r="AB39" s="586"/>
      <c r="AC39" s="586"/>
      <c r="AD39" s="586"/>
      <c r="AE39" s="586"/>
      <c r="AF39" s="586"/>
      <c r="AG39" s="586"/>
      <c r="AH39" s="586"/>
      <c r="AI39" s="1040"/>
      <c r="AJ39" s="585"/>
    </row>
    <row r="40" ht="30" customHeight="1">
      <c r="A40" s="1039"/>
      <c r="B40" s="753"/>
      <c r="C40" t="s" s="754">
        <f>IF(LEFT(RIGHT($B$1,2),1)=" ",RIGHT($B$1,1),RIGHT($B$1,2))</f>
        <v>275</v>
      </c>
      <c r="D40" s="755">
        <f>IF(LEFT(F40,5)="Bonne",D38+1,D39)</f>
        <v>3</v>
      </c>
      <c r="E40" t="s" s="778">
        <f>C40&amp;D40&amp;RIGHT(F40,1)</f>
        <v>2560</v>
      </c>
      <c r="F40" t="s" s="757">
        <v>1797</v>
      </c>
      <c r="G40" t="s" s="758">
        <f>VLOOKUP(E42,'BDD'!$A$2:$N$567,6,FALSE)</f>
        <v>1704</v>
      </c>
      <c r="H40" s="759"/>
      <c r="I40" s="760"/>
      <c r="J40" s="760"/>
      <c r="K40" s="760"/>
      <c r="L40" s="761"/>
      <c r="M40" s="762"/>
      <c r="N40" s="763"/>
      <c r="O40" s="764">
        <v>0</v>
      </c>
      <c r="P40" s="764"/>
      <c r="Q40" s="764"/>
      <c r="R40" s="764"/>
      <c r="S40" s="765">
        <f>_xlfn.SUMIFS(S1:S99,$D1:$D99,D40,$N1:$N99,"Exigences"&amp;"*")</f>
      </c>
      <c r="T40" s="765"/>
      <c r="U40" s="765"/>
      <c r="V40" s="1149"/>
      <c r="W40" s="1174"/>
      <c r="X40" s="797">
        <f>_xlfn.IFERROR(IF(N40='Suppl'!$E$65,0,IF(N40='Suppl'!$E$66,1/2/(_xlfn.COUNTIFS($N1:$N99,"Exigences"&amp;"*")+_xlfn.COUNTIFS($N1:$N99,"Non"&amp;"*")),IF(N40='Suppl'!$E$67,1/(_xlfn.COUNTIFS($N1:$N99,"Exigences"&amp;"*")+_xlfn.COUNTIFS($N1:$N99,"Non"&amp;"*")),0))),0)</f>
      </c>
      <c r="Y40" s="586"/>
      <c r="Z40" s="586"/>
      <c r="AA40" s="586"/>
      <c r="AB40" s="586"/>
      <c r="AC40" s="586"/>
      <c r="AD40" s="586"/>
      <c r="AE40" s="586"/>
      <c r="AF40" s="586"/>
      <c r="AG40" s="586"/>
      <c r="AH40" s="586"/>
      <c r="AI40" s="1040"/>
      <c r="AJ40" s="585"/>
    </row>
    <row r="41" ht="30" customHeight="1">
      <c r="A41" s="1039"/>
      <c r="B41" s="753"/>
      <c r="C41" t="s" s="754">
        <f>IF(LEFT(RIGHT($B$1,2),1)=" ",RIGHT($B$1,1),RIGHT($B$1,2))</f>
        <v>275</v>
      </c>
      <c r="D41" s="755">
        <f>IF(LEFT(F41,5)="Bonne",D39+1,D40)</f>
        <v>3</v>
      </c>
      <c r="E41" t="s" s="778">
        <f>C41&amp;D41&amp;RIGHT(F41,1)</f>
        <v>2561</v>
      </c>
      <c r="F41" t="s" s="769">
        <v>1835</v>
      </c>
      <c r="G41" t="s" s="809">
        <f>VLOOKUP(E43,'BDD'!$A$2:$N$567,7,FALSE)</f>
        <v>2576</v>
      </c>
      <c r="H41" s="810"/>
      <c r="I41" s="810"/>
      <c r="J41" s="810"/>
      <c r="K41" s="810"/>
      <c r="L41" s="810"/>
      <c r="M41" s="810"/>
      <c r="N41" s="811"/>
      <c r="O41" s="775"/>
      <c r="P41" s="775"/>
      <c r="Q41" s="775"/>
      <c r="R41" s="775"/>
      <c r="S41" s="776"/>
      <c r="T41" s="776"/>
      <c r="U41" s="776"/>
      <c r="V41" s="1150"/>
      <c r="W41" s="1174"/>
      <c r="X41" s="797">
        <f>_xlfn.IFERROR(IF(N41='Suppl'!$E$65,0,IF(N41='Suppl'!$E$66,1/2/(_xlfn.COUNTIFS($N1:$N99,"Exigences"&amp;"*")+_xlfn.COUNTIFS($N1:$N99,"Non"&amp;"*")),IF(N41='Suppl'!$E$67,1/(_xlfn.COUNTIFS($N1:$N99,"Exigences"&amp;"*")+_xlfn.COUNTIFS($N1:$N99,"Non"&amp;"*")),0))),0)</f>
      </c>
      <c r="Y41" s="586"/>
      <c r="Z41" s="586"/>
      <c r="AA41" s="586"/>
      <c r="AB41" s="586"/>
      <c r="AC41" s="586"/>
      <c r="AD41" s="586"/>
      <c r="AE41" s="586"/>
      <c r="AF41" s="586"/>
      <c r="AG41" s="586"/>
      <c r="AH41" s="586"/>
      <c r="AI41" s="1040"/>
      <c r="AJ41" s="585"/>
    </row>
    <row r="42" ht="43.2" customHeight="1">
      <c r="A42" s="1039"/>
      <c r="B42" s="753"/>
      <c r="C42" t="s" s="754">
        <f>IF(LEFT(RIGHT($B$1,2),1)=" ",RIGHT($B$1,1),RIGHT($B$1,2))</f>
        <v>275</v>
      </c>
      <c r="D42" s="755">
        <f>IF(LEFT(F42,5)="Bonne",D40+1,D41)</f>
        <v>3</v>
      </c>
      <c r="E42" t="s" s="778">
        <f>C42&amp;D42&amp;RIGHT(F42,1)</f>
        <v>2561</v>
      </c>
      <c r="F42" t="s" s="779">
        <v>1769</v>
      </c>
      <c r="G42" t="s" s="780">
        <f>VLOOKUP(E42,'BDD'!$A$2:$N$567,MATCH(G$24,'BDD'!$A$1:$P$1,0),FALSE)</f>
        <v>1707</v>
      </c>
      <c r="H42" t="s" s="799">
        <f>IF(VLOOKUP($E42,'BDD'!$A$2:$N$567,MATCH($H$23,'BDD'!$A$1:$P$1,0),FALSE)=H$24,H$24,"")</f>
        <v>1966</v>
      </c>
      <c r="I42" t="s" s="792">
        <f>IF(VLOOKUP($E42,'BDD'!$A$2:$N$567,MATCH($H$23,'BDD'!$A$1:$P$1,0),FALSE)=I$24,I$24,"")</f>
      </c>
      <c r="J42" t="s" s="792">
        <f>IF(VLOOKUP($E42,'BDD'!$A$2:$N$567,MATCH($H$23,'BDD'!$A$1:$P$1,0),FALSE)=J$24,J$24,"")</f>
      </c>
      <c r="K42" t="s" s="792">
        <f>IF(VLOOKUP($E42,'BDD'!$A$2:$N$567,MATCH($H$23,'BDD'!$A$1:$P$1,0),FALSE)=K$24,K$24,"")</f>
      </c>
      <c r="L42" t="s" s="783">
        <f>IF(VLOOKUP($E42,'BDD'!$A$2:$N$567,MATCH($H$23,'BDD'!$A$1:$P$1,0),FALSE)=L$24,L$24,"")</f>
      </c>
      <c r="M42" s="784">
        <f>IF(N42="Exigences partiellement respectées",1,IF(N42="Exigences respectées",2,0))</f>
        <v>0</v>
      </c>
      <c r="N42" t="s" s="780">
        <f>VLOOKUP(VLOOKUP(E42,'BDD'!$A$2:$P$550,15,FALSE),'Suppl'!$D$64:$E$68,2,FALSE)</f>
        <v>1751</v>
      </c>
      <c r="O42" s="785"/>
      <c r="P42" s="786"/>
      <c r="Q42" s="786"/>
      <c r="R42" s="1152"/>
      <c r="S42" s="1153">
        <f>IF(N42='Suppl'!$E$65,0,IF(N42='Suppl'!$E$66,1/2/(_xlfn.COUNTIFS($D1:$D99,D42,$N1:$N99,"Exigences"&amp;"*",G1:G99,"&lt;&gt;0")+_xlfn.COUNTIFS($D1:$D99,D42,$N1:$N99,"Non"&amp;"*",G1:G99,"&lt;&gt;0")),IF(N42='Suppl'!$E$67,1/(_xlfn.COUNTIFS($D1:$D99,D42,$N1:$N99,"Exigences"&amp;"*",G1:G99,"&lt;&gt;0")+_xlfn.COUNTIFS($D1:$D99,D42,$N1:$N99,"Non"&amp;"*",G1:G99,"&lt;&gt;0")),0)))</f>
        <v>0</v>
      </c>
      <c r="T42" s="787"/>
      <c r="U42" s="787"/>
      <c r="V42" s="1154"/>
      <c r="W42" s="1175"/>
      <c r="X42" s="797">
        <f>_xlfn.IFERROR(IF(N42='Suppl'!$E$65,0,IF(N42='Suppl'!$E$66,1/2/(_xlfn.COUNTIFS($N1:$N99,"Exigences"&amp;"*")+_xlfn.COUNTIFS($N1:$N99,"Non"&amp;"*")),IF(N42='Suppl'!$E$67,1/(_xlfn.COUNTIFS($N1:$N99,"Exigences"&amp;"*")+_xlfn.COUNTIFS($N1:$N99,"Non"&amp;"*")),0))),0)</f>
      </c>
      <c r="Y42" s="586"/>
      <c r="Z42" s="586"/>
      <c r="AA42" s="586"/>
      <c r="AB42" s="586"/>
      <c r="AC42" s="586"/>
      <c r="AD42" s="586"/>
      <c r="AE42" s="586"/>
      <c r="AF42" s="586"/>
      <c r="AG42" s="586"/>
      <c r="AH42" s="586"/>
      <c r="AI42" s="1040"/>
      <c r="AJ42" s="585"/>
    </row>
    <row r="43" ht="30" customHeight="1">
      <c r="A43" s="1039"/>
      <c r="B43" s="753"/>
      <c r="C43" t="s" s="754">
        <f>IF(LEFT(RIGHT($B$1,2),1)=" ",RIGHT($B$1,1),RIGHT($B$1,2))</f>
        <v>275</v>
      </c>
      <c r="D43" s="755">
        <f>IF(LEFT(F43,5)="Bonne",D41+1,D42)</f>
        <v>3</v>
      </c>
      <c r="E43" t="s" s="778">
        <f>C43&amp;D43&amp;RIGHT(F43,1)</f>
        <v>2562</v>
      </c>
      <c r="F43" t="s" s="790">
        <v>1837</v>
      </c>
      <c r="G43" t="s" s="791">
        <f>VLOOKUP(E43,'BDD'!$A$2:$N$567,MATCH(G$24,'BDD'!$A$1:$P$1,0),FALSE)</f>
        <v>1710</v>
      </c>
      <c r="H43" t="s" s="799">
        <f>IF(VLOOKUP($E43,'BDD'!$A$2:$N$567,MATCH($H$23,'BDD'!$A$1:$P$1,0),FALSE)=H$24,H$24,"")</f>
        <v>1966</v>
      </c>
      <c r="I43" t="s" s="792">
        <f>IF(VLOOKUP($E43,'BDD'!$A$2:$N$567,MATCH($H$23,'BDD'!$A$1:$P$1,0),FALSE)=I$24,I$24,"")</f>
      </c>
      <c r="J43" t="s" s="792">
        <f>IF(VLOOKUP($E43,'BDD'!$A$2:$N$567,MATCH($H$23,'BDD'!$A$1:$P$1,0),FALSE)=J$24,J$24,"")</f>
      </c>
      <c r="K43" t="s" s="792">
        <f>IF(VLOOKUP($E43,'BDD'!$A$2:$N$567,MATCH($H$23,'BDD'!$A$1:$P$1,0),FALSE)=K$24,K$24,"")</f>
      </c>
      <c r="L43" t="s" s="783">
        <f>IF(VLOOKUP($E43,'BDD'!$A$2:$N$567,MATCH($H$23,'BDD'!$A$1:$P$1,0),FALSE)=L$24,L$24,"")</f>
      </c>
      <c r="M43" s="794">
        <f>IF(N43="Exigences partiellement respectées",1,IF(N43="Exigences respectées",2,0))</f>
        <v>0</v>
      </c>
      <c r="N43" t="s" s="791">
        <f>VLOOKUP(VLOOKUP(E43,'BDD'!$A$2:$P$550,15,FALSE),'Suppl'!$D$64:$E$68,2,FALSE)</f>
        <v>1751</v>
      </c>
      <c r="O43" s="795"/>
      <c r="P43" s="796"/>
      <c r="Q43" s="796"/>
      <c r="R43" s="1155"/>
      <c r="S43" s="1151">
        <f>IF(N43='Suppl'!$E$65,0,IF(N43='Suppl'!$E$66,1/2/(_xlfn.COUNTIFS($D1:$D99,D43,$N1:$N99,"Exigences"&amp;"*",G1:G99,"&lt;&gt;0")+_xlfn.COUNTIFS($D1:$D99,D43,$N1:$N99,"Non"&amp;"*",G1:G99,"&lt;&gt;0")),IF(N43='Suppl'!$E$67,1/(_xlfn.COUNTIFS($D1:$D99,D43,$N1:$N99,"Exigences"&amp;"*",G1:G99,"&lt;&gt;0")+_xlfn.COUNTIFS($D1:$D99,D43,$N1:$N99,"Non"&amp;"*",G1:G99,"&lt;&gt;0")),0)))</f>
        <v>0</v>
      </c>
      <c r="T43" s="797"/>
      <c r="U43" s="797"/>
      <c r="V43" s="1156"/>
      <c r="W43" s="1175"/>
      <c r="X43" s="797">
        <f>_xlfn.IFERROR(IF(N43='Suppl'!$E$65,0,IF(N43='Suppl'!$E$66,1/2/(_xlfn.COUNTIFS($N1:$N99,"Exigences"&amp;"*")+_xlfn.COUNTIFS($N1:$N99,"Non"&amp;"*")),IF(N43='Suppl'!$E$67,1/(_xlfn.COUNTIFS($N1:$N99,"Exigences"&amp;"*")+_xlfn.COUNTIFS($N1:$N99,"Non"&amp;"*")),0))),0)</f>
      </c>
      <c r="Y43" s="586"/>
      <c r="Z43" s="586"/>
      <c r="AA43" s="586"/>
      <c r="AB43" s="586"/>
      <c r="AC43" s="586"/>
      <c r="AD43" s="586"/>
      <c r="AE43" s="586"/>
      <c r="AF43" s="586"/>
      <c r="AG43" s="586"/>
      <c r="AH43" s="586"/>
      <c r="AI43" s="1040"/>
      <c r="AJ43" s="585"/>
    </row>
    <row r="44" ht="41.4" customHeight="1">
      <c r="A44" s="1039"/>
      <c r="B44" s="753"/>
      <c r="C44" t="s" s="754">
        <f>IF(LEFT(RIGHT($B$1,2),1)=" ",RIGHT($B$1,1),RIGHT($B$1,2))</f>
        <v>275</v>
      </c>
      <c r="D44" s="755">
        <f>IF(LEFT(F44,5)="Bonne",D42+1,D43)</f>
        <v>3</v>
      </c>
      <c r="E44" t="s" s="778">
        <f>C44&amp;D44&amp;RIGHT(F44,1)</f>
        <v>2560</v>
      </c>
      <c r="F44" t="s" s="779">
        <v>1774</v>
      </c>
      <c r="G44" t="s" s="780">
        <f>VLOOKUP(E44,'BDD'!$A$2:$N$567,MATCH(G$24,'BDD'!$A$1:$P$1,0),FALSE)</f>
        <v>1713</v>
      </c>
      <c r="H44" t="s" s="799">
        <f>IF(VLOOKUP($E44,'BDD'!$A$2:$N$567,MATCH($H$23,'BDD'!$A$1:$P$1,0),FALSE)=H$24,H$24,"")</f>
      </c>
      <c r="I44" t="s" s="792">
        <f>IF(VLOOKUP($E44,'BDD'!$A$2:$N$567,MATCH($H$23,'BDD'!$A$1:$P$1,0),FALSE)=I$24,I$24,"")</f>
      </c>
      <c r="J44" t="s" s="792">
        <f>IF(VLOOKUP($E44,'BDD'!$A$2:$N$567,MATCH($H$23,'BDD'!$A$1:$P$1,0),FALSE)=J$24,J$24,"")</f>
        <v>1967</v>
      </c>
      <c r="K44" t="s" s="792">
        <f>IF(VLOOKUP($E44,'BDD'!$A$2:$N$567,MATCH($H$23,'BDD'!$A$1:$P$1,0),FALSE)=K$24,K$24,"")</f>
      </c>
      <c r="L44" t="s" s="783">
        <f>IF(VLOOKUP($E44,'BDD'!$A$2:$N$567,MATCH($H$23,'BDD'!$A$1:$P$1,0),FALSE)=L$24,L$24,"")</f>
      </c>
      <c r="M44" s="794">
        <f>IF(N44="Exigences partiellement respectées",1,IF(N44="Exigences respectées",2,0))</f>
        <v>0</v>
      </c>
      <c r="N44" t="s" s="780">
        <f>VLOOKUP(VLOOKUP(E44,'BDD'!$A$2:$P$550,15,FALSE),'Suppl'!$D$64:$E$68,2,FALSE)</f>
        <v>1751</v>
      </c>
      <c r="O44" s="795"/>
      <c r="P44" s="796"/>
      <c r="Q44" s="796"/>
      <c r="R44" s="1155"/>
      <c r="S44" s="1151">
        <f>IF(N44='Suppl'!$E$65,0,IF(N44='Suppl'!$E$66,1/2/(_xlfn.COUNTIFS($D1:$D99,D44,$N1:$N99,"Exigences"&amp;"*",G1:G99,"&lt;&gt;0")+_xlfn.COUNTIFS($D1:$D99,D44,$N1:$N99,"Non"&amp;"*",G1:G99,"&lt;&gt;0")),IF(N44='Suppl'!$E$67,1/(_xlfn.COUNTIFS($D1:$D99,D44,$N1:$N99,"Exigences"&amp;"*",G1:G99,"&lt;&gt;0")+_xlfn.COUNTIFS($D1:$D99,D44,$N1:$N99,"Non"&amp;"*",G1:G99,"&lt;&gt;0")),0)))</f>
        <v>0</v>
      </c>
      <c r="T44" s="797"/>
      <c r="U44" s="797"/>
      <c r="V44" s="1156"/>
      <c r="W44" s="1175"/>
      <c r="X44" s="797">
        <f>_xlfn.IFERROR(IF(N44='Suppl'!$E$65,0,IF(N44='Suppl'!$E$66,1/2/(_xlfn.COUNTIFS($N1:$N99,"Exigences"&amp;"*")+_xlfn.COUNTIFS($N1:$N99,"Non"&amp;"*")),IF(N44='Suppl'!$E$67,1/(_xlfn.COUNTIFS($N1:$N99,"Exigences"&amp;"*")+_xlfn.COUNTIFS($N1:$N99,"Non"&amp;"*")),0))),0)</f>
      </c>
      <c r="Y44" s="586"/>
      <c r="Z44" s="586"/>
      <c r="AA44" s="586"/>
      <c r="AB44" s="586"/>
      <c r="AC44" s="586"/>
      <c r="AD44" s="586"/>
      <c r="AE44" s="586"/>
      <c r="AF44" s="586"/>
      <c r="AG44" s="586"/>
      <c r="AH44" s="586"/>
      <c r="AI44" s="1040"/>
      <c r="AJ44" s="585"/>
    </row>
    <row r="45" ht="30" customHeight="1">
      <c r="A45" s="1039"/>
      <c r="B45" s="753"/>
      <c r="C45" t="s" s="754">
        <f>IF(LEFT(RIGHT($B$1,2),1)=" ",RIGHT($B$1,1),RIGHT($B$1,2))</f>
        <v>275</v>
      </c>
      <c r="D45" s="755">
        <f>IF(LEFT(F45,5)="Bonne",D43+1,D44)</f>
        <v>3</v>
      </c>
      <c r="E45" t="s" s="778">
        <f>C45&amp;D45&amp;RIGHT(F45,1)</f>
        <v>2563</v>
      </c>
      <c r="F45" t="s" s="790">
        <v>1776</v>
      </c>
      <c r="G45" t="s" s="791">
        <f>VLOOKUP(E45,'BDD'!$A$2:$N$567,MATCH(G$24,'BDD'!$A$1:$P$1,0),FALSE)</f>
        <v>1716</v>
      </c>
      <c r="H45" t="s" s="799">
        <f>IF(VLOOKUP($E45,'BDD'!$A$2:$N$567,MATCH($H$23,'BDD'!$A$1:$P$1,0),FALSE)=H$24,H$24,"")</f>
      </c>
      <c r="I45" t="s" s="792">
        <f>IF(VLOOKUP($E45,'BDD'!$A$2:$N$567,MATCH($H$23,'BDD'!$A$1:$P$1,0),FALSE)=I$24,I$24,"")</f>
      </c>
      <c r="J45" t="s" s="792">
        <f>IF(VLOOKUP($E45,'BDD'!$A$2:$N$567,MATCH($H$23,'BDD'!$A$1:$P$1,0),FALSE)=J$24,J$24,"")</f>
      </c>
      <c r="K45" t="s" s="792">
        <f>IF(VLOOKUP($E45,'BDD'!$A$2:$N$567,MATCH($H$23,'BDD'!$A$1:$P$1,0),FALSE)=K$24,K$24,"")</f>
        <v>1968</v>
      </c>
      <c r="L45" t="s" s="783">
        <f>IF(VLOOKUP($E45,'BDD'!$A$2:$N$567,MATCH($H$23,'BDD'!$A$1:$P$1,0),FALSE)=L$24,L$24,"")</f>
      </c>
      <c r="M45" s="794">
        <f>IF(N45="Exigences partiellement respectées",1,IF(N45="Exigences respectées",2,0))</f>
        <v>0</v>
      </c>
      <c r="N45" t="s" s="791">
        <f>VLOOKUP(VLOOKUP(E45,'BDD'!$A$2:$P$550,15,FALSE),'Suppl'!$D$64:$E$68,2,FALSE)</f>
        <v>1751</v>
      </c>
      <c r="O45" s="795"/>
      <c r="P45" s="796"/>
      <c r="Q45" s="796"/>
      <c r="R45" s="1155"/>
      <c r="S45" s="1151">
        <f>IF(N45='Suppl'!$E$65,0,IF(N45='Suppl'!$E$66,1/2/(_xlfn.COUNTIFS($D1:$D99,D45,$N1:$N99,"Exigences"&amp;"*",G1:G99,"&lt;&gt;0")+_xlfn.COUNTIFS($D1:$D99,D45,$N1:$N99,"Non"&amp;"*",G1:G99,"&lt;&gt;0")),IF(N45='Suppl'!$E$67,1/(_xlfn.COUNTIFS($D1:$D99,D45,$N1:$N99,"Exigences"&amp;"*",G1:G99,"&lt;&gt;0")+_xlfn.COUNTIFS($D1:$D99,D45,$N1:$N99,"Non"&amp;"*",G1:G99,"&lt;&gt;0")),0)))</f>
        <v>0</v>
      </c>
      <c r="T45" s="797"/>
      <c r="U45" s="797"/>
      <c r="V45" s="1156"/>
      <c r="W45" s="1175"/>
      <c r="X45" s="797">
        <f>_xlfn.IFERROR(IF(N45='Suppl'!$E$65,0,IF(N45='Suppl'!$E$66,1/2/(_xlfn.COUNTIFS($N1:$N99,"Exigences"&amp;"*")+_xlfn.COUNTIFS($N1:$N99,"Non"&amp;"*")),IF(N45='Suppl'!$E$67,1/(_xlfn.COUNTIFS($N1:$N99,"Exigences"&amp;"*")+_xlfn.COUNTIFS($N1:$N99,"Non"&amp;"*")),0))),0)</f>
      </c>
      <c r="Y45" s="586"/>
      <c r="Z45" s="586"/>
      <c r="AA45" s="586"/>
      <c r="AB45" s="586"/>
      <c r="AC45" s="586"/>
      <c r="AD45" s="586"/>
      <c r="AE45" s="586"/>
      <c r="AF45" s="586"/>
      <c r="AG45" s="586"/>
      <c r="AH45" s="586"/>
      <c r="AI45" s="1040"/>
      <c r="AJ45" s="585"/>
    </row>
    <row r="46" ht="30" customHeight="1">
      <c r="A46" s="1039"/>
      <c r="B46" s="753"/>
      <c r="C46" t="s" s="754">
        <f>IF(LEFT(RIGHT($B$1,2),1)=" ",RIGHT($B$1,1),RIGHT($B$1,2))</f>
        <v>275</v>
      </c>
      <c r="D46" s="755">
        <f>IF(LEFT(F46,5)="Bonne",D44+1,D45)</f>
        <v>3</v>
      </c>
      <c r="E46" t="s" s="778">
        <f>C46&amp;D46&amp;RIGHT(F46,1)</f>
        <v>2564</v>
      </c>
      <c r="F46" t="s" s="779">
        <v>1778</v>
      </c>
      <c r="G46" t="s" s="780">
        <f>VLOOKUP(E46,'BDD'!$A$2:$N$567,MATCH(G$24,'BDD'!$A$1:$P$1,0),FALSE)</f>
        <v>1719</v>
      </c>
      <c r="H46" t="s" s="799">
        <f>IF(VLOOKUP($E46,'BDD'!$A$2:$N$567,MATCH($H$23,'BDD'!$A$1:$P$1,0),FALSE)=H$24,H$24,"")</f>
      </c>
      <c r="I46" t="s" s="792">
        <f>IF(VLOOKUP($E46,'BDD'!$A$2:$N$567,MATCH($H$23,'BDD'!$A$1:$P$1,0),FALSE)=I$24,I$24,"")</f>
        <v>1969</v>
      </c>
      <c r="J46" t="s" s="792">
        <f>IF(VLOOKUP($E46,'BDD'!$A$2:$N$567,MATCH($H$23,'BDD'!$A$1:$P$1,0),FALSE)=J$24,J$24,"")</f>
      </c>
      <c r="K46" t="s" s="792">
        <f>IF(VLOOKUP($E46,'BDD'!$A$2:$N$567,MATCH($H$23,'BDD'!$A$1:$P$1,0),FALSE)=K$24,K$24,"")</f>
      </c>
      <c r="L46" t="s" s="783">
        <f>IF(VLOOKUP($E46,'BDD'!$A$2:$N$567,MATCH($H$23,'BDD'!$A$1:$P$1,0),FALSE)=L$24,L$24,"")</f>
      </c>
      <c r="M46" s="794">
        <f>IF(N46="Exigences partiellement respectées",1,IF(N46="Exigences respectées",2,0))</f>
        <v>0</v>
      </c>
      <c r="N46" t="s" s="780">
        <f>VLOOKUP(VLOOKUP(E46,'BDD'!$A$2:$P$550,15,FALSE),'Suppl'!$D$64:$E$68,2,FALSE)</f>
        <v>1751</v>
      </c>
      <c r="O46" s="795"/>
      <c r="P46" s="796"/>
      <c r="Q46" s="796"/>
      <c r="R46" s="1155"/>
      <c r="S46" s="1151">
        <f>IF(N46='Suppl'!$E$65,0,IF(N46='Suppl'!$E$66,1/2/(_xlfn.COUNTIFS($D1:$D99,D46,$N1:$N99,"Exigences"&amp;"*",G1:G99,"&lt;&gt;0")+_xlfn.COUNTIFS($D1:$D99,D46,$N1:$N99,"Non"&amp;"*",G1:G99,"&lt;&gt;0")),IF(N46='Suppl'!$E$67,1/(_xlfn.COUNTIFS($D1:$D99,D46,$N1:$N99,"Exigences"&amp;"*",G1:G99,"&lt;&gt;0")+_xlfn.COUNTIFS($D1:$D99,D46,$N1:$N99,"Non"&amp;"*",G1:G99,"&lt;&gt;0")),0)))</f>
        <v>0</v>
      </c>
      <c r="T46" s="797"/>
      <c r="U46" s="797"/>
      <c r="V46" s="1156"/>
      <c r="W46" s="1175"/>
      <c r="X46" s="797">
        <f>_xlfn.IFERROR(IF(N46='Suppl'!$E$65,0,IF(N46='Suppl'!$E$66,1/2/(_xlfn.COUNTIFS($N1:$N99,"Exigences"&amp;"*")+_xlfn.COUNTIFS($N1:$N99,"Non"&amp;"*")),IF(N46='Suppl'!$E$67,1/(_xlfn.COUNTIFS($N1:$N99,"Exigences"&amp;"*")+_xlfn.COUNTIFS($N1:$N99,"Non"&amp;"*")),0))),0)</f>
      </c>
      <c r="Y46" s="586"/>
      <c r="Z46" s="586"/>
      <c r="AA46" s="586"/>
      <c r="AB46" s="586"/>
      <c r="AC46" s="586"/>
      <c r="AD46" s="586"/>
      <c r="AE46" s="586"/>
      <c r="AF46" s="586"/>
      <c r="AG46" s="586"/>
      <c r="AH46" s="586"/>
      <c r="AI46" s="1040"/>
      <c r="AJ46" s="585"/>
    </row>
    <row r="47" ht="30.6" customHeight="1">
      <c r="A47" s="1039"/>
      <c r="B47" s="753"/>
      <c r="C47" t="s" s="754">
        <f>IF(LEFT(RIGHT($B$1,2),1)=" ",RIGHT($B$1,1),RIGHT($B$1,2))</f>
        <v>275</v>
      </c>
      <c r="D47" s="755">
        <f>IF(LEFT(F47,5)="Bonne",D45+1,D46)</f>
        <v>3</v>
      </c>
      <c r="E47" t="s" s="778">
        <f>C47&amp;D47&amp;RIGHT(F47,1)</f>
        <v>2565</v>
      </c>
      <c r="F47" t="s" s="790">
        <v>1780</v>
      </c>
      <c r="G47" t="s" s="791">
        <f>VLOOKUP(E47,'BDD'!$A$2:$N$567,MATCH(G$24,'BDD'!$A$1:$P$1,0),FALSE)</f>
        <v>1722</v>
      </c>
      <c r="H47" t="s" s="799">
        <f>IF(VLOOKUP($E47,'BDD'!$A$2:$N$567,MATCH($H$23,'BDD'!$A$1:$P$1,0),FALSE)=H$24,H$24,"")</f>
      </c>
      <c r="I47" t="s" s="792">
        <f>IF(VLOOKUP($E47,'BDD'!$A$2:$N$567,MATCH($H$23,'BDD'!$A$1:$P$1,0),FALSE)=I$24,I$24,"")</f>
      </c>
      <c r="J47" t="s" s="792">
        <f>IF(VLOOKUP($E47,'BDD'!$A$2:$N$567,MATCH($H$23,'BDD'!$A$1:$P$1,0),FALSE)=J$24,J$24,"")</f>
      </c>
      <c r="K47" t="s" s="792">
        <f>IF(VLOOKUP($E47,'BDD'!$A$2:$N$567,MATCH($H$23,'BDD'!$A$1:$P$1,0),FALSE)=K$24,K$24,"")</f>
        <v>1968</v>
      </c>
      <c r="L47" t="s" s="783">
        <f>IF(VLOOKUP($E47,'BDD'!$A$2:$N$567,MATCH($H$23,'BDD'!$A$1:$P$1,0),FALSE)=L$24,L$24,"")</f>
      </c>
      <c r="M47" s="794">
        <f>IF(N47="Exigences partiellement respectées",1,IF(N47="Exigences respectées",2,0))</f>
        <v>0</v>
      </c>
      <c r="N47" t="s" s="791">
        <f>VLOOKUP(VLOOKUP(E47,'BDD'!$A$2:$P$550,15,FALSE),'Suppl'!$D$64:$E$68,2,FALSE)</f>
        <v>1751</v>
      </c>
      <c r="O47" s="795"/>
      <c r="P47" s="796"/>
      <c r="Q47" s="796"/>
      <c r="R47" s="1155"/>
      <c r="S47" s="1151">
        <f>IF(N47='Suppl'!$E$65,0,IF(N47='Suppl'!$E$66,1/2/(_xlfn.COUNTIFS($D1:$D99,D47,$N1:$N99,"Exigences"&amp;"*",G1:G99,"&lt;&gt;0")+_xlfn.COUNTIFS($D1:$D99,D47,$N1:$N99,"Non"&amp;"*",G1:G99,"&lt;&gt;0")),IF(N47='Suppl'!$E$67,1/(_xlfn.COUNTIFS($D1:$D99,D47,$N1:$N99,"Exigences"&amp;"*",G1:G99,"&lt;&gt;0")+_xlfn.COUNTIFS($D1:$D99,D47,$N1:$N99,"Non"&amp;"*",G1:G99,"&lt;&gt;0")),0)))</f>
        <v>0</v>
      </c>
      <c r="T47" s="797"/>
      <c r="U47" s="797"/>
      <c r="V47" s="1156"/>
      <c r="W47" s="1175"/>
      <c r="X47" s="797">
        <f>_xlfn.IFERROR(IF(N47='Suppl'!$E$65,0,IF(N47='Suppl'!$E$66,1/2/(_xlfn.COUNTIFS($N1:$N99,"Exigences"&amp;"*")+_xlfn.COUNTIFS($N1:$N99,"Non"&amp;"*")),IF(N47='Suppl'!$E$67,1/(_xlfn.COUNTIFS($N1:$N99,"Exigences"&amp;"*")+_xlfn.COUNTIFS($N1:$N99,"Non"&amp;"*")),0))),0)</f>
      </c>
      <c r="Y47" s="586"/>
      <c r="Z47" s="586"/>
      <c r="AA47" s="586"/>
      <c r="AB47" s="586"/>
      <c r="AC47" s="586"/>
      <c r="AD47" s="586"/>
      <c r="AE47" s="586"/>
      <c r="AF47" s="586"/>
      <c r="AG47" s="586"/>
      <c r="AH47" s="586"/>
      <c r="AI47" s="1040"/>
      <c r="AJ47" s="585"/>
    </row>
    <row r="48" ht="30" customHeight="1">
      <c r="A48" s="1039"/>
      <c r="B48" s="753"/>
      <c r="C48" t="s" s="754">
        <f>IF(LEFT(RIGHT($B$1,2),1)=" ",RIGHT($B$1,1),RIGHT($B$1,2))</f>
        <v>275</v>
      </c>
      <c r="D48" s="755">
        <f>IF(LEFT(F48,5)="Bonne",D46+1,D47)</f>
        <v>3</v>
      </c>
      <c r="E48" t="s" s="778">
        <f>C48&amp;D48&amp;RIGHT(F48,1)</f>
        <v>2566</v>
      </c>
      <c r="F48" t="s" s="779">
        <v>1782</v>
      </c>
      <c r="G48" t="s" s="780">
        <f>VLOOKUP(E48,'BDD'!$A$2:$N$567,MATCH(G$24,'BDD'!$A$1:$P$1,0),FALSE)</f>
        <v>1725</v>
      </c>
      <c r="H48" t="s" s="799">
        <f>IF(VLOOKUP($E48,'BDD'!$A$2:$N$567,MATCH($H$23,'BDD'!$A$1:$P$1,0),FALSE)=H$24,H$24,"")</f>
      </c>
      <c r="I48" t="s" s="792">
        <f>IF(VLOOKUP($E48,'BDD'!$A$2:$N$567,MATCH($H$23,'BDD'!$A$1:$P$1,0),FALSE)=I$24,I$24,"")</f>
        <v>1969</v>
      </c>
      <c r="J48" t="s" s="792">
        <f>IF(VLOOKUP($E48,'BDD'!$A$2:$N$567,MATCH($H$23,'BDD'!$A$1:$P$1,0),FALSE)=J$24,J$24,"")</f>
      </c>
      <c r="K48" t="s" s="792">
        <f>IF(VLOOKUP($E48,'BDD'!$A$2:$N$567,MATCH($H$23,'BDD'!$A$1:$P$1,0),FALSE)=K$24,K$24,"")</f>
      </c>
      <c r="L48" t="s" s="783">
        <f>IF(VLOOKUP($E48,'BDD'!$A$2:$N$567,MATCH($H$23,'BDD'!$A$1:$P$1,0),FALSE)=L$24,L$24,"")</f>
      </c>
      <c r="M48" s="794">
        <f>IF(N48="Exigences partiellement respectées",1,IF(N48="Exigences respectées",2,0))</f>
        <v>0</v>
      </c>
      <c r="N48" t="s" s="780">
        <f>VLOOKUP(VLOOKUP(E48,'BDD'!$A$2:$P$550,15,FALSE),'Suppl'!$D$64:$E$68,2,FALSE)</f>
        <v>1751</v>
      </c>
      <c r="O48" s="795"/>
      <c r="P48" s="796"/>
      <c r="Q48" s="796"/>
      <c r="R48" s="1155"/>
      <c r="S48" s="1151">
        <f>IF(N48='Suppl'!$E$65,0,IF(N48='Suppl'!$E$66,1/2/(_xlfn.COUNTIFS($D1:$D99,D48,$N1:$N99,"Exigences"&amp;"*",G1:G99,"&lt;&gt;0")+_xlfn.COUNTIFS($D1:$D99,D48,$N1:$N99,"Non"&amp;"*",G1:G99,"&lt;&gt;0")),IF(N48='Suppl'!$E$67,1/(_xlfn.COUNTIFS($D1:$D99,D48,$N1:$N99,"Exigences"&amp;"*",G1:G99,"&lt;&gt;0")+_xlfn.COUNTIFS($D1:$D99,D48,$N1:$N99,"Non"&amp;"*",G1:G99,"&lt;&gt;0")),0)))</f>
        <v>0</v>
      </c>
      <c r="T48" s="797"/>
      <c r="U48" s="797"/>
      <c r="V48" s="1156"/>
      <c r="W48" s="1175"/>
      <c r="X48" s="797">
        <f>_xlfn.IFERROR(IF(N48='Suppl'!$E$65,0,IF(N48='Suppl'!$E$66,1/2/(_xlfn.COUNTIFS($N1:$N99,"Exigences"&amp;"*")+_xlfn.COUNTIFS($N1:$N99,"Non"&amp;"*")),IF(N48='Suppl'!$E$67,1/(_xlfn.COUNTIFS($N1:$N99,"Exigences"&amp;"*")+_xlfn.COUNTIFS($N1:$N99,"Non"&amp;"*")),0))),0)</f>
      </c>
      <c r="Y48" s="586"/>
      <c r="Z48" s="586"/>
      <c r="AA48" s="586"/>
      <c r="AB48" s="586"/>
      <c r="AC48" s="586"/>
      <c r="AD48" s="586"/>
      <c r="AE48" s="586"/>
      <c r="AF48" s="586"/>
      <c r="AG48" s="586"/>
      <c r="AH48" s="586"/>
      <c r="AI48" s="1040"/>
      <c r="AJ48" s="585"/>
    </row>
    <row r="49" ht="30" customHeight="1">
      <c r="A49" s="1039"/>
      <c r="B49" s="753"/>
      <c r="C49" t="s" s="754">
        <f>IF(LEFT(RIGHT($B$1,2),1)=" ",RIGHT($B$1,1),RIGHT($B$1,2))</f>
        <v>275</v>
      </c>
      <c r="D49" s="755">
        <f>IF(LEFT(F49,5)="Bonne",D47+1,D48)</f>
        <v>3</v>
      </c>
      <c r="E49" t="s" s="778">
        <f>C49&amp;D49&amp;RIGHT(F49,1)</f>
        <v>2567</v>
      </c>
      <c r="F49" t="s" s="790">
        <v>2492</v>
      </c>
      <c r="G49" t="s" s="791">
        <f>VLOOKUP(E49,'BDD'!$A$2:$N$567,MATCH(G$24,'BDD'!$A$1:$P$1,0),FALSE)</f>
        <v>1727</v>
      </c>
      <c r="H49" t="s" s="799">
        <f>IF(VLOOKUP($E49,'BDD'!$A$2:$N$567,MATCH($H$23,'BDD'!$A$1:$P$1,0),FALSE)=H$24,H$24,"")</f>
      </c>
      <c r="I49" t="s" s="792">
        <f>IF(VLOOKUP($E49,'BDD'!$A$2:$N$567,MATCH($H$23,'BDD'!$A$1:$P$1,0),FALSE)=I$24,I$24,"")</f>
      </c>
      <c r="J49" t="s" s="792">
        <f>IF(VLOOKUP($E49,'BDD'!$A$2:$N$567,MATCH($H$23,'BDD'!$A$1:$P$1,0),FALSE)=J$24,J$24,"")</f>
      </c>
      <c r="K49" t="s" s="792">
        <f>IF(VLOOKUP($E49,'BDD'!$A$2:$N$567,MATCH($H$23,'BDD'!$A$1:$P$1,0),FALSE)=K$24,K$24,"")</f>
        <v>1968</v>
      </c>
      <c r="L49" t="s" s="783">
        <f>IF(VLOOKUP($E49,'BDD'!$A$2:$N$567,MATCH($H$23,'BDD'!$A$1:$P$1,0),FALSE)=L$24,L$24,"")</f>
      </c>
      <c r="M49" s="800">
        <f>IF(N49="Exigences partiellement respectées",1,IF(N49="Exigences respectées",2,0))</f>
        <v>0</v>
      </c>
      <c r="N49" t="s" s="791">
        <f>VLOOKUP(VLOOKUP(E49,'BDD'!$A$2:$P$550,15,FALSE),'Suppl'!$D$64:$E$68,2,FALSE)</f>
        <v>1751</v>
      </c>
      <c r="O49" s="801"/>
      <c r="P49" s="802"/>
      <c r="Q49" s="802"/>
      <c r="R49" s="1157"/>
      <c r="S49" s="1158">
        <f>IF(N49='Suppl'!$E$65,0,IF(N49='Suppl'!$E$66,1/2/(_xlfn.COUNTIFS($D1:$D99,D49,$N1:$N99,"Exigences"&amp;"*",G1:G99,"&lt;&gt;0")+_xlfn.COUNTIFS($D1:$D99,D49,$N1:$N99,"Non"&amp;"*",G1:G99,"&lt;&gt;0")),IF(N49='Suppl'!$E$67,1/(_xlfn.COUNTIFS($D1:$D99,D49,$N1:$N99,"Exigences"&amp;"*",G1:G99,"&lt;&gt;0")+_xlfn.COUNTIFS($D1:$D99,D49,$N1:$N99,"Non"&amp;"*",G1:G99,"&lt;&gt;0")),0)))</f>
        <v>0</v>
      </c>
      <c r="T49" s="803"/>
      <c r="U49" s="803"/>
      <c r="V49" s="1159"/>
      <c r="W49" s="1175"/>
      <c r="X49" s="797">
        <f>_xlfn.IFERROR(IF(N49='Suppl'!$E$65,0,IF(N49='Suppl'!$E$66,1/2/(_xlfn.COUNTIFS($N1:$N99,"Exigences"&amp;"*")+_xlfn.COUNTIFS($N1:$N99,"Non"&amp;"*")),IF(N49='Suppl'!$E$67,1/(_xlfn.COUNTIFS($N1:$N99,"Exigences"&amp;"*")+_xlfn.COUNTIFS($N1:$N99,"Non"&amp;"*")),0))),0)</f>
      </c>
      <c r="Y49" s="586"/>
      <c r="Z49" s="586"/>
      <c r="AA49" s="586"/>
      <c r="AB49" s="586"/>
      <c r="AC49" s="586"/>
      <c r="AD49" s="586"/>
      <c r="AE49" s="586"/>
      <c r="AF49" s="586"/>
      <c r="AG49" s="586"/>
      <c r="AH49" s="586"/>
      <c r="AI49" s="1040"/>
      <c r="AJ49" s="585"/>
    </row>
    <row r="50" ht="30" customHeight="1">
      <c r="A50" s="1039"/>
      <c r="B50" s="753"/>
      <c r="C50" t="s" s="754">
        <f>IF(LEFT(RIGHT($B$1,2),1)=" ",RIGHT($B$1,1),RIGHT($B$1,2))</f>
        <v>275</v>
      </c>
      <c r="D50" s="755">
        <f>IF(LEFT(F50,5)="Bonne",D48+1,D49)</f>
        <v>4</v>
      </c>
      <c r="E50" t="s" s="778">
        <f>C50&amp;D50&amp;RIGHT(F50,1)</f>
        <v>2568</v>
      </c>
      <c r="F50" t="s" s="757">
        <v>1806</v>
      </c>
      <c r="G50" t="s" s="758">
        <f>VLOOKUP(E52,'BDD'!$A$2:$N$567,6,FALSE)</f>
        <v>1728</v>
      </c>
      <c r="H50" s="759"/>
      <c r="I50" s="760"/>
      <c r="J50" s="760"/>
      <c r="K50" s="760"/>
      <c r="L50" s="761"/>
      <c r="M50" s="762"/>
      <c r="N50" s="763"/>
      <c r="O50" s="764">
        <v>0</v>
      </c>
      <c r="P50" s="764"/>
      <c r="Q50" s="764"/>
      <c r="R50" s="764"/>
      <c r="S50" s="765">
        <f>_xlfn.SUMIFS(S1:S99,$D1:$D99,D50,$N1:$N99,"Exigences"&amp;"*")</f>
      </c>
      <c r="T50" s="765"/>
      <c r="U50" s="765"/>
      <c r="V50" s="1149"/>
      <c r="W50" s="1174"/>
      <c r="X50" s="797">
        <f>_xlfn.IFERROR(IF(N50='Suppl'!$E$65,0,IF(N50='Suppl'!$E$66,1/2/(_xlfn.COUNTIFS($N1:$N99,"Exigences"&amp;"*")+_xlfn.COUNTIFS($N1:$N99,"Non"&amp;"*")),IF(N50='Suppl'!$E$67,1/(_xlfn.COUNTIFS($N1:$N99,"Exigences"&amp;"*")+_xlfn.COUNTIFS($N1:$N99,"Non"&amp;"*")),0))),0)</f>
      </c>
      <c r="Y50" s="586"/>
      <c r="Z50" s="586"/>
      <c r="AA50" s="586"/>
      <c r="AB50" s="586"/>
      <c r="AC50" s="586"/>
      <c r="AD50" s="586"/>
      <c r="AE50" s="586"/>
      <c r="AF50" s="586"/>
      <c r="AG50" s="586"/>
      <c r="AH50" s="586"/>
      <c r="AI50" s="1040"/>
      <c r="AJ50" s="585"/>
    </row>
    <row r="51" ht="30" customHeight="1">
      <c r="A51" s="1039"/>
      <c r="B51" s="753"/>
      <c r="C51" t="s" s="754">
        <f>IF(LEFT(RIGHT($B$1,2),1)=" ",RIGHT($B$1,1),RIGHT($B$1,2))</f>
        <v>275</v>
      </c>
      <c r="D51" s="755">
        <f>IF(LEFT(F51,5)="Bonne",D49+1,D50)</f>
        <v>4</v>
      </c>
      <c r="E51" t="s" s="778">
        <f>C51&amp;D51&amp;RIGHT(F51,1)</f>
        <v>2577</v>
      </c>
      <c r="F51" t="s" s="769">
        <v>1835</v>
      </c>
      <c r="G51" t="s" s="809">
        <f>VLOOKUP(E53,'BDD'!$A$2:$N$567,7,FALSE)</f>
        <v>2578</v>
      </c>
      <c r="H51" s="810"/>
      <c r="I51" s="810"/>
      <c r="J51" s="810"/>
      <c r="K51" s="810"/>
      <c r="L51" s="810"/>
      <c r="M51" s="810"/>
      <c r="N51" s="811"/>
      <c r="O51" s="775"/>
      <c r="P51" s="775"/>
      <c r="Q51" s="775"/>
      <c r="R51" s="775"/>
      <c r="S51" s="776"/>
      <c r="T51" s="776"/>
      <c r="U51" s="776"/>
      <c r="V51" s="1150"/>
      <c r="W51" s="1174"/>
      <c r="X51" s="797">
        <f>_xlfn.IFERROR(IF(N51='Suppl'!$E$65,0,IF(N51='Suppl'!$E$66,1/2/(_xlfn.COUNTIFS($N1:$N99,"Exigences"&amp;"*")+_xlfn.COUNTIFS($N1:$N99,"Non"&amp;"*")),IF(N51='Suppl'!$E$67,1/(_xlfn.COUNTIFS($N1:$N99,"Exigences"&amp;"*")+_xlfn.COUNTIFS($N1:$N99,"Non"&amp;"*")),0))),0)</f>
      </c>
      <c r="Y51" s="586"/>
      <c r="Z51" s="586"/>
      <c r="AA51" s="586"/>
      <c r="AB51" s="586"/>
      <c r="AC51" s="586"/>
      <c r="AD51" s="586"/>
      <c r="AE51" s="586"/>
      <c r="AF51" s="586"/>
      <c r="AG51" s="586"/>
      <c r="AH51" s="586"/>
      <c r="AI51" s="1040"/>
      <c r="AJ51" s="585"/>
    </row>
    <row r="52" ht="43.2" customHeight="1">
      <c r="A52" s="1039"/>
      <c r="B52" s="753"/>
      <c r="C52" t="s" s="754">
        <f>IF(LEFT(RIGHT($B$1,2),1)=" ",RIGHT($B$1,1),RIGHT($B$1,2))</f>
        <v>275</v>
      </c>
      <c r="D52" s="755">
        <f>IF(LEFT(F52,5)="Bonne",D50+1,D51)</f>
        <v>4</v>
      </c>
      <c r="E52" t="s" s="778">
        <f>C52&amp;D52&amp;RIGHT(F52,1)</f>
        <v>2577</v>
      </c>
      <c r="F52" t="s" s="779">
        <v>1769</v>
      </c>
      <c r="G52" t="s" s="780">
        <f>VLOOKUP(E52,'BDD'!$A$2:$N$567,MATCH(G$24,'BDD'!$A$1:$P$1,0),FALSE)</f>
        <v>1730</v>
      </c>
      <c r="H52" t="s" s="799">
        <f>IF(VLOOKUP($E52,'BDD'!$A$2:$N$567,MATCH($H$23,'BDD'!$A$1:$P$1,0),FALSE)=H$24,H$24,"")</f>
        <v>1966</v>
      </c>
      <c r="I52" t="s" s="792">
        <f>IF(VLOOKUP($E52,'BDD'!$A$2:$N$567,MATCH($H$23,'BDD'!$A$1:$P$1,0),FALSE)=I$24,I$24,"")</f>
      </c>
      <c r="J52" t="s" s="792">
        <f>IF(VLOOKUP($E52,'BDD'!$A$2:$N$567,MATCH($H$23,'BDD'!$A$1:$P$1,0),FALSE)=J$24,J$24,"")</f>
      </c>
      <c r="K52" t="s" s="792">
        <f>IF(VLOOKUP($E52,'BDD'!$A$2:$N$567,MATCH($H$23,'BDD'!$A$1:$P$1,0),FALSE)=K$24,K$24,"")</f>
      </c>
      <c r="L52" t="s" s="783">
        <f>IF(VLOOKUP($E52,'BDD'!$A$2:$N$567,MATCH($H$23,'BDD'!$A$1:$P$1,0),FALSE)=L$24,L$24,"")</f>
      </c>
      <c r="M52" s="784">
        <f>IF(N52="Exigences partiellement respectées",1,IF(N52="Exigences respectées",2,0))</f>
        <v>0</v>
      </c>
      <c r="N52" t="s" s="780">
        <f>VLOOKUP(VLOOKUP(E52,'BDD'!$A$2:$P$550,15,FALSE),'Suppl'!$D$64:$E$68,2,FALSE)</f>
        <v>1751</v>
      </c>
      <c r="O52" s="785"/>
      <c r="P52" s="786"/>
      <c r="Q52" s="786"/>
      <c r="R52" s="1152"/>
      <c r="S52" s="1153">
        <f>IF(N52='Suppl'!$E$65,0,IF(N52='Suppl'!$E$66,1/2/(_xlfn.COUNTIFS($D1:$D99,D52,$N1:$N99,"Exigences"&amp;"*",G1:G99,"&lt;&gt;0")+_xlfn.COUNTIFS($D1:$D99,D52,$N1:$N99,"Non"&amp;"*",G1:G99,"&lt;&gt;0")),IF(N52='Suppl'!$E$67,1/(_xlfn.COUNTIFS($D1:$D99,D52,$N1:$N99,"Exigences"&amp;"*",G1:G99,"&lt;&gt;0")+_xlfn.COUNTIFS($D1:$D99,D52,$N1:$N99,"Non"&amp;"*",G1:G99,"&lt;&gt;0")),0)))</f>
        <v>0</v>
      </c>
      <c r="T52" s="787"/>
      <c r="U52" s="787"/>
      <c r="V52" s="1154"/>
      <c r="W52" s="1175"/>
      <c r="X52" s="797">
        <f>_xlfn.IFERROR(IF(N52='Suppl'!$E$65,0,IF(N52='Suppl'!$E$66,1/2/(_xlfn.COUNTIFS($N1:$N99,"Exigences"&amp;"*")+_xlfn.COUNTIFS($N1:$N99,"Non"&amp;"*")),IF(N52='Suppl'!$E$67,1/(_xlfn.COUNTIFS($N1:$N99,"Exigences"&amp;"*")+_xlfn.COUNTIFS($N1:$N99,"Non"&amp;"*")),0))),0)</f>
      </c>
      <c r="Y52" s="586"/>
      <c r="Z52" s="586"/>
      <c r="AA52" s="586"/>
      <c r="AB52" s="586"/>
      <c r="AC52" s="586"/>
      <c r="AD52" s="586"/>
      <c r="AE52" s="586"/>
      <c r="AF52" s="586"/>
      <c r="AG52" s="586"/>
      <c r="AH52" s="586"/>
      <c r="AI52" s="1040"/>
      <c r="AJ52" s="585"/>
    </row>
    <row r="53" ht="55.2" customHeight="1">
      <c r="A53" s="1039"/>
      <c r="B53" s="753"/>
      <c r="C53" t="s" s="754">
        <f>IF(LEFT(RIGHT($B$1,2),1)=" ",RIGHT($B$1,1),RIGHT($B$1,2))</f>
        <v>275</v>
      </c>
      <c r="D53" s="755">
        <f>IF(LEFT(F53,5)="Bonne",D51+1,D52)</f>
        <v>4</v>
      </c>
      <c r="E53" t="s" s="778">
        <f>C53&amp;D53&amp;RIGHT(F53,1)</f>
        <v>2579</v>
      </c>
      <c r="F53" t="s" s="790">
        <v>1837</v>
      </c>
      <c r="G53" t="s" s="791">
        <f>VLOOKUP(E53,'BDD'!$A$2:$N$567,MATCH(G$24,'BDD'!$A$1:$P$1,0),FALSE)</f>
        <v>1733</v>
      </c>
      <c r="H53" t="s" s="799">
        <f>IF(VLOOKUP($E53,'BDD'!$A$2:$N$567,MATCH($H$23,'BDD'!$A$1:$P$1,0),FALSE)=H$24,H$24,"")</f>
      </c>
      <c r="I53" t="s" s="792">
        <f>IF(VLOOKUP($E53,'BDD'!$A$2:$N$567,MATCH($H$23,'BDD'!$A$1:$P$1,0),FALSE)=I$24,I$24,"")</f>
      </c>
      <c r="J53" t="s" s="792">
        <f>IF(VLOOKUP($E53,'BDD'!$A$2:$N$567,MATCH($H$23,'BDD'!$A$1:$P$1,0),FALSE)=J$24,J$24,"")</f>
        <v>1967</v>
      </c>
      <c r="K53" t="s" s="792">
        <f>IF(VLOOKUP($E53,'BDD'!$A$2:$N$567,MATCH($H$23,'BDD'!$A$1:$P$1,0),FALSE)=K$24,K$24,"")</f>
      </c>
      <c r="L53" t="s" s="783">
        <f>IF(VLOOKUP($E53,'BDD'!$A$2:$N$567,MATCH($H$23,'BDD'!$A$1:$P$1,0),FALSE)=L$24,L$24,"")</f>
      </c>
      <c r="M53" s="794">
        <f>IF(N53="Exigences partiellement respectées",1,IF(N53="Exigences respectées",2,0))</f>
        <v>0</v>
      </c>
      <c r="N53" t="s" s="791">
        <f>VLOOKUP(VLOOKUP(E53,'BDD'!$A$2:$P$550,15,FALSE),'Suppl'!$D$64:$E$68,2,FALSE)</f>
        <v>1751</v>
      </c>
      <c r="O53" s="795"/>
      <c r="P53" s="796"/>
      <c r="Q53" s="796"/>
      <c r="R53" s="1155"/>
      <c r="S53" s="1151">
        <f>IF(N53='Suppl'!$E$65,0,IF(N53='Suppl'!$E$66,1/2/(_xlfn.COUNTIFS($D1:$D99,D53,$N1:$N99,"Exigences"&amp;"*",G1:G99,"&lt;&gt;0")+_xlfn.COUNTIFS($D1:$D99,D53,$N1:$N99,"Non"&amp;"*",G1:G99,"&lt;&gt;0")),IF(N53='Suppl'!$E$67,1/(_xlfn.COUNTIFS($D1:$D99,D53,$N1:$N99,"Exigences"&amp;"*",G1:G99,"&lt;&gt;0")+_xlfn.COUNTIFS($D1:$D99,D53,$N1:$N99,"Non"&amp;"*",G1:G99,"&lt;&gt;0")),0)))</f>
        <v>0</v>
      </c>
      <c r="T53" s="797"/>
      <c r="U53" s="797"/>
      <c r="V53" s="1156"/>
      <c r="W53" s="1175"/>
      <c r="X53" s="797">
        <f>_xlfn.IFERROR(IF(N53='Suppl'!$E$65,0,IF(N53='Suppl'!$E$66,1/2/(_xlfn.COUNTIFS($N1:$N99,"Exigences"&amp;"*")+_xlfn.COUNTIFS($N1:$N99,"Non"&amp;"*")),IF(N53='Suppl'!$E$67,1/(_xlfn.COUNTIFS($N1:$N99,"Exigences"&amp;"*")+_xlfn.COUNTIFS($N1:$N99,"Non"&amp;"*")),0))),0)</f>
      </c>
      <c r="Y53" s="586"/>
      <c r="Z53" s="586"/>
      <c r="AA53" s="586"/>
      <c r="AB53" s="586"/>
      <c r="AC53" s="586"/>
      <c r="AD53" s="586"/>
      <c r="AE53" s="586"/>
      <c r="AF53" s="586"/>
      <c r="AG53" s="586"/>
      <c r="AH53" s="586"/>
      <c r="AI53" s="1040"/>
      <c r="AJ53" s="585"/>
    </row>
    <row r="54" ht="30" customHeight="1">
      <c r="A54" s="1039"/>
      <c r="B54" s="753"/>
      <c r="C54" t="s" s="754">
        <f>IF(LEFT(RIGHT($B$1,2),1)=" ",RIGHT($B$1,1),RIGHT($B$1,2))</f>
        <v>275</v>
      </c>
      <c r="D54" s="755">
        <f>IF(LEFT(F54,5)="Bonne",D52+1,D53)</f>
        <v>4</v>
      </c>
      <c r="E54" t="s" s="778">
        <f>C54&amp;D54&amp;RIGHT(F54,1)</f>
        <v>2580</v>
      </c>
      <c r="F54" t="s" s="779">
        <v>1774</v>
      </c>
      <c r="G54" t="s" s="780">
        <f>VLOOKUP(E54,'BDD'!$A$2:$N$567,MATCH(G$24,'BDD'!$A$1:$P$1,0),FALSE)</f>
        <v>1736</v>
      </c>
      <c r="H54" t="s" s="799">
        <f>IF(VLOOKUP($E54,'BDD'!$A$2:$N$567,MATCH($H$23,'BDD'!$A$1:$P$1,0),FALSE)=H$24,H$24,"")</f>
      </c>
      <c r="I54" t="s" s="792">
        <f>IF(VLOOKUP($E54,'BDD'!$A$2:$N$567,MATCH($H$23,'BDD'!$A$1:$P$1,0),FALSE)=I$24,I$24,"")</f>
      </c>
      <c r="J54" t="s" s="792">
        <f>IF(VLOOKUP($E54,'BDD'!$A$2:$N$567,MATCH($H$23,'BDD'!$A$1:$P$1,0),FALSE)=J$24,J$24,"")</f>
        <v>1967</v>
      </c>
      <c r="K54" t="s" s="792">
        <f>IF(VLOOKUP($E54,'BDD'!$A$2:$N$567,MATCH($H$23,'BDD'!$A$1:$P$1,0),FALSE)=K$24,K$24,"")</f>
      </c>
      <c r="L54" t="s" s="783">
        <f>IF(VLOOKUP($E54,'BDD'!$A$2:$N$567,MATCH($H$23,'BDD'!$A$1:$P$1,0),FALSE)=L$24,L$24,"")</f>
      </c>
      <c r="M54" s="794">
        <f>IF(N54="Exigences partiellement respectées",1,IF(N54="Exigences respectées",2,0))</f>
        <v>0</v>
      </c>
      <c r="N54" t="s" s="780">
        <f>VLOOKUP(VLOOKUP(E54,'BDD'!$A$2:$P$550,15,FALSE),'Suppl'!$D$64:$E$68,2,FALSE)</f>
        <v>1751</v>
      </c>
      <c r="O54" s="795"/>
      <c r="P54" s="796"/>
      <c r="Q54" s="796"/>
      <c r="R54" s="1155"/>
      <c r="S54" s="1151">
        <f>IF(N54='Suppl'!$E$65,0,IF(N54='Suppl'!$E$66,1/2/(_xlfn.COUNTIFS($D1:$D99,D54,$N1:$N99,"Exigences"&amp;"*",G1:G99,"&lt;&gt;0")+_xlfn.COUNTIFS($D1:$D99,D54,$N1:$N99,"Non"&amp;"*",G1:G99,"&lt;&gt;0")),IF(N54='Suppl'!$E$67,1/(_xlfn.COUNTIFS($D1:$D99,D54,$N1:$N99,"Exigences"&amp;"*",G1:G99,"&lt;&gt;0")+_xlfn.COUNTIFS($D1:$D99,D54,$N1:$N99,"Non"&amp;"*",G1:G99,"&lt;&gt;0")),0)))</f>
        <v>0</v>
      </c>
      <c r="T54" s="797"/>
      <c r="U54" s="797"/>
      <c r="V54" s="1156"/>
      <c r="W54" s="1175"/>
      <c r="X54" s="797">
        <f>_xlfn.IFERROR(IF(N54='Suppl'!$E$65,0,IF(N54='Suppl'!$E$66,1/2/(_xlfn.COUNTIFS($N1:$N99,"Exigences"&amp;"*")+_xlfn.COUNTIFS($N1:$N99,"Non"&amp;"*")),IF(N54='Suppl'!$E$67,1/(_xlfn.COUNTIFS($N1:$N99,"Exigences"&amp;"*")+_xlfn.COUNTIFS($N1:$N99,"Non"&amp;"*")),0))),0)</f>
      </c>
      <c r="Y54" s="586"/>
      <c r="Z54" s="586"/>
      <c r="AA54" s="586"/>
      <c r="AB54" s="586"/>
      <c r="AC54" s="586"/>
      <c r="AD54" s="586"/>
      <c r="AE54" s="586"/>
      <c r="AF54" s="586"/>
      <c r="AG54" s="586"/>
      <c r="AH54" s="586"/>
      <c r="AI54" s="1040"/>
      <c r="AJ54" s="585"/>
    </row>
    <row r="55" ht="30" customHeight="1">
      <c r="A55" s="1039"/>
      <c r="B55" s="753"/>
      <c r="C55" t="s" s="754">
        <f>IF(LEFT(RIGHT($B$1,2),1)=" ",RIGHT($B$1,1),RIGHT($B$1,2))</f>
        <v>275</v>
      </c>
      <c r="D55" s="755">
        <f>IF(LEFT(F55,5)="Bonne",D53+1,D54)</f>
        <v>4</v>
      </c>
      <c r="E55" t="s" s="778">
        <f>C55&amp;D55&amp;RIGHT(F55,1)</f>
        <v>2568</v>
      </c>
      <c r="F55" t="s" s="790">
        <v>1776</v>
      </c>
      <c r="G55" t="s" s="791">
        <f>VLOOKUP(E55,'BDD'!$A$2:$N$567,MATCH(G$24,'BDD'!$A$1:$P$1,0),FALSE)</f>
        <v>1739</v>
      </c>
      <c r="H55" t="s" s="799">
        <f>IF(VLOOKUP($E55,'BDD'!$A$2:$N$567,MATCH($H$23,'BDD'!$A$1:$P$1,0),FALSE)=H$24,H$24,"")</f>
      </c>
      <c r="I55" t="s" s="792">
        <f>IF(VLOOKUP($E55,'BDD'!$A$2:$N$567,MATCH($H$23,'BDD'!$A$1:$P$1,0),FALSE)=I$24,I$24,"")</f>
      </c>
      <c r="J55" t="s" s="792">
        <f>IF(VLOOKUP($E55,'BDD'!$A$2:$N$567,MATCH($H$23,'BDD'!$A$1:$P$1,0),FALSE)=J$24,J$24,"")</f>
      </c>
      <c r="K55" t="s" s="792">
        <f>IF(VLOOKUP($E55,'BDD'!$A$2:$N$567,MATCH($H$23,'BDD'!$A$1:$P$1,0),FALSE)=K$24,K$24,"")</f>
        <v>1968</v>
      </c>
      <c r="L55" t="s" s="783">
        <f>IF(VLOOKUP($E55,'BDD'!$A$2:$N$567,MATCH($H$23,'BDD'!$A$1:$P$1,0),FALSE)=L$24,L$24,"")</f>
      </c>
      <c r="M55" s="794">
        <f>IF(N55="Exigences partiellement respectées",1,IF(N55="Exigences respectées",2,0))</f>
        <v>0</v>
      </c>
      <c r="N55" t="s" s="791">
        <f>VLOOKUP(VLOOKUP(E55,'BDD'!$A$2:$P$550,15,FALSE),'Suppl'!$D$64:$E$68,2,FALSE)</f>
        <v>1751</v>
      </c>
      <c r="O55" s="795"/>
      <c r="P55" s="796"/>
      <c r="Q55" s="796"/>
      <c r="R55" s="1155"/>
      <c r="S55" s="1151">
        <f>IF(N55='Suppl'!$E$65,0,IF(N55='Suppl'!$E$66,1/2/(_xlfn.COUNTIFS($D1:$D99,D55,$N1:$N99,"Exigences"&amp;"*",G1:G99,"&lt;&gt;0")+_xlfn.COUNTIFS($D1:$D99,D55,$N1:$N99,"Non"&amp;"*",G1:G99,"&lt;&gt;0")),IF(N55='Suppl'!$E$67,1/(_xlfn.COUNTIFS($D1:$D99,D55,$N1:$N99,"Exigences"&amp;"*",G1:G99,"&lt;&gt;0")+_xlfn.COUNTIFS($D1:$D99,D55,$N1:$N99,"Non"&amp;"*",G1:G99,"&lt;&gt;0")),0)))</f>
        <v>0</v>
      </c>
      <c r="T55" s="797"/>
      <c r="U55" s="797"/>
      <c r="V55" s="1156"/>
      <c r="W55" s="1175"/>
      <c r="X55" s="797">
        <f>_xlfn.IFERROR(IF(N55='Suppl'!$E$65,0,IF(N55='Suppl'!$E$66,1/2/(_xlfn.COUNTIFS($N1:$N99,"Exigences"&amp;"*")+_xlfn.COUNTIFS($N1:$N99,"Non"&amp;"*")),IF(N55='Suppl'!$E$67,1/(_xlfn.COUNTIFS($N1:$N99,"Exigences"&amp;"*")+_xlfn.COUNTIFS($N1:$N99,"Non"&amp;"*")),0))),0)</f>
      </c>
      <c r="Y55" s="586"/>
      <c r="Z55" s="586"/>
      <c r="AA55" s="586"/>
      <c r="AB55" s="586"/>
      <c r="AC55" s="586"/>
      <c r="AD55" s="586"/>
      <c r="AE55" s="586"/>
      <c r="AF55" s="586"/>
      <c r="AG55" s="586"/>
      <c r="AH55" s="586"/>
      <c r="AI55" s="1040"/>
      <c r="AJ55" s="585"/>
    </row>
    <row r="56" ht="30" customHeight="1">
      <c r="A56" s="1039"/>
      <c r="B56" s="753"/>
      <c r="C56" t="s" s="754">
        <f>IF(LEFT(RIGHT($B$1,2),1)=" ",RIGHT($B$1,1),RIGHT($B$1,2))</f>
        <v>275</v>
      </c>
      <c r="D56" s="755">
        <f>IF(LEFT(F56,5)="Bonne",D54+1,D55)</f>
        <v>4</v>
      </c>
      <c r="E56" t="s" s="778">
        <f>C56&amp;D56&amp;RIGHT(F56,1)</f>
        <v>2581</v>
      </c>
      <c r="F56" t="s" s="779">
        <v>1778</v>
      </c>
      <c r="G56" t="s" s="780">
        <f>VLOOKUP(E56,'BDD'!$A$2:$N$567,MATCH(G$24,'BDD'!$A$1:$P$1,0),FALSE)</f>
        <v>1741</v>
      </c>
      <c r="H56" t="s" s="799">
        <f>IF(VLOOKUP($E56,'BDD'!$A$2:$N$567,MATCH($H$23,'BDD'!$A$1:$P$1,0),FALSE)=H$24,H$24,"")</f>
      </c>
      <c r="I56" t="s" s="792">
        <f>IF(VLOOKUP($E56,'BDD'!$A$2:$N$567,MATCH($H$23,'BDD'!$A$1:$P$1,0),FALSE)=I$24,I$24,"")</f>
      </c>
      <c r="J56" t="s" s="792">
        <f>IF(VLOOKUP($E56,'BDD'!$A$2:$N$567,MATCH($H$23,'BDD'!$A$1:$P$1,0),FALSE)=J$24,J$24,"")</f>
      </c>
      <c r="K56" t="s" s="792">
        <f>IF(VLOOKUP($E56,'BDD'!$A$2:$N$567,MATCH($H$23,'BDD'!$A$1:$P$1,0),FALSE)=K$24,K$24,"")</f>
      </c>
      <c r="L56" t="s" s="783">
        <f>IF(VLOOKUP($E56,'BDD'!$A$2:$N$567,MATCH($H$23,'BDD'!$A$1:$P$1,0),FALSE)=L$24,L$24,"")</f>
        <v>1985</v>
      </c>
      <c r="M56" s="794">
        <f>IF(N56="Exigences partiellement respectées",1,IF(N56="Exigences respectées",2,0))</f>
        <v>0</v>
      </c>
      <c r="N56" t="s" s="780">
        <f>VLOOKUP(VLOOKUP(E56,'BDD'!$A$2:$P$550,15,FALSE),'Suppl'!$D$64:$E$68,2,FALSE)</f>
        <v>1751</v>
      </c>
      <c r="O56" s="863"/>
      <c r="P56" s="864"/>
      <c r="Q56" s="864"/>
      <c r="R56" s="1164"/>
      <c r="S56" s="1165">
        <f>IF(N56='Suppl'!$E$65,0,IF(N56='Suppl'!$E$66,1/2/(_xlfn.COUNTIFS($D1:$D99,D56,$N1:$N99,"Exigences"&amp;"*",G1:G99,"&lt;&gt;0")+_xlfn.COUNTIFS($D1:$D99,D56,$N1:$N99,"Non"&amp;"*",G1:G99,"&lt;&gt;0")),IF(N56='Suppl'!$E$67,1/(_xlfn.COUNTIFS($D1:$D99,D56,$N1:$N99,"Exigences"&amp;"*",G1:G99,"&lt;&gt;0")+_xlfn.COUNTIFS($D1:$D99,D56,$N1:$N99,"Non"&amp;"*",G1:G99,"&lt;&gt;0")),0)))</f>
        <v>0</v>
      </c>
      <c r="T56" s="815"/>
      <c r="U56" s="815"/>
      <c r="V56" s="1166"/>
      <c r="W56" s="1175"/>
      <c r="X56" s="797">
        <f>_xlfn.IFERROR(IF(N56='Suppl'!$E$65,0,IF(N56='Suppl'!$E$66,1/2/(_xlfn.COUNTIFS($N1:$N99,"Exigences"&amp;"*")+_xlfn.COUNTIFS($N1:$N99,"Non"&amp;"*")),IF(N56='Suppl'!$E$67,1/(_xlfn.COUNTIFS($N1:$N99,"Exigences"&amp;"*")+_xlfn.COUNTIFS($N1:$N99,"Non"&amp;"*")),0))),0)</f>
      </c>
      <c r="Y56" s="586"/>
      <c r="Z56" s="586"/>
      <c r="AA56" s="586"/>
      <c r="AB56" s="586"/>
      <c r="AC56" s="586"/>
      <c r="AD56" s="586"/>
      <c r="AE56" s="586"/>
      <c r="AF56" s="586"/>
      <c r="AG56" s="586"/>
      <c r="AH56" s="586"/>
      <c r="AI56" s="1040"/>
      <c r="AJ56" s="585"/>
    </row>
    <row r="57" ht="30" customHeight="1">
      <c r="A57" s="1039"/>
      <c r="B57" s="586"/>
      <c r="C57" s="586"/>
      <c r="D57" s="587"/>
      <c r="E57" s="587"/>
      <c r="F57" s="1012"/>
      <c r="G57" s="1013"/>
      <c r="H57" s="818"/>
      <c r="I57" s="818"/>
      <c r="J57" s="818"/>
      <c r="K57" s="818"/>
      <c r="L57" s="818"/>
      <c r="M57" s="102"/>
      <c r="N57" s="1013"/>
      <c r="O57" s="786"/>
      <c r="P57" s="786"/>
      <c r="Q57" s="786"/>
      <c r="R57" s="786"/>
      <c r="S57" s="1014"/>
      <c r="T57" s="1014"/>
      <c r="U57" s="1014"/>
      <c r="V57" s="1014"/>
      <c r="W57" s="1169"/>
      <c r="X57" s="586"/>
      <c r="Y57" s="586"/>
      <c r="Z57" s="586"/>
      <c r="AA57" s="586"/>
      <c r="AB57" s="586"/>
      <c r="AC57" s="586"/>
      <c r="AD57" s="586"/>
      <c r="AE57" s="586"/>
      <c r="AF57" s="586"/>
      <c r="AG57" s="586"/>
      <c r="AH57" s="586"/>
      <c r="AI57" s="1040"/>
      <c r="AJ57" s="585"/>
    </row>
    <row r="58" ht="30" customHeight="1">
      <c r="A58" t="s" s="1137">
        <v>171</v>
      </c>
      <c r="B58" s="1040"/>
      <c r="C58" s="1040"/>
      <c r="D58" s="1040"/>
      <c r="E58" s="1040"/>
      <c r="F58" s="1040"/>
      <c r="G58" s="1076"/>
      <c r="H58" s="1076"/>
      <c r="I58" s="1076"/>
      <c r="J58" s="1076"/>
      <c r="K58" s="1076"/>
      <c r="L58" s="1076"/>
      <c r="M58" s="1076"/>
      <c r="N58" s="1040"/>
      <c r="O58" s="1040"/>
      <c r="P58" s="1040"/>
      <c r="Q58" s="1040"/>
      <c r="R58" s="1040"/>
      <c r="S58" s="1040"/>
      <c r="T58" s="1040"/>
      <c r="U58" s="1040"/>
      <c r="V58" s="1040"/>
      <c r="W58" s="1040"/>
      <c r="X58" s="1138"/>
      <c r="Y58" s="1040"/>
      <c r="Z58" s="1040"/>
      <c r="AA58" s="1040"/>
      <c r="AB58" s="1040"/>
      <c r="AC58" s="1040"/>
      <c r="AD58" s="1040"/>
      <c r="AE58" s="1040"/>
      <c r="AF58" s="1040"/>
      <c r="AG58" s="1040"/>
      <c r="AH58" s="1040"/>
      <c r="AI58" t="s" s="1139">
        <v>171</v>
      </c>
      <c r="AJ58" s="585"/>
    </row>
    <row r="59" ht="14.4" customHeight="1">
      <c r="A59" s="822"/>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823"/>
    </row>
    <row r="60" ht="14.4" customHeight="1">
      <c r="A60" s="822"/>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823"/>
    </row>
    <row r="61" ht="14.4" customHeight="1">
      <c r="A61" s="822"/>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823"/>
    </row>
    <row r="62" ht="14.4" customHeight="1">
      <c r="A62" s="822"/>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823"/>
    </row>
    <row r="63" ht="14.4" customHeight="1">
      <c r="A63" s="822"/>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823"/>
    </row>
    <row r="64" ht="14.4" customHeight="1">
      <c r="A64" s="822"/>
      <c r="B64" s="25"/>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823"/>
    </row>
    <row r="65" ht="14.4" customHeight="1">
      <c r="A65" s="822"/>
      <c r="B65" s="25"/>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823"/>
    </row>
    <row r="66" ht="14.4" customHeight="1">
      <c r="A66" s="822"/>
      <c r="B66" s="25"/>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823"/>
    </row>
    <row r="67" ht="14.4" customHeight="1">
      <c r="A67" s="822"/>
      <c r="B67" s="25"/>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823"/>
    </row>
    <row r="68" ht="14.4" customHeight="1">
      <c r="A68" s="822"/>
      <c r="B68" s="25"/>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823"/>
    </row>
    <row r="69" ht="14.4" customHeight="1">
      <c r="A69" s="822"/>
      <c r="B69" s="25"/>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823"/>
    </row>
    <row r="70" ht="14.4" customHeight="1">
      <c r="A70" s="822"/>
      <c r="B70" s="25"/>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823"/>
    </row>
    <row r="71" ht="14.4" customHeight="1">
      <c r="A71" s="822"/>
      <c r="B71" s="25"/>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c r="AJ71" s="823"/>
    </row>
    <row r="72" ht="14.4" customHeight="1">
      <c r="A72" s="822"/>
      <c r="B72" s="25"/>
      <c r="C72" s="25"/>
      <c r="D72" s="25"/>
      <c r="E72" s="25"/>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823"/>
    </row>
    <row r="73" ht="14.4" customHeight="1">
      <c r="A73" s="822"/>
      <c r="B73" s="25"/>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823"/>
    </row>
    <row r="74" ht="14.4" customHeight="1">
      <c r="A74" s="822"/>
      <c r="B74" s="25"/>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823"/>
    </row>
    <row r="75" ht="14.4" customHeight="1">
      <c r="A75" s="822"/>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823"/>
    </row>
    <row r="76" ht="14.4" customHeight="1">
      <c r="A76" s="822"/>
      <c r="B76" s="25"/>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823"/>
    </row>
    <row r="77" ht="14.4" customHeight="1">
      <c r="A77" s="822"/>
      <c r="B77" s="25"/>
      <c r="C77" s="25"/>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25"/>
      <c r="AJ77" s="823"/>
    </row>
    <row r="78" ht="14.4" customHeight="1">
      <c r="A78" s="822"/>
      <c r="B78" s="25"/>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823"/>
    </row>
    <row r="79" ht="14.4" customHeight="1">
      <c r="A79" s="822"/>
      <c r="B79" s="25"/>
      <c r="C79" s="25"/>
      <c r="D79" s="25"/>
      <c r="E79" s="25"/>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c r="AJ79" s="823"/>
    </row>
    <row r="80" ht="14.4" customHeight="1">
      <c r="A80" s="822"/>
      <c r="B80" s="25"/>
      <c r="C80" s="25"/>
      <c r="D80" s="25"/>
      <c r="E80" s="25"/>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c r="AJ80" s="823"/>
    </row>
    <row r="81" ht="14.4" customHeight="1">
      <c r="A81" s="822"/>
      <c r="B81" s="25"/>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25"/>
      <c r="AJ81" s="823"/>
    </row>
    <row r="82" ht="14.4" customHeight="1">
      <c r="A82" s="822"/>
      <c r="B82" s="25"/>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c r="AJ82" s="823"/>
    </row>
    <row r="83" ht="14.4" customHeight="1">
      <c r="A83" s="822"/>
      <c r="B83" s="25"/>
      <c r="C83" s="25"/>
      <c r="D83" s="25"/>
      <c r="E83" s="25"/>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c r="AH83" s="25"/>
      <c r="AI83" s="25"/>
      <c r="AJ83" s="823"/>
    </row>
    <row r="84" ht="14.4" customHeight="1">
      <c r="A84" s="822"/>
      <c r="B84" s="25"/>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25"/>
      <c r="AJ84" s="823"/>
    </row>
    <row r="85" ht="14.4" customHeight="1">
      <c r="A85" s="822"/>
      <c r="B85" s="25"/>
      <c r="C85" s="25"/>
      <c r="D85" s="25"/>
      <c r="E85" s="25"/>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25"/>
      <c r="AJ85" s="823"/>
    </row>
    <row r="86" ht="14.4" customHeight="1">
      <c r="A86" s="822"/>
      <c r="B86" s="25"/>
      <c r="C86" s="25"/>
      <c r="D86" s="25"/>
      <c r="E86" s="25"/>
      <c r="F86" s="2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c r="AJ86" s="823"/>
    </row>
    <row r="87" ht="14.4" customHeight="1">
      <c r="A87" s="822"/>
      <c r="B87" s="25"/>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823"/>
    </row>
    <row r="88" ht="14.4" customHeight="1">
      <c r="A88" s="822"/>
      <c r="B88" s="25"/>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823"/>
    </row>
    <row r="89" ht="14.4" customHeight="1">
      <c r="A89" s="822"/>
      <c r="B89" s="25"/>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823"/>
    </row>
    <row r="90" ht="14.4" customHeight="1">
      <c r="A90" s="822"/>
      <c r="B90" s="25"/>
      <c r="C90" s="25"/>
      <c r="D90" s="25"/>
      <c r="E90" s="25"/>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823"/>
    </row>
    <row r="91" ht="14.4" customHeight="1">
      <c r="A91" s="822"/>
      <c r="B91" s="25"/>
      <c r="C91" s="25"/>
      <c r="D91" s="25"/>
      <c r="E91" s="25"/>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823"/>
    </row>
    <row r="92" ht="14.4" customHeight="1">
      <c r="A92" s="822"/>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823"/>
    </row>
    <row r="93" ht="14.4" customHeight="1">
      <c r="A93" s="822"/>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823"/>
    </row>
    <row r="94" ht="14.4" customHeight="1">
      <c r="A94" s="822"/>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823"/>
    </row>
    <row r="95" ht="14.4" customHeight="1">
      <c r="A95" s="822"/>
      <c r="B95" s="25"/>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823"/>
    </row>
    <row r="96" ht="14.4" customHeight="1">
      <c r="A96" s="822"/>
      <c r="B96" s="25"/>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823"/>
    </row>
    <row r="97" ht="14.4" customHeight="1">
      <c r="A97" s="822"/>
      <c r="B97" s="25"/>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823"/>
    </row>
    <row r="98" ht="14.4" customHeight="1">
      <c r="A98" s="822"/>
      <c r="B98" s="25"/>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823"/>
    </row>
    <row r="99" ht="14.4" customHeight="1">
      <c r="A99" s="824"/>
      <c r="B99" s="825"/>
      <c r="C99" s="825"/>
      <c r="D99" s="825"/>
      <c r="E99" s="825"/>
      <c r="F99" s="825"/>
      <c r="G99" s="825"/>
      <c r="H99" s="825"/>
      <c r="I99" s="825"/>
      <c r="J99" s="825"/>
      <c r="K99" s="825"/>
      <c r="L99" s="825"/>
      <c r="M99" s="825"/>
      <c r="N99" s="825"/>
      <c r="O99" s="825"/>
      <c r="P99" s="825"/>
      <c r="Q99" s="825"/>
      <c r="R99" s="825"/>
      <c r="S99" s="825"/>
      <c r="T99" s="825"/>
      <c r="U99" s="825"/>
      <c r="V99" s="825"/>
      <c r="W99" s="825"/>
      <c r="X99" s="825"/>
      <c r="Y99" s="825"/>
      <c r="Z99" s="825"/>
      <c r="AA99" s="825"/>
      <c r="AB99" s="825"/>
      <c r="AC99" s="825"/>
      <c r="AD99" s="825"/>
      <c r="AE99" s="825"/>
      <c r="AF99" s="825"/>
      <c r="AG99" s="825"/>
      <c r="AH99" s="825"/>
      <c r="AI99" s="825"/>
      <c r="AJ99" s="826"/>
    </row>
  </sheetData>
  <mergeCells count="66">
    <mergeCell ref="G26:N26"/>
    <mergeCell ref="G34:N34"/>
    <mergeCell ref="G41:N41"/>
    <mergeCell ref="G51:N51"/>
    <mergeCell ref="O47:R47"/>
    <mergeCell ref="O44:R44"/>
    <mergeCell ref="O45:R45"/>
    <mergeCell ref="O46:R46"/>
    <mergeCell ref="O39:R39"/>
    <mergeCell ref="O32:R32"/>
    <mergeCell ref="O29:R29"/>
    <mergeCell ref="O30:R30"/>
    <mergeCell ref="O31:R31"/>
    <mergeCell ref="O25:R26"/>
    <mergeCell ref="O27:R27"/>
    <mergeCell ref="O28:R28"/>
    <mergeCell ref="O55:R55"/>
    <mergeCell ref="O56:R56"/>
    <mergeCell ref="O49:R49"/>
    <mergeCell ref="O52:R52"/>
    <mergeCell ref="O53:R53"/>
    <mergeCell ref="O54:R54"/>
    <mergeCell ref="O50:R51"/>
    <mergeCell ref="S49:V49"/>
    <mergeCell ref="O43:R43"/>
    <mergeCell ref="S40:V41"/>
    <mergeCell ref="S42:V42"/>
    <mergeCell ref="S43:V43"/>
    <mergeCell ref="O48:R48"/>
    <mergeCell ref="S44:V44"/>
    <mergeCell ref="S45:V45"/>
    <mergeCell ref="S46:V46"/>
    <mergeCell ref="S47:V47"/>
    <mergeCell ref="S48:V48"/>
    <mergeCell ref="S38:V38"/>
    <mergeCell ref="S39:V39"/>
    <mergeCell ref="O40:R41"/>
    <mergeCell ref="O42:R42"/>
    <mergeCell ref="O33:R34"/>
    <mergeCell ref="O35:R35"/>
    <mergeCell ref="O36:R36"/>
    <mergeCell ref="O37:R37"/>
    <mergeCell ref="O38:R38"/>
    <mergeCell ref="S33:V34"/>
    <mergeCell ref="S35:V35"/>
    <mergeCell ref="S36:V36"/>
    <mergeCell ref="S37:V37"/>
    <mergeCell ref="O20:R20"/>
    <mergeCell ref="O21:R21"/>
    <mergeCell ref="O22:R22"/>
    <mergeCell ref="O24:R24"/>
    <mergeCell ref="S24:V24"/>
    <mergeCell ref="AE7:AE10"/>
    <mergeCell ref="S29:V29"/>
    <mergeCell ref="S30:V30"/>
    <mergeCell ref="S31:V31"/>
    <mergeCell ref="S32:V32"/>
    <mergeCell ref="S25:V26"/>
    <mergeCell ref="S27:V27"/>
    <mergeCell ref="S28:V28"/>
    <mergeCell ref="S56:V56"/>
    <mergeCell ref="S50:V51"/>
    <mergeCell ref="S52:V52"/>
    <mergeCell ref="S53:V53"/>
    <mergeCell ref="S54:V54"/>
    <mergeCell ref="S55:V55"/>
  </mergeCells>
  <conditionalFormatting sqref="O8:V11 O12:T14 U14:V14">
    <cfRule type="cellIs" dxfId="39" priority="1" operator="equal" stopIfTrue="1">
      <formula>3</formula>
    </cfRule>
    <cfRule type="cellIs" dxfId="40" priority="2" operator="equal" stopIfTrue="1">
      <formula>2</formula>
    </cfRule>
    <cfRule type="cellIs" dxfId="41" priority="3" operator="equal" stopIfTrue="1">
      <formula>1</formula>
    </cfRule>
  </conditionalFormatting>
  <dataValidations count="1">
    <dataValidation type="list" allowBlank="1" showInputMessage="1" showErrorMessage="1" sqref="X8:X11 X14">
      <formula1>"Exigences non respectées,Exigences partiellement respectées,Exigences respectées,Non évalué,N/A"</formula1>
    </dataValidation>
  </dataValidations>
  <pageMargins left="0.7" right="0.7" top="0.75" bottom="0.75" header="0.3" footer="0.3"/>
  <pageSetup firstPageNumber="1" fitToHeight="1" fitToWidth="1" scale="100" useFirstPageNumber="0" orientation="portrait" pageOrder="downThenOver"/>
  <headerFooter>
    <oddFooter>&amp;C&amp;"Helvetica Neue,Regular"&amp;12&amp;K000000&amp;P</oddFooter>
  </headerFooter>
  <drawing r:id="rId1"/>
</worksheet>
</file>

<file path=xl/worksheets/sheet34.xml><?xml version="1.0" encoding="utf-8"?>
<worksheet xmlns:r="http://schemas.openxmlformats.org/officeDocument/2006/relationships" xmlns="http://schemas.openxmlformats.org/spreadsheetml/2006/main">
  <dimension ref="A1:P118"/>
  <sheetViews>
    <sheetView workbookViewId="0" showGridLines="0" defaultGridColor="1"/>
  </sheetViews>
  <sheetFormatPr defaultColWidth="10.8333" defaultRowHeight="14.4" customHeight="1" outlineLevelRow="0" outlineLevelCol="0"/>
  <cols>
    <col min="1" max="1" width="2.85156" style="1176" customWidth="1"/>
    <col min="2" max="2" width="4" style="1176" customWidth="1"/>
    <col min="3" max="5" hidden="1" width="10.8333" style="1176" customWidth="1"/>
    <col min="6" max="6" width="10.8516" style="1176" customWidth="1"/>
    <col min="7" max="7" width="36.1719" style="1176" customWidth="1"/>
    <col min="8" max="8" width="28.5" style="1176" customWidth="1"/>
    <col min="9" max="9" width="17.6719" style="1176" customWidth="1"/>
    <col min="10" max="10" width="66.8516" style="1176" customWidth="1"/>
    <col min="11" max="11" width="80.8516" style="1176" customWidth="1"/>
    <col min="12" max="12" width="10.8516" style="1176" customWidth="1"/>
    <col min="13" max="13" width="28" style="1176" customWidth="1"/>
    <col min="14" max="14" width="16.5" style="1176" customWidth="1"/>
    <col min="15" max="16" width="4" style="1176" customWidth="1"/>
    <col min="17" max="16384" width="10.8516" style="1176" customWidth="1"/>
  </cols>
  <sheetData>
    <row r="1" ht="45" customHeight="1">
      <c r="A1" s="1032"/>
      <c r="B1" t="s" s="1033">
        <v>2480</v>
      </c>
      <c r="C1" s="1034"/>
      <c r="D1" s="1034"/>
      <c r="E1" s="1034"/>
      <c r="F1" s="1034"/>
      <c r="G1" s="1035"/>
      <c r="H1" s="1036"/>
      <c r="I1" s="1036"/>
      <c r="J1" t="s" s="1037">
        <f>VLOOKUP($E$12,'BDD'!$A$2:$N$567,3,FALSE)</f>
        <v>235</v>
      </c>
      <c r="K1" s="1036"/>
      <c r="L1" s="1035"/>
      <c r="M1" s="1035"/>
      <c r="N1" s="1035"/>
      <c r="O1" s="1035"/>
      <c r="P1" s="1038"/>
    </row>
    <row r="2" ht="45" customHeight="1">
      <c r="A2" s="1039"/>
      <c r="B2" s="1040"/>
      <c r="C2" s="1040"/>
      <c r="D2" s="1040"/>
      <c r="E2" s="1040"/>
      <c r="F2" s="1040"/>
      <c r="G2" s="1040"/>
      <c r="H2" s="1040"/>
      <c r="I2" s="1040"/>
      <c r="J2" t="s" s="1041">
        <f>VLOOKUP($E$12,'BDD'!$A$2:$N$567,4,FALSE)</f>
        <v>1545</v>
      </c>
      <c r="K2" s="1040"/>
      <c r="L2" s="1040"/>
      <c r="M2" s="1040"/>
      <c r="N2" s="1040"/>
      <c r="O2" s="1040"/>
      <c r="P2" s="1042"/>
    </row>
    <row r="3" ht="18" customHeight="1">
      <c r="A3" s="1039"/>
      <c r="B3" s="61"/>
      <c r="C3" s="61"/>
      <c r="D3" s="61"/>
      <c r="E3" s="61"/>
      <c r="F3" s="61"/>
      <c r="G3" t="s" s="508">
        <f>IF('Suppl'!B64=2,"Le vecteur n'est pas utilisé","")</f>
      </c>
      <c r="H3" s="509"/>
      <c r="I3" s="509"/>
      <c r="J3" s="509"/>
      <c r="K3" s="509"/>
      <c r="L3" s="510"/>
      <c r="M3" s="61"/>
      <c r="N3" s="61"/>
      <c r="O3" s="61"/>
      <c r="P3" s="1042"/>
    </row>
    <row r="4" ht="14.4" customHeight="1">
      <c r="A4" s="1039"/>
      <c r="B4" s="61"/>
      <c r="C4" s="61"/>
      <c r="D4" s="61"/>
      <c r="E4" s="61"/>
      <c r="F4" s="61"/>
      <c r="G4" s="61"/>
      <c r="H4" s="61"/>
      <c r="I4" s="61"/>
      <c r="J4" s="61"/>
      <c r="K4" s="61"/>
      <c r="L4" s="61"/>
      <c r="M4" s="61"/>
      <c r="N4" s="61"/>
      <c r="O4" s="61"/>
      <c r="P4" s="1042"/>
    </row>
    <row r="5" ht="25.8" customHeight="1">
      <c r="A5" s="1043"/>
      <c r="B5" s="512"/>
      <c r="C5" t="s" s="513">
        <f>IF(LEFT(RIGHT($B$1,2),1)=" ",RIGHT($B$1,1),RIGHT($B$1,2))</f>
        <v>267</v>
      </c>
      <c r="D5" s="514">
        <f>IF(LEFT(F5,14)="Bonne pratique",D4+1,D4)</f>
        <v>1</v>
      </c>
      <c r="E5" s="515"/>
      <c r="F5" t="s" s="516">
        <v>1762</v>
      </c>
      <c r="G5" s="517"/>
      <c r="H5" s="518"/>
      <c r="I5" s="519"/>
      <c r="J5" t="s" s="520">
        <f>VLOOKUP(E12,'BDD'!$A$2:$N$567,6,FALSE)</f>
        <v>1546</v>
      </c>
      <c r="K5" s="521"/>
      <c r="L5" s="517"/>
      <c r="M5" s="517"/>
      <c r="N5" s="517"/>
      <c r="O5" s="512"/>
      <c r="P5" s="1044"/>
    </row>
    <row r="6" ht="14.4" customHeight="1">
      <c r="A6" s="1039"/>
      <c r="B6" s="61"/>
      <c r="C6" t="s" s="513">
        <f>IF(LEFT(RIGHT($B$1,2),1)=" ",RIGHT($B$1,1),RIGHT($B$1,2))</f>
        <v>267</v>
      </c>
      <c r="D6" s="514">
        <f>IF(LEFT(F6,14)="Bonne pratique",D5+1,D5)</f>
        <v>1</v>
      </c>
      <c r="E6" s="61"/>
      <c r="F6" s="61"/>
      <c r="G6" s="61"/>
      <c r="H6" s="61"/>
      <c r="I6" s="61"/>
      <c r="J6" s="61"/>
      <c r="K6" s="61"/>
      <c r="L6" s="61"/>
      <c r="M6" s="61"/>
      <c r="N6" s="61"/>
      <c r="O6" s="61"/>
      <c r="P6" s="1042"/>
    </row>
    <row r="7" ht="23.4" customHeight="1">
      <c r="A7" s="1045"/>
      <c r="B7" s="524"/>
      <c r="C7" t="s" s="513">
        <f>IF(LEFT(RIGHT($B$1,2),1)=" ",RIGHT($B$1,1),RIGHT($B$1,2))</f>
        <v>267</v>
      </c>
      <c r="D7" s="514">
        <f>IF(LEFT(F7,14)="Bonne pratique",D6+1,D6)</f>
        <v>1</v>
      </c>
      <c r="E7" s="524"/>
      <c r="F7" s="524"/>
      <c r="G7" s="524"/>
      <c r="H7" s="524"/>
      <c r="I7" s="525"/>
      <c r="J7" t="s" s="526">
        <v>2582</v>
      </c>
      <c r="K7" s="525"/>
      <c r="L7" s="524"/>
      <c r="M7" s="524"/>
      <c r="N7" s="524"/>
      <c r="O7" s="524"/>
      <c r="P7" s="1046"/>
    </row>
    <row r="8" ht="18" customHeight="1">
      <c r="A8" s="1039"/>
      <c r="B8" s="61"/>
      <c r="C8" t="s" s="513">
        <f>IF(LEFT(RIGHT($B$1,2),1)=" ",RIGHT($B$1,1),RIGHT($B$1,2))</f>
        <v>267</v>
      </c>
      <c r="D8" s="514">
        <f>IF(LEFT(F8,14)="Bonne pratique",D7+1,D7)</f>
        <v>1</v>
      </c>
      <c r="E8" s="61"/>
      <c r="F8" s="61"/>
      <c r="G8" s="61"/>
      <c r="H8" s="61"/>
      <c r="I8" s="61"/>
      <c r="J8" t="s" s="526">
        <v>2583</v>
      </c>
      <c r="K8" s="61"/>
      <c r="L8" s="61"/>
      <c r="M8" s="529"/>
      <c r="N8" s="529"/>
      <c r="O8" s="61"/>
      <c r="P8" s="1042"/>
    </row>
    <row r="9" ht="14.4" customHeight="1">
      <c r="A9" s="1039"/>
      <c r="B9" s="61"/>
      <c r="C9" t="s" s="513">
        <f>IF(LEFT(RIGHT($B$1,2),1)=" ",RIGHT($B$1,1),RIGHT($B$1,2))</f>
        <v>267</v>
      </c>
      <c r="D9" s="514">
        <f>IF(LEFT(F9,14)="Bonne pratique",D8+1,D8)</f>
        <v>1</v>
      </c>
      <c r="E9" s="61"/>
      <c r="F9" s="61"/>
      <c r="G9" s="530"/>
      <c r="H9" s="530"/>
      <c r="I9" s="530"/>
      <c r="J9" s="530"/>
      <c r="K9" s="530"/>
      <c r="L9" s="531"/>
      <c r="M9" t="s" s="532">
        <v>1763</v>
      </c>
      <c r="N9" s="533"/>
      <c r="O9" s="534"/>
      <c r="P9" s="1042"/>
    </row>
    <row r="10" ht="33" customHeight="1">
      <c r="A10" s="1039"/>
      <c r="B10" s="61"/>
      <c r="C10" t="s" s="513">
        <f>IF(LEFT(RIGHT($B$1,2),1)=" ",RIGHT($B$1,1),RIGHT($B$1,2))</f>
        <v>267</v>
      </c>
      <c r="D10" s="514">
        <f>IF(LEFT(F10,14)="Bonne pratique",D9+1,D9)</f>
        <v>1</v>
      </c>
      <c r="E10" s="61"/>
      <c r="F10" s="535"/>
      <c r="G10" t="s" s="536">
        <v>244</v>
      </c>
      <c r="H10" t="s" s="536">
        <v>1764</v>
      </c>
      <c r="I10" t="s" s="537">
        <v>245</v>
      </c>
      <c r="J10" t="s" s="536">
        <v>1765</v>
      </c>
      <c r="K10" t="s" s="536">
        <v>246</v>
      </c>
      <c r="L10" s="538"/>
      <c r="M10" t="s" s="539">
        <v>1766</v>
      </c>
      <c r="N10" t="s" s="540">
        <v>1767</v>
      </c>
      <c r="O10" s="534"/>
      <c r="P10" s="1042"/>
    </row>
    <row r="11" ht="14.4" customHeight="1">
      <c r="A11" s="1039"/>
      <c r="B11" s="61"/>
      <c r="C11" t="s" s="513">
        <f>IF(LEFT(RIGHT($B$1,2),1)=" ",RIGHT($B$1,1),RIGHT($B$1,2))</f>
        <v>267</v>
      </c>
      <c r="D11" s="514">
        <f>IF(LEFT(F11,14)="Bonne pratique",D10+1,D10)</f>
        <v>1</v>
      </c>
      <c r="E11" s="61"/>
      <c r="F11" s="529"/>
      <c r="G11" s="541"/>
      <c r="H11" s="541"/>
      <c r="I11" s="541"/>
      <c r="J11" s="541"/>
      <c r="K11" s="541"/>
      <c r="L11" s="61"/>
      <c r="M11" s="541"/>
      <c r="N11" s="541"/>
      <c r="O11" s="61"/>
      <c r="P11" s="1042"/>
    </row>
    <row r="12" ht="130.05" customHeight="1">
      <c r="A12" s="1039"/>
      <c r="B12" s="542"/>
      <c r="C12" t="s" s="543">
        <f>IF(LEFT(RIGHT($B$1,2),1)=" ",RIGHT($B$1,1),RIGHT($B$1,2))</f>
        <v>267</v>
      </c>
      <c r="D12" s="544">
        <f>IF(LEFT(F12,14)="Bonne pratique",D11+1,D11)</f>
        <v>1</v>
      </c>
      <c r="E12" t="s" s="545">
        <f>C12&amp;D12&amp;RIGHT(F12,1)</f>
        <v>2483</v>
      </c>
      <c r="F12" t="s" s="546">
        <v>1769</v>
      </c>
      <c r="G12" t="s" s="547">
        <f>_xlfn.IFERROR(IF(VLOOKUP($E12,'BDD'!$A$1:$S$567,MATCH(G$10,'BDD'!$A$1:$P$1,0),FALSE)=0,"",VLOOKUP($E12,'BDD'!$A$1:$S$567,MATCH(G$10,'BDD'!$A$1:$P$1,0),FALSE)),"")</f>
        <v>2484</v>
      </c>
      <c r="H12" t="s" s="548">
        <f>IF(VLOOKUP(E12,'BDD'!$A$1:$S$567,15,FALSE)=0,"Critère non évalué","")</f>
        <v>1770</v>
      </c>
      <c r="I12" t="s" s="546">
        <f>_xlfn.IFERROR(IF(VLOOKUP($E12,'BDD'!$A$1:$S$567,MATCH(I$10,'BDD'!$A$1:$P$1,0),FALSE)=0,"",VLOOKUP($E12,'BDD'!$A$1:$S$567,MATCH(I$10,'BDD'!$A$1:$P$1,0),FALSE)),"")</f>
        <v>283</v>
      </c>
      <c r="J12" s="549"/>
      <c r="K12" t="s" s="547">
        <f>_xlfn.IFERROR(IF(VLOOKUP($E12,'BDD'!$A$1:$S$567,MATCH(K$10,'BDD'!$A$1:$P$1,0),FALSE)=0,"",VLOOKUP($E12,'BDD'!$A$1:$S$567,MATCH(K$10,'BDD'!$A$1:$P$1,0),FALSE)),"")</f>
      </c>
      <c r="L12" s="550"/>
      <c r="M12" s="551"/>
      <c r="N12" s="551"/>
      <c r="O12" s="534"/>
      <c r="P12" s="1042"/>
    </row>
    <row r="13" ht="130.05" customHeight="1">
      <c r="A13" s="1039"/>
      <c r="B13" s="542"/>
      <c r="C13" t="s" s="543">
        <f>IF(LEFT(RIGHT($B$1,2),1)=" ",RIGHT($B$1,1),RIGHT($B$1,2))</f>
        <v>267</v>
      </c>
      <c r="D13" s="544">
        <f>IF(LEFT(F13,14)="Bonne pratique",D12+1,D12)</f>
        <v>1</v>
      </c>
      <c r="E13" t="s" s="545">
        <f>C13&amp;D13&amp;RIGHT(F13,1)</f>
        <v>2485</v>
      </c>
      <c r="F13" t="s" s="552">
        <v>1772</v>
      </c>
      <c r="G13" t="s" s="540">
        <f>_xlfn.IFERROR(IF(VLOOKUP($E13,'BDD'!$A$1:$S$567,MATCH(G$10,'BDD'!$A$1:$P$1,0),FALSE)=0,"",VLOOKUP($E13,'BDD'!$A$1:$S$567,MATCH(G$10,'BDD'!$A$1:$P$1,0),FALSE)),"")</f>
        <v>1553</v>
      </c>
      <c r="H13" t="s" s="553">
        <f>IF(VLOOKUP(E13,'BDD'!$A$1:$S$567,15,FALSE)=0,"Critère non évalué","")</f>
        <v>1770</v>
      </c>
      <c r="I13" t="s" s="552">
        <f>_xlfn.IFERROR(IF(VLOOKUP($E13,'BDD'!$A$1:$S$567,MATCH(I$10,'BDD'!$A$1:$P$1,0),FALSE)=0,"",VLOOKUP($E13,'BDD'!$A$1:$S$567,MATCH(I$10,'BDD'!$A$1:$P$1,0),FALSE)),"")</f>
        <v>263</v>
      </c>
      <c r="J13" s="554"/>
      <c r="K13" t="s" s="540">
        <f>_xlfn.IFERROR(IF(VLOOKUP($E13,'BDD'!$A$1:$S$567,MATCH(K$10,'BDD'!$A$1:$P$1,0),FALSE)=0,"",VLOOKUP($E13,'BDD'!$A$1:$S$567,MATCH(K$10,'BDD'!$A$1:$P$1,0),FALSE)),"")</f>
      </c>
      <c r="L13" s="550"/>
      <c r="M13" s="555"/>
      <c r="N13" s="555"/>
      <c r="O13" s="534"/>
      <c r="P13" s="1042"/>
    </row>
    <row r="14" ht="130.05" customHeight="1">
      <c r="A14" s="1039"/>
      <c r="B14" s="542"/>
      <c r="C14" t="s" s="543">
        <f>IF(LEFT(RIGHT($B$1,2),1)=" ",RIGHT($B$1,1),RIGHT($B$1,2))</f>
        <v>267</v>
      </c>
      <c r="D14" s="544">
        <f>IF(LEFT(F14,14)="Bonne pratique",D13+1,D13)</f>
        <v>1</v>
      </c>
      <c r="E14" t="s" s="545">
        <f>C14&amp;D14&amp;RIGHT(F14,1)</f>
        <v>2486</v>
      </c>
      <c r="F14" t="s" s="546">
        <v>1774</v>
      </c>
      <c r="G14" t="s" s="547">
        <f>_xlfn.IFERROR(IF(VLOOKUP($E14,'BDD'!$A$1:$S$567,MATCH(G$10,'BDD'!$A$1:$P$1,0),FALSE)=0,"",VLOOKUP($E14,'BDD'!$A$1:$S$567,MATCH(G$10,'BDD'!$A$1:$P$1,0),FALSE)),"")</f>
        <v>1558</v>
      </c>
      <c r="H14" t="s" s="548">
        <f>IF(VLOOKUP(E14,'BDD'!$A$1:$S$567,15,FALSE)=0,"Critère non évalué","")</f>
        <v>1770</v>
      </c>
      <c r="I14" t="s" s="546">
        <f>_xlfn.IFERROR(IF(VLOOKUP($E14,'BDD'!$A$1:$S$567,MATCH(I$10,'BDD'!$A$1:$P$1,0),FALSE)=0,"",VLOOKUP($E14,'BDD'!$A$1:$S$567,MATCH(I$10,'BDD'!$A$1:$P$1,0),FALSE)),"")</f>
        <v>271</v>
      </c>
      <c r="J14" s="549"/>
      <c r="K14" t="s" s="547">
        <f>_xlfn.IFERROR(IF(VLOOKUP($E14,'BDD'!$A$1:$S$567,MATCH(K$10,'BDD'!$A$1:$P$1,0),FALSE)=0,"",VLOOKUP($E14,'BDD'!$A$1:$S$567,MATCH(K$10,'BDD'!$A$1:$P$1,0),FALSE)),"")</f>
      </c>
      <c r="L14" s="550"/>
      <c r="M14" s="551"/>
      <c r="N14" s="551"/>
      <c r="O14" s="534"/>
      <c r="P14" s="1042"/>
    </row>
    <row r="15" ht="130.05" customHeight="1">
      <c r="A15" s="1039"/>
      <c r="B15" s="542"/>
      <c r="C15" t="s" s="543">
        <f>IF(LEFT(RIGHT($B$1,2),1)=" ",RIGHT($B$1,1),RIGHT($B$1,2))</f>
        <v>267</v>
      </c>
      <c r="D15" s="544">
        <f>IF(LEFT(F15,14)="Bonne pratique",D14+1,D14)</f>
        <v>1</v>
      </c>
      <c r="E15" t="s" s="545">
        <f>C15&amp;D15&amp;RIGHT(F15,1)</f>
        <v>2487</v>
      </c>
      <c r="F15" t="s" s="552">
        <v>1776</v>
      </c>
      <c r="G15" t="s" s="540">
        <f>_xlfn.IFERROR(IF(VLOOKUP($E15,'BDD'!$A$1:$S$567,MATCH(G$10,'BDD'!$A$1:$P$1,0),FALSE)=0,"",VLOOKUP($E15,'BDD'!$A$1:$S$567,MATCH(G$10,'BDD'!$A$1:$P$1,0),FALSE)),"")</f>
        <v>1562</v>
      </c>
      <c r="H15" t="s" s="553">
        <f>IF(VLOOKUP(E15,'BDD'!$A$1:$S$567,15,FALSE)=0,"Critère non évalué","")</f>
        <v>1770</v>
      </c>
      <c r="I15" t="s" s="552">
        <f>_xlfn.IFERROR(IF(VLOOKUP($E15,'BDD'!$A$1:$S$567,MATCH(I$10,'BDD'!$A$1:$P$1,0),FALSE)=0,"",VLOOKUP($E15,'BDD'!$A$1:$S$567,MATCH(I$10,'BDD'!$A$1:$P$1,0),FALSE)),"")</f>
        <v>271</v>
      </c>
      <c r="J15" s="556"/>
      <c r="K15" t="s" s="540">
        <f>_xlfn.IFERROR(IF(VLOOKUP($E15,'BDD'!$A$1:$S$567,MATCH(K$10,'BDD'!$A$1:$P$1,0),FALSE)=0,"",VLOOKUP($E15,'BDD'!$A$1:$S$567,MATCH(K$10,'BDD'!$A$1:$P$1,0),FALSE)),"")</f>
      </c>
      <c r="L15" s="550"/>
      <c r="M15" s="555"/>
      <c r="N15" s="555"/>
      <c r="O15" s="534"/>
      <c r="P15" s="1042"/>
    </row>
    <row r="16" ht="130.05" customHeight="1">
      <c r="A16" s="1039"/>
      <c r="B16" s="542"/>
      <c r="C16" t="s" s="543">
        <f>IF(LEFT(RIGHT($B$1,2),1)=" ",RIGHT($B$1,1),RIGHT($B$1,2))</f>
        <v>267</v>
      </c>
      <c r="D16" s="544">
        <f>IF(LEFT(F16,14)="Bonne pratique",D15+1,D15)</f>
        <v>1</v>
      </c>
      <c r="E16" t="s" s="545">
        <f>C16&amp;D16&amp;RIGHT(F16,1)</f>
        <v>2488</v>
      </c>
      <c r="F16" t="s" s="546">
        <v>1778</v>
      </c>
      <c r="G16" t="s" s="547">
        <f>_xlfn.IFERROR(IF(VLOOKUP($E16,'BDD'!$A$1:$S$567,MATCH(G$10,'BDD'!$A$1:$P$1,0),FALSE)=0,"",VLOOKUP($E16,'BDD'!$A$1:$S$567,MATCH(G$10,'BDD'!$A$1:$P$1,0),FALSE)),"")</f>
        <v>1566</v>
      </c>
      <c r="H16" t="s" s="548">
        <f>IF(VLOOKUP(E16,'BDD'!$A$1:$S$567,15,FALSE)=0,"Critère non évalué","")</f>
        <v>1770</v>
      </c>
      <c r="I16" t="s" s="546">
        <f>_xlfn.IFERROR(IF(VLOOKUP($E16,'BDD'!$A$1:$S$567,MATCH(I$10,'BDD'!$A$1:$P$1,0),FALSE)=0,"",VLOOKUP($E16,'BDD'!$A$1:$S$567,MATCH(I$10,'BDD'!$A$1:$P$1,0),FALSE)),"")</f>
        <v>291</v>
      </c>
      <c r="J16" s="549"/>
      <c r="K16" t="s" s="547">
        <f>_xlfn.IFERROR(IF(VLOOKUP($E16,'BDD'!$A$1:$S$567,MATCH(K$10,'BDD'!$A$1:$P$1,0),FALSE)=0,"",VLOOKUP($E16,'BDD'!$A$1:$S$567,MATCH(K$10,'BDD'!$A$1:$P$1,0),FALSE)),"")</f>
      </c>
      <c r="L16" s="550"/>
      <c r="M16" s="557"/>
      <c r="N16" s="557"/>
      <c r="O16" s="534"/>
      <c r="P16" s="1042"/>
    </row>
    <row r="17" ht="130.05" customHeight="1">
      <c r="A17" s="1039"/>
      <c r="B17" s="542"/>
      <c r="C17" t="s" s="543">
        <f>IF(LEFT(RIGHT($B$1,2),1)=" ",RIGHT($B$1,1),RIGHT($B$1,2))</f>
        <v>267</v>
      </c>
      <c r="D17" s="544">
        <f>IF(LEFT(F17,14)="Bonne pratique",D16+1,D16)</f>
        <v>1</v>
      </c>
      <c r="E17" t="s" s="545">
        <f>C17&amp;D17&amp;RIGHT(F17,1)</f>
        <v>2489</v>
      </c>
      <c r="F17" t="s" s="552">
        <v>1780</v>
      </c>
      <c r="G17" t="s" s="540">
        <f>_xlfn.IFERROR(IF(VLOOKUP($E17,'BDD'!$A$1:$S$567,MATCH(G$10,'BDD'!$A$1:$P$1,0),FALSE)=0,"",VLOOKUP($E17,'BDD'!$A$1:$S$567,MATCH(G$10,'BDD'!$A$1:$P$1,0),FALSE)),"")</f>
        <v>1569</v>
      </c>
      <c r="H17" t="s" s="553">
        <f>IF(VLOOKUP(E17,'BDD'!$A$1:$S$567,15,FALSE)=0,"Critère non évalué","")</f>
        <v>1770</v>
      </c>
      <c r="I17" t="s" s="552">
        <f>_xlfn.IFERROR(IF(VLOOKUP($E17,'BDD'!$A$1:$S$567,MATCH(I$10,'BDD'!$A$1:$P$1,0),FALSE)=0,"",VLOOKUP($E17,'BDD'!$A$1:$S$567,MATCH(I$10,'BDD'!$A$1:$P$1,0),FALSE)),"")</f>
        <v>256</v>
      </c>
      <c r="J17" s="554"/>
      <c r="K17" t="s" s="540">
        <f>_xlfn.IFERROR(IF(VLOOKUP($E17,'BDD'!$A$1:$S$567,MATCH(K$10,'BDD'!$A$1:$P$1,0),FALSE)=0,"",VLOOKUP($E17,'BDD'!$A$1:$S$567,MATCH(K$10,'BDD'!$A$1:$P$1,0),FALSE)),"")</f>
      </c>
      <c r="L17" s="550"/>
      <c r="M17" s="555"/>
      <c r="N17" s="555"/>
      <c r="O17" s="534"/>
      <c r="P17" s="1042"/>
    </row>
    <row r="18" ht="130.05" customHeight="1">
      <c r="A18" s="1039"/>
      <c r="B18" s="542"/>
      <c r="C18" t="s" s="543">
        <f>IF(LEFT(RIGHT($B$1,2),1)=" ",RIGHT($B$1,1),RIGHT($B$1,2))</f>
        <v>267</v>
      </c>
      <c r="D18" s="544">
        <f>IF(LEFT(F18,14)="Bonne pratique",D17+1,D17)</f>
        <v>1</v>
      </c>
      <c r="E18" t="s" s="545">
        <f>C18&amp;D18&amp;RIGHT(F18,1)</f>
        <v>2490</v>
      </c>
      <c r="F18" t="s" s="546">
        <v>1782</v>
      </c>
      <c r="G18" t="s" s="547">
        <f>_xlfn.IFERROR(IF(VLOOKUP($E18,'BDD'!$A$1:$S$567,MATCH(G$10,'BDD'!$A$1:$P$1,0),FALSE)=0,"",VLOOKUP($E18,'BDD'!$A$1:$S$567,MATCH(G$10,'BDD'!$A$1:$P$1,0),FALSE)),"")</f>
        <v>1571</v>
      </c>
      <c r="H18" t="s" s="548">
        <f>IF(VLOOKUP(E18,'BDD'!$A$1:$S$567,15,FALSE)=0,"Critère non évalué","")</f>
        <v>1770</v>
      </c>
      <c r="I18" t="s" s="546">
        <f>_xlfn.IFERROR(IF(VLOOKUP($E18,'BDD'!$A$1:$S$567,MATCH(I$10,'BDD'!$A$1:$P$1,0),FALSE)=0,"",VLOOKUP($E18,'BDD'!$A$1:$S$567,MATCH(I$10,'BDD'!$A$1:$P$1,0),FALSE)),"")</f>
        <v>283</v>
      </c>
      <c r="J18" s="549"/>
      <c r="K18" t="s" s="547">
        <f>_xlfn.IFERROR(IF(VLOOKUP($E18,'BDD'!$A$1:$S$567,MATCH(K$10,'BDD'!$A$1:$P$1,0),FALSE)=0,"",VLOOKUP($E18,'BDD'!$A$1:$S$567,MATCH(K$10,'BDD'!$A$1:$P$1,0),FALSE)),"")</f>
      </c>
      <c r="L18" s="550"/>
      <c r="M18" s="557"/>
      <c r="N18" s="557"/>
      <c r="O18" s="534"/>
      <c r="P18" s="1042"/>
    </row>
    <row r="19" ht="18" customHeight="1">
      <c r="A19" s="1039"/>
      <c r="B19" s="61"/>
      <c r="C19" t="s" s="513">
        <f>IF(LEFT(RIGHT($B$1,2),1)=" ",RIGHT($B$1,1),RIGHT($B$1,2))</f>
        <v>267</v>
      </c>
      <c r="D19" s="514">
        <f>IF(LEFT(F19,14)="Bonne pratique",D18+1,D18)</f>
        <v>1</v>
      </c>
      <c r="E19" t="s" s="558">
        <f>C19&amp;D19&amp;RIGHT(F19,1)</f>
        <v>1789</v>
      </c>
      <c r="F19" s="559"/>
      <c r="G19" t="s" s="560">
        <f>IF('Suppl'!B80=2,"Le vecteur n'est pas utilisé","")</f>
      </c>
      <c r="H19" s="561"/>
      <c r="I19" s="561"/>
      <c r="J19" s="561"/>
      <c r="K19" s="561"/>
      <c r="L19" s="510"/>
      <c r="M19" s="559"/>
      <c r="N19" s="559"/>
      <c r="O19" s="61"/>
      <c r="P19" s="1042"/>
    </row>
    <row r="20" ht="15" customHeight="1">
      <c r="A20" s="1039"/>
      <c r="B20" s="61"/>
      <c r="C20" t="s" s="513">
        <f>IF(LEFT(RIGHT($B$1,2),1)=" ",RIGHT($B$1,1),RIGHT($B$1,2))</f>
        <v>267</v>
      </c>
      <c r="D20" s="514">
        <f>IF(LEFT(F20,14)="Bonne pratique",D19+1,D19)</f>
        <v>1</v>
      </c>
      <c r="E20" t="s" s="558">
        <f>C20&amp;D20&amp;RIGHT(F20,1)</f>
        <v>1789</v>
      </c>
      <c r="F20" s="61"/>
      <c r="G20" s="61"/>
      <c r="H20" s="61"/>
      <c r="I20" s="61"/>
      <c r="J20" s="61"/>
      <c r="K20" s="61"/>
      <c r="L20" s="61"/>
      <c r="M20" s="61"/>
      <c r="N20" s="61"/>
      <c r="O20" s="61"/>
      <c r="P20" s="1042"/>
    </row>
    <row r="21" ht="30" customHeight="1">
      <c r="A21" s="1043"/>
      <c r="B21" s="512"/>
      <c r="C21" t="s" s="513">
        <f>IF(LEFT(RIGHT($B$1,2),1)=" ",RIGHT($B$1,1),RIGHT($B$1,2))</f>
        <v>267</v>
      </c>
      <c r="D21" s="514">
        <f>IF(LEFT(F21,14)="Bonne pratique",D20+1,D20)</f>
        <v>2</v>
      </c>
      <c r="E21" t="s" s="558">
        <f>C21&amp;D21&amp;RIGHT(F21,1)</f>
        <v>2493</v>
      </c>
      <c r="F21" t="s" s="516">
        <v>1785</v>
      </c>
      <c r="G21" s="517"/>
      <c r="H21" s="518"/>
      <c r="I21" s="519"/>
      <c r="J21" t="s" s="520">
        <f>VLOOKUP(E28,'BDD'!$A$2:$N$567,6,FALSE)</f>
        <v>343</v>
      </c>
      <c r="K21" s="521"/>
      <c r="L21" s="517"/>
      <c r="M21" s="517"/>
      <c r="N21" s="517"/>
      <c r="O21" s="512"/>
      <c r="P21" s="1044"/>
    </row>
    <row r="22" ht="15" customHeight="1">
      <c r="A22" s="1039"/>
      <c r="B22" s="61"/>
      <c r="C22" t="s" s="513">
        <f>IF(LEFT(RIGHT($B$1,2),1)=" ",RIGHT($B$1,1),RIGHT($B$1,2))</f>
        <v>267</v>
      </c>
      <c r="D22" s="514">
        <f>IF(LEFT(F22,14)="Bonne pratique",D21+1,D21)</f>
        <v>2</v>
      </c>
      <c r="E22" t="s" s="558">
        <f>C22&amp;D22&amp;RIGHT(F22,1)</f>
        <v>1784</v>
      </c>
      <c r="F22" s="61"/>
      <c r="G22" s="61"/>
      <c r="H22" s="61"/>
      <c r="I22" s="61"/>
      <c r="J22" s="61"/>
      <c r="K22" s="61"/>
      <c r="L22" s="61"/>
      <c r="M22" s="61"/>
      <c r="N22" s="61"/>
      <c r="O22" s="61"/>
      <c r="P22" s="1042"/>
    </row>
    <row r="23" ht="18" customHeight="1">
      <c r="A23" s="1045"/>
      <c r="B23" s="524"/>
      <c r="C23" t="s" s="513">
        <f>IF(LEFT(RIGHT($B$1,2),1)=" ",RIGHT($B$1,1),RIGHT($B$1,2))</f>
        <v>267</v>
      </c>
      <c r="D23" s="514">
        <f>IF(LEFT(F23,14)="Bonne pratique",D22+1,D22)</f>
        <v>2</v>
      </c>
      <c r="E23" t="s" s="558">
        <f>C23&amp;D23&amp;RIGHT(F23,1)</f>
        <v>1784</v>
      </c>
      <c r="F23" s="524"/>
      <c r="G23" s="524"/>
      <c r="H23" s="524"/>
      <c r="I23" s="525"/>
      <c r="J23" t="s" s="526">
        <v>1575</v>
      </c>
      <c r="K23" s="525"/>
      <c r="L23" s="524"/>
      <c r="M23" s="524"/>
      <c r="N23" s="524"/>
      <c r="O23" s="524"/>
      <c r="P23" s="1046"/>
    </row>
    <row r="24" ht="18" customHeight="1">
      <c r="A24" s="1039"/>
      <c r="B24" s="61"/>
      <c r="C24" t="s" s="513">
        <f>IF(LEFT(RIGHT($B$1,2),1)=" ",RIGHT($B$1,1),RIGHT($B$1,2))</f>
        <v>267</v>
      </c>
      <c r="D24" s="514">
        <f>IF(LEFT(F24,14)="Bonne pratique",D23+1,D23)</f>
        <v>2</v>
      </c>
      <c r="E24" t="s" s="558">
        <f>C24&amp;D24&amp;RIGHT(F24,1)</f>
        <v>1784</v>
      </c>
      <c r="F24" s="61"/>
      <c r="G24" s="61"/>
      <c r="H24" s="61"/>
      <c r="I24" s="61"/>
      <c r="J24" s="528"/>
      <c r="K24" s="61"/>
      <c r="L24" s="61"/>
      <c r="M24" s="529"/>
      <c r="N24" s="529"/>
      <c r="O24" s="61"/>
      <c r="P24" s="1042"/>
    </row>
    <row r="25" ht="15" customHeight="1">
      <c r="A25" s="1039"/>
      <c r="B25" s="61"/>
      <c r="C25" t="s" s="513">
        <f>IF(LEFT(RIGHT($B$1,2),1)=" ",RIGHT($B$1,1),RIGHT($B$1,2))</f>
        <v>267</v>
      </c>
      <c r="D25" s="514">
        <f>IF(LEFT(F25,14)="Bonne pratique",D24+1,D24)</f>
        <v>2</v>
      </c>
      <c r="E25" t="s" s="558">
        <f>C25&amp;D25&amp;RIGHT(F25,1)</f>
        <v>1784</v>
      </c>
      <c r="F25" s="61"/>
      <c r="G25" s="529"/>
      <c r="H25" s="529"/>
      <c r="I25" s="529"/>
      <c r="J25" s="530"/>
      <c r="K25" s="529"/>
      <c r="L25" s="542"/>
      <c r="M25" t="s" s="562">
        <v>1763</v>
      </c>
      <c r="N25" s="563"/>
      <c r="O25" s="534"/>
      <c r="P25" s="1042"/>
    </row>
    <row r="26" ht="33" customHeight="1">
      <c r="A26" s="1039"/>
      <c r="B26" s="61"/>
      <c r="C26" t="s" s="513">
        <f>IF(LEFT(RIGHT($B$1,2),1)=" ",RIGHT($B$1,1),RIGHT($B$1,2))</f>
        <v>267</v>
      </c>
      <c r="D26" s="514">
        <f>IF(LEFT(F26,14)="Bonne pratique",D25+1,D25)</f>
        <v>2</v>
      </c>
      <c r="E26" t="s" s="558">
        <f>C26&amp;D26&amp;RIGHT(F26,1)</f>
        <v>1784</v>
      </c>
      <c r="F26" s="564"/>
      <c r="G26" t="s" s="536">
        <v>244</v>
      </c>
      <c r="H26" t="s" s="536">
        <v>1764</v>
      </c>
      <c r="I26" t="s" s="536">
        <v>1787</v>
      </c>
      <c r="J26" t="s" s="536">
        <v>1765</v>
      </c>
      <c r="K26" t="s" s="536">
        <v>1788</v>
      </c>
      <c r="L26" s="538"/>
      <c r="M26" t="s" s="539">
        <v>1766</v>
      </c>
      <c r="N26" t="s" s="540">
        <v>1767</v>
      </c>
      <c r="O26" s="534"/>
      <c r="P26" s="1042"/>
    </row>
    <row r="27" ht="15" customHeight="1">
      <c r="A27" s="1039"/>
      <c r="B27" s="61"/>
      <c r="C27" t="s" s="513">
        <f>IF(LEFT(RIGHT($B$1,2),1)=" ",RIGHT($B$1,1),RIGHT($B$1,2))</f>
        <v>267</v>
      </c>
      <c r="D27" s="514">
        <f>IF(LEFT(F27,14)="Bonne pratique",D26+1,D26)</f>
        <v>2</v>
      </c>
      <c r="E27" t="s" s="558">
        <f>C27&amp;D27&amp;RIGHT(F27,1)</f>
        <v>1784</v>
      </c>
      <c r="F27" s="529"/>
      <c r="G27" s="541"/>
      <c r="H27" s="541"/>
      <c r="I27" s="541"/>
      <c r="J27" s="541"/>
      <c r="K27" s="541"/>
      <c r="L27" s="61"/>
      <c r="M27" s="541"/>
      <c r="N27" s="541"/>
      <c r="O27" s="61"/>
      <c r="P27" s="1042"/>
    </row>
    <row r="28" ht="130.05" customHeight="1">
      <c r="A28" s="1039"/>
      <c r="B28" s="542"/>
      <c r="C28" t="s" s="543">
        <f>IF(LEFT(RIGHT($B$1,2),1)=" ",RIGHT($B$1,1),RIGHT($B$1,2))</f>
        <v>267</v>
      </c>
      <c r="D28" s="544">
        <f>IF(LEFT(F28,14)="Bonne pratique",D27+1,D27)</f>
        <v>2</v>
      </c>
      <c r="E28" t="s" s="545">
        <f>C28&amp;D28&amp;RIGHT(F28,1)</f>
        <v>2494</v>
      </c>
      <c r="F28" t="s" s="546">
        <v>1769</v>
      </c>
      <c r="G28" t="s" s="547">
        <f>_xlfn.IFERROR(IF(VLOOKUP($E28,'BDD'!$A$1:$S$567,MATCH(G$10,'BDD'!$A$1:$P$1,0),FALSE)=0,"",VLOOKUP($E28,'BDD'!$A$1:$S$567,MATCH(G$10,'BDD'!$A$1:$P$1,0),FALSE)),"")</f>
        <v>1577</v>
      </c>
      <c r="H28" t="s" s="548">
        <f>IF(VLOOKUP(E28,'BDD'!$A$1:$S$567,15,FALSE)=0,"Critère non évalué","")</f>
        <v>1770</v>
      </c>
      <c r="I28" t="s" s="546">
        <f>_xlfn.IFERROR(IF(VLOOKUP($E28,'BDD'!$A$1:$S$567,MATCH(I$10,'BDD'!$A$1:$P$1,0),FALSE)=0,"",VLOOKUP($E28,'BDD'!$A$1:$S$567,MATCH(I$10,'BDD'!$A$1:$P$1,0),FALSE)),"")</f>
        <v>283</v>
      </c>
      <c r="J28" s="549"/>
      <c r="K28" t="s" s="547">
        <f>_xlfn.IFERROR(IF(VLOOKUP($E28,'BDD'!$A$1:$S$567,MATCH(K$10,'BDD'!$A$1:$P$1,0),FALSE)=0,"",VLOOKUP($E28,'BDD'!$A$1:$S$567,MATCH(K$10,'BDD'!$A$1:$P$1,0),FALSE)),"")</f>
        <v>1578</v>
      </c>
      <c r="L28" s="550"/>
      <c r="M28" s="551"/>
      <c r="N28" s="551"/>
      <c r="O28" s="534"/>
      <c r="P28" s="1042"/>
    </row>
    <row r="29" ht="130.05" customHeight="1">
      <c r="A29" s="1039"/>
      <c r="B29" s="542"/>
      <c r="C29" t="s" s="543">
        <f>IF(LEFT(RIGHT($B$1,2),1)=" ",RIGHT($B$1,1),RIGHT($B$1,2))</f>
        <v>267</v>
      </c>
      <c r="D29" s="544">
        <f>IF(LEFT(F29,14)="Bonne pratique",D28+1,D28)</f>
        <v>2</v>
      </c>
      <c r="E29" t="s" s="545">
        <f>C29&amp;D29&amp;RIGHT(F29,1)</f>
        <v>2493</v>
      </c>
      <c r="F29" t="s" s="552">
        <v>1772</v>
      </c>
      <c r="G29" t="s" s="540">
        <f>_xlfn.IFERROR(IF(VLOOKUP($E29,'BDD'!$A$1:$S$567,MATCH(G$10,'BDD'!$A$1:$P$1,0),FALSE)=0,"",VLOOKUP($E29,'BDD'!$A$1:$S$567,MATCH(G$10,'BDD'!$A$1:$P$1,0),FALSE)),"")</f>
        <v>1580</v>
      </c>
      <c r="H29" t="s" s="553">
        <f>IF(VLOOKUP(E29,'BDD'!$A$1:$S$567,15,FALSE)=0,"Critère non évalué","")</f>
        <v>1770</v>
      </c>
      <c r="I29" t="s" s="552">
        <f>_xlfn.IFERROR(IF(VLOOKUP($E29,'BDD'!$A$1:$S$567,MATCH(I$10,'BDD'!$A$1:$P$1,0),FALSE)=0,"",VLOOKUP($E29,'BDD'!$A$1:$S$567,MATCH(I$10,'BDD'!$A$1:$P$1,0),FALSE)),"")</f>
        <v>263</v>
      </c>
      <c r="J29" s="554"/>
      <c r="K29" t="s" s="540">
        <f>_xlfn.IFERROR(IF(VLOOKUP($E29,'BDD'!$A$1:$S$567,MATCH(K$10,'BDD'!$A$1:$P$1,0),FALSE)=0,"",VLOOKUP($E29,'BDD'!$A$1:$S$567,MATCH(K$10,'BDD'!$A$1:$P$1,0),FALSE)),"")</f>
        <v>1581</v>
      </c>
      <c r="L29" s="550"/>
      <c r="M29" s="555"/>
      <c r="N29" s="555"/>
      <c r="O29" s="534"/>
      <c r="P29" s="1042"/>
    </row>
    <row r="30" ht="130.05" customHeight="1">
      <c r="A30" s="1039"/>
      <c r="B30" s="542"/>
      <c r="C30" t="s" s="543">
        <f>IF(LEFT(RIGHT($B$1,2),1)=" ",RIGHT($B$1,1),RIGHT($B$1,2))</f>
        <v>267</v>
      </c>
      <c r="D30" s="544">
        <f>IF(LEFT(F30,14)="Bonne pratique",D29+1,D29)</f>
        <v>2</v>
      </c>
      <c r="E30" t="s" s="545">
        <f>C30&amp;D30&amp;RIGHT(F30,1)</f>
        <v>2495</v>
      </c>
      <c r="F30" t="s" s="546">
        <v>1774</v>
      </c>
      <c r="G30" t="s" s="547">
        <f>_xlfn.IFERROR(IF(VLOOKUP($E30,'BDD'!$A$1:$S$567,MATCH(G$10,'BDD'!$A$1:$P$1,0),FALSE)=0,"",VLOOKUP($E30,'BDD'!$A$1:$S$567,MATCH(G$10,'BDD'!$A$1:$P$1,0),FALSE)),"")</f>
        <v>1583</v>
      </c>
      <c r="H30" t="s" s="548">
        <f>IF(VLOOKUP(E30,'BDD'!$A$1:$S$567,15,FALSE)=0,"Critère non évalué","")</f>
        <v>1770</v>
      </c>
      <c r="I30" t="s" s="546">
        <f>_xlfn.IFERROR(IF(VLOOKUP($E30,'BDD'!$A$1:$S$567,MATCH(I$10,'BDD'!$A$1:$P$1,0),FALSE)=0,"",VLOOKUP($E30,'BDD'!$A$1:$S$567,MATCH(I$10,'BDD'!$A$1:$P$1,0),FALSE)),"")</f>
        <v>263</v>
      </c>
      <c r="J30" s="549"/>
      <c r="K30" t="s" s="547">
        <f>_xlfn.IFERROR(IF(VLOOKUP($E30,'BDD'!$A$1:$S$567,MATCH(K$10,'BDD'!$A$1:$P$1,0),FALSE)=0,"",VLOOKUP($E30,'BDD'!$A$1:$S$567,MATCH(K$10,'BDD'!$A$1:$P$1,0),FALSE)),"")</f>
        <v>1584</v>
      </c>
      <c r="L30" s="550"/>
      <c r="M30" s="551"/>
      <c r="N30" s="551"/>
      <c r="O30" s="534"/>
      <c r="P30" s="1042"/>
    </row>
    <row r="31" ht="130.05" customHeight="1">
      <c r="A31" s="1039"/>
      <c r="B31" s="542"/>
      <c r="C31" t="s" s="543">
        <f>IF(LEFT(RIGHT($B$1,2),1)=" ",RIGHT($B$1,1),RIGHT($B$1,2))</f>
        <v>267</v>
      </c>
      <c r="D31" s="544">
        <f>IF(LEFT(F31,14)="Bonne pratique",D30+1,D30)</f>
        <v>2</v>
      </c>
      <c r="E31" t="s" s="545">
        <f>C31&amp;D31&amp;RIGHT(F31,1)</f>
        <v>2496</v>
      </c>
      <c r="F31" t="s" s="552">
        <v>1776</v>
      </c>
      <c r="G31" t="s" s="540">
        <f>_xlfn.IFERROR(IF(VLOOKUP($E31,'BDD'!$A$1:$S$567,MATCH(G$10,'BDD'!$A$1:$P$1,0),FALSE)=0,"",VLOOKUP($E31,'BDD'!$A$1:$S$567,MATCH(G$10,'BDD'!$A$1:$P$1,0),FALSE)),"")</f>
        <v>1586</v>
      </c>
      <c r="H31" t="s" s="553">
        <f>IF(VLOOKUP(E31,'BDD'!$A$1:$S$567,15,FALSE)=0,"Critère non évalué","")</f>
        <v>1770</v>
      </c>
      <c r="I31" t="s" s="552">
        <f>_xlfn.IFERROR(IF(VLOOKUP($E31,'BDD'!$A$1:$S$567,MATCH(I$10,'BDD'!$A$1:$P$1,0),FALSE)=0,"",VLOOKUP($E31,'BDD'!$A$1:$S$567,MATCH(I$10,'BDD'!$A$1:$P$1,0),FALSE)),"")</f>
        <v>291</v>
      </c>
      <c r="J31" s="556"/>
      <c r="K31" t="s" s="540">
        <f>_xlfn.IFERROR(IF(VLOOKUP($E31,'BDD'!$A$1:$S$567,MATCH(K$10,'BDD'!$A$1:$P$1,0),FALSE)=0,"",VLOOKUP($E31,'BDD'!$A$1:$S$567,MATCH(K$10,'BDD'!$A$1:$P$1,0),FALSE)),"")</f>
        <v>1587</v>
      </c>
      <c r="L31" s="550"/>
      <c r="M31" s="555"/>
      <c r="N31" s="555"/>
      <c r="O31" s="534"/>
      <c r="P31" s="1042"/>
    </row>
    <row r="32" ht="130.05" customHeight="1">
      <c r="A32" s="1039"/>
      <c r="B32" s="542"/>
      <c r="C32" t="s" s="543">
        <f>IF(LEFT(RIGHT($B$1,2),1)=" ",RIGHT($B$1,1),RIGHT($B$1,2))</f>
        <v>267</v>
      </c>
      <c r="D32" s="544">
        <f>IF(LEFT(F32,14)="Bonne pratique",D31+1,D31)</f>
        <v>2</v>
      </c>
      <c r="E32" t="s" s="545">
        <f>C32&amp;D32&amp;RIGHT(F32,1)</f>
        <v>2497</v>
      </c>
      <c r="F32" t="s" s="546">
        <v>1778</v>
      </c>
      <c r="G32" t="s" s="547">
        <f>_xlfn.IFERROR(IF(VLOOKUP($E32,'BDD'!$A$1:$S$567,MATCH(G$10,'BDD'!$A$1:$P$1,0),FALSE)=0,"",VLOOKUP($E32,'BDD'!$A$1:$S$567,MATCH(G$10,'BDD'!$A$1:$P$1,0),FALSE)),"")</f>
        <v>1589</v>
      </c>
      <c r="H32" t="s" s="548">
        <f>IF(VLOOKUP(E32,'BDD'!$A$1:$S$567,15,FALSE)=0,"Critère non évalué","")</f>
        <v>1770</v>
      </c>
      <c r="I32" t="s" s="546">
        <f>_xlfn.IFERROR(IF(VLOOKUP($E32,'BDD'!$A$1:$S$567,MATCH(I$10,'BDD'!$A$1:$P$1,0),FALSE)=0,"",VLOOKUP($E32,'BDD'!$A$1:$S$567,MATCH(I$10,'BDD'!$A$1:$P$1,0),FALSE)),"")</f>
        <v>256</v>
      </c>
      <c r="J32" s="549"/>
      <c r="K32" t="s" s="547">
        <f>_xlfn.IFERROR(IF(VLOOKUP($E32,'BDD'!$A$1:$S$567,MATCH(K$10,'BDD'!$A$1:$P$1,0),FALSE)=0,"",VLOOKUP($E32,'BDD'!$A$1:$S$567,MATCH(K$10,'BDD'!$A$1:$P$1,0),FALSE)),"")</f>
        <v>1590</v>
      </c>
      <c r="L32" s="550"/>
      <c r="M32" s="557"/>
      <c r="N32" s="557"/>
      <c r="O32" s="534"/>
      <c r="P32" s="1042"/>
    </row>
    <row r="33" ht="130.05" customHeight="1">
      <c r="A33" s="1039"/>
      <c r="B33" s="542"/>
      <c r="C33" t="s" s="543">
        <f>IF(LEFT(RIGHT($B$1,2),1)=" ",RIGHT($B$1,1),RIGHT($B$1,2))</f>
        <v>267</v>
      </c>
      <c r="D33" s="544">
        <f>IF(LEFT(F33,14)="Bonne pratique",D32+1,D32)</f>
        <v>2</v>
      </c>
      <c r="E33" t="s" s="545">
        <f>C33&amp;D33&amp;RIGHT(F33,1)</f>
        <v>2498</v>
      </c>
      <c r="F33" t="s" s="552">
        <v>1780</v>
      </c>
      <c r="G33" t="s" s="540">
        <f>_xlfn.IFERROR(IF(VLOOKUP($E33,'BDD'!$A$1:$S$567,MATCH(G$10,'BDD'!$A$1:$P$1,0),FALSE)=0,"",VLOOKUP($E33,'BDD'!$A$1:$S$567,MATCH(G$10,'BDD'!$A$1:$P$1,0),FALSE)),"")</f>
      </c>
      <c r="H33" t="s" s="553">
        <f>IF(VLOOKUP(E33,'BDD'!$A$1:$S$567,15,FALSE)=0,"Critère non évalué","")</f>
      </c>
      <c r="I33" t="s" s="552">
        <f>_xlfn.IFERROR(IF(VLOOKUP($E33,'BDD'!$A$1:$S$567,MATCH(I$10,'BDD'!$A$1:$P$1,0),FALSE)=0,"",VLOOKUP($E33,'BDD'!$A$1:$S$567,MATCH(I$10,'BDD'!$A$1:$P$1,0),FALSE)),"")</f>
      </c>
      <c r="J33" s="554"/>
      <c r="K33" t="s" s="540">
        <f>_xlfn.IFERROR(IF(VLOOKUP($E33,'BDD'!$A$1:$S$567,MATCH(K$10,'BDD'!$A$1:$P$1,0),FALSE)=0,"",VLOOKUP($E33,'BDD'!$A$1:$S$567,MATCH(K$10,'BDD'!$A$1:$P$1,0),FALSE)),"")</f>
      </c>
      <c r="L33" s="550"/>
      <c r="M33" s="555"/>
      <c r="N33" s="555"/>
      <c r="O33" s="534"/>
      <c r="P33" s="1042"/>
    </row>
    <row r="34" ht="130.05" customHeight="1">
      <c r="A34" s="1039"/>
      <c r="B34" s="542"/>
      <c r="C34" t="s" s="543">
        <f>IF(LEFT(RIGHT($B$1,2),1)=" ",RIGHT($B$1,1),RIGHT($B$1,2))</f>
        <v>267</v>
      </c>
      <c r="D34" s="544">
        <f>IF(LEFT(F34,14)="Bonne pratique",D33+1,D33)</f>
        <v>2</v>
      </c>
      <c r="E34" t="s" s="545">
        <f>C34&amp;D34&amp;RIGHT(F34,1)</f>
        <v>2499</v>
      </c>
      <c r="F34" t="s" s="546">
        <v>1782</v>
      </c>
      <c r="G34" t="s" s="547">
        <f>_xlfn.IFERROR(IF(VLOOKUP($E34,'BDD'!$A$1:$S$567,MATCH(G$10,'BDD'!$A$1:$P$1,0),FALSE)=0,"",VLOOKUP($E34,'BDD'!$A$1:$S$567,MATCH(G$10,'BDD'!$A$1:$P$1,0),FALSE)),"")</f>
      </c>
      <c r="H34" t="s" s="548">
        <f>IF(VLOOKUP(E34,'BDD'!$A$1:$S$567,15,FALSE)=0,"Critère non évalué","")</f>
      </c>
      <c r="I34" t="s" s="546">
        <f>_xlfn.IFERROR(IF(VLOOKUP($E34,'BDD'!$A$1:$S$567,MATCH(I$10,'BDD'!$A$1:$P$1,0),FALSE)=0,"",VLOOKUP($E34,'BDD'!$A$1:$S$567,MATCH(I$10,'BDD'!$A$1:$P$1,0),FALSE)),"")</f>
      </c>
      <c r="J34" s="549"/>
      <c r="K34" t="s" s="547">
        <f>_xlfn.IFERROR(IF(VLOOKUP($E34,'BDD'!$A$1:$S$567,MATCH(K$10,'BDD'!$A$1:$P$1,0),FALSE)=0,"",VLOOKUP($E34,'BDD'!$A$1:$S$567,MATCH(K$10,'BDD'!$A$1:$P$1,0),FALSE)),"")</f>
      </c>
      <c r="L34" s="550"/>
      <c r="M34" s="557"/>
      <c r="N34" s="557"/>
      <c r="O34" s="534"/>
      <c r="P34" s="1042"/>
    </row>
    <row r="35" ht="18" customHeight="1">
      <c r="A35" s="1039"/>
      <c r="B35" s="61"/>
      <c r="C35" t="s" s="513">
        <f>IF(LEFT(RIGHT($B$1,2),1)=" ",RIGHT($B$1,1),RIGHT($B$1,2))</f>
        <v>267</v>
      </c>
      <c r="D35" s="514">
        <f>IF(LEFT(F35,14)="Bonne pratique",D34+1,D34)</f>
        <v>2</v>
      </c>
      <c r="E35" t="s" s="558">
        <f>C35&amp;D35&amp;RIGHT(F35,1)</f>
        <v>1784</v>
      </c>
      <c r="F35" s="559"/>
      <c r="G35" t="s" s="560">
        <f>IF('Suppl'!B96=2,"Le vecteur n'est pas utilisé","")</f>
      </c>
      <c r="H35" s="561"/>
      <c r="I35" s="559"/>
      <c r="J35" s="561"/>
      <c r="K35" s="561"/>
      <c r="L35" s="510"/>
      <c r="M35" s="559"/>
      <c r="N35" s="559"/>
      <c r="O35" s="61"/>
      <c r="P35" s="1042"/>
    </row>
    <row r="36" ht="15" customHeight="1">
      <c r="A36" s="1039"/>
      <c r="B36" s="61"/>
      <c r="C36" t="s" s="513">
        <f>IF(LEFT(RIGHT($B$1,2),1)=" ",RIGHT($B$1,1),RIGHT($B$1,2))</f>
        <v>267</v>
      </c>
      <c r="D36" s="514">
        <f>IF(LEFT(F36,14)="Bonne pratique",D35+1,D35)</f>
        <v>2</v>
      </c>
      <c r="E36" t="s" s="558">
        <f>C36&amp;D36&amp;RIGHT(F36,1)</f>
        <v>1784</v>
      </c>
      <c r="F36" s="61"/>
      <c r="G36" s="61"/>
      <c r="H36" s="61"/>
      <c r="I36" s="61"/>
      <c r="J36" s="61"/>
      <c r="K36" s="61"/>
      <c r="L36" s="61"/>
      <c r="M36" s="61"/>
      <c r="N36" s="61"/>
      <c r="O36" s="61"/>
      <c r="P36" s="1042"/>
    </row>
    <row r="37" ht="30" customHeight="1">
      <c r="A37" s="1043"/>
      <c r="B37" s="512"/>
      <c r="C37" t="s" s="513">
        <f>IF(LEFT(RIGHT($B$1,2),1)=" ",RIGHT($B$1,1),RIGHT($B$1,2))</f>
        <v>267</v>
      </c>
      <c r="D37" s="514">
        <f>IF(LEFT(F37,14)="Bonne pratique",D36+1,D36)</f>
        <v>3</v>
      </c>
      <c r="E37" t="s" s="558">
        <f>C37&amp;D37&amp;RIGHT(F37,1)</f>
        <v>2500</v>
      </c>
      <c r="F37" t="s" s="516">
        <v>1797</v>
      </c>
      <c r="G37" s="517"/>
      <c r="H37" s="518"/>
      <c r="I37" s="519"/>
      <c r="J37" t="s" s="520">
        <f>VLOOKUP(E44,'BDD'!$A$2:$N$567,6,FALSE)</f>
        <v>1593</v>
      </c>
      <c r="K37" s="521"/>
      <c r="L37" s="517"/>
      <c r="M37" s="517"/>
      <c r="N37" s="517"/>
      <c r="O37" s="512"/>
      <c r="P37" s="1044"/>
    </row>
    <row r="38" ht="15" customHeight="1">
      <c r="A38" s="1039"/>
      <c r="B38" s="61"/>
      <c r="C38" t="s" s="513">
        <f>IF(LEFT(RIGHT($B$1,2),1)=" ",RIGHT($B$1,1),RIGHT($B$1,2))</f>
        <v>267</v>
      </c>
      <c r="D38" s="514">
        <f>IF(LEFT(F38,14)="Bonne pratique",D37+1,D37)</f>
        <v>3</v>
      </c>
      <c r="E38" t="s" s="558">
        <f>C38&amp;D38&amp;RIGHT(F38,1)</f>
        <v>1790</v>
      </c>
      <c r="F38" s="61"/>
      <c r="G38" s="61"/>
      <c r="H38" s="61"/>
      <c r="I38" s="61"/>
      <c r="J38" s="61"/>
      <c r="K38" s="61"/>
      <c r="L38" s="61"/>
      <c r="M38" s="61"/>
      <c r="N38" s="61"/>
      <c r="O38" s="61"/>
      <c r="P38" s="1042"/>
    </row>
    <row r="39" ht="18" customHeight="1">
      <c r="A39" s="1045"/>
      <c r="B39" s="524"/>
      <c r="C39" t="s" s="513">
        <f>IF(LEFT(RIGHT($B$1,2),1)=" ",RIGHT($B$1,1),RIGHT($B$1,2))</f>
        <v>267</v>
      </c>
      <c r="D39" s="514">
        <f>IF(LEFT(F39,14)="Bonne pratique",D38+1,D38)</f>
        <v>3</v>
      </c>
      <c r="E39" t="s" s="558">
        <f>C39&amp;D39&amp;RIGHT(F39,1)</f>
        <v>1790</v>
      </c>
      <c r="F39" s="524"/>
      <c r="G39" s="524"/>
      <c r="H39" s="524"/>
      <c r="I39" s="525"/>
      <c r="J39" t="s" s="526">
        <v>2584</v>
      </c>
      <c r="K39" s="525"/>
      <c r="L39" s="524"/>
      <c r="M39" s="524"/>
      <c r="N39" s="524"/>
      <c r="O39" s="524"/>
      <c r="P39" s="1046"/>
    </row>
    <row r="40" ht="18" customHeight="1">
      <c r="A40" s="1039"/>
      <c r="B40" s="61"/>
      <c r="C40" t="s" s="513">
        <f>IF(LEFT(RIGHT($B$1,2),1)=" ",RIGHT($B$1,1),RIGHT($B$1,2))</f>
        <v>267</v>
      </c>
      <c r="D40" s="514">
        <f>IF(LEFT(F40,14)="Bonne pratique",D39+1,D39)</f>
        <v>3</v>
      </c>
      <c r="E40" t="s" s="558">
        <f>C40&amp;D40&amp;RIGHT(F40,1)</f>
        <v>1790</v>
      </c>
      <c r="F40" s="61"/>
      <c r="G40" s="61"/>
      <c r="H40" s="61"/>
      <c r="I40" s="61"/>
      <c r="J40" t="s" s="526">
        <v>2585</v>
      </c>
      <c r="K40" s="61"/>
      <c r="L40" s="61"/>
      <c r="M40" s="529"/>
      <c r="N40" s="529"/>
      <c r="O40" s="61"/>
      <c r="P40" s="1042"/>
    </row>
    <row r="41" ht="15" customHeight="1">
      <c r="A41" s="1039"/>
      <c r="B41" s="61"/>
      <c r="C41" t="s" s="513">
        <f>IF(LEFT(RIGHT($B$1,2),1)=" ",RIGHT($B$1,1),RIGHT($B$1,2))</f>
        <v>267</v>
      </c>
      <c r="D41" s="514">
        <f>IF(LEFT(F41,14)="Bonne pratique",D40+1,D40)</f>
        <v>3</v>
      </c>
      <c r="E41" t="s" s="558">
        <f>C41&amp;D41&amp;RIGHT(F41,1)</f>
        <v>1790</v>
      </c>
      <c r="F41" s="61"/>
      <c r="G41" s="529"/>
      <c r="H41" s="529"/>
      <c r="I41" s="529"/>
      <c r="J41" s="530"/>
      <c r="K41" s="529"/>
      <c r="L41" s="542"/>
      <c r="M41" t="s" s="562">
        <v>1763</v>
      </c>
      <c r="N41" s="563"/>
      <c r="O41" s="534"/>
      <c r="P41" s="1042"/>
    </row>
    <row r="42" ht="33" customHeight="1">
      <c r="A42" s="1039"/>
      <c r="B42" s="61"/>
      <c r="C42" t="s" s="513">
        <f>IF(LEFT(RIGHT($B$1,2),1)=" ",RIGHT($B$1,1),RIGHT($B$1,2))</f>
        <v>267</v>
      </c>
      <c r="D42" s="514">
        <f>IF(LEFT(F42,14)="Bonne pratique",D41+1,D41)</f>
        <v>3</v>
      </c>
      <c r="E42" t="s" s="558">
        <f>C42&amp;D42&amp;RIGHT(F42,1)</f>
        <v>1790</v>
      </c>
      <c r="F42" s="535"/>
      <c r="G42" t="s" s="536">
        <v>244</v>
      </c>
      <c r="H42" t="s" s="536">
        <v>1764</v>
      </c>
      <c r="I42" t="s" s="536">
        <v>1787</v>
      </c>
      <c r="J42" t="s" s="536">
        <v>1765</v>
      </c>
      <c r="K42" t="s" s="536">
        <v>1788</v>
      </c>
      <c r="L42" s="538"/>
      <c r="M42" t="s" s="539">
        <v>1766</v>
      </c>
      <c r="N42" t="s" s="540">
        <v>1767</v>
      </c>
      <c r="O42" s="534"/>
      <c r="P42" s="1042"/>
    </row>
    <row r="43" ht="15" customHeight="1">
      <c r="A43" s="1039"/>
      <c r="B43" s="61"/>
      <c r="C43" t="s" s="513">
        <f>IF(LEFT(RIGHT($B$1,2),1)=" ",RIGHT($B$1,1),RIGHT($B$1,2))</f>
        <v>267</v>
      </c>
      <c r="D43" s="514">
        <f>IF(LEFT(F43,14)="Bonne pratique",D42+1,D42)</f>
        <v>3</v>
      </c>
      <c r="E43" t="s" s="558">
        <f>C43&amp;D43&amp;RIGHT(F43,1)</f>
        <v>1790</v>
      </c>
      <c r="F43" s="529"/>
      <c r="G43" s="541"/>
      <c r="H43" s="541"/>
      <c r="I43" s="541"/>
      <c r="J43" s="541"/>
      <c r="K43" s="541"/>
      <c r="L43" s="61"/>
      <c r="M43" s="541"/>
      <c r="N43" s="541"/>
      <c r="O43" s="61"/>
      <c r="P43" s="1042"/>
    </row>
    <row r="44" ht="130.05" customHeight="1">
      <c r="A44" s="1039"/>
      <c r="B44" s="542"/>
      <c r="C44" t="s" s="543">
        <f>IF(LEFT(RIGHT($B$1,2),1)=" ",RIGHT($B$1,1),RIGHT($B$1,2))</f>
        <v>267</v>
      </c>
      <c r="D44" s="544">
        <f>IF(LEFT(F44,14)="Bonne pratique",D43+1,D43)</f>
        <v>3</v>
      </c>
      <c r="E44" t="s" s="545">
        <f>C44&amp;D44&amp;RIGHT(F44,1)</f>
        <v>2503</v>
      </c>
      <c r="F44" t="s" s="546">
        <v>1769</v>
      </c>
      <c r="G44" t="s" s="547">
        <f>_xlfn.IFERROR(IF(VLOOKUP($E44,'BDD'!$A$1:$S$567,MATCH(G$10,'BDD'!$A$1:$P$1,0),FALSE)=0,"",VLOOKUP($E44,'BDD'!$A$1:$S$567,MATCH(G$10,'BDD'!$A$1:$P$1,0),FALSE)),"")</f>
        <v>1595</v>
      </c>
      <c r="H44" t="s" s="548">
        <f>IF(VLOOKUP(E44,'BDD'!$A$1:$S$567,15,FALSE)=0,"Critère non évalué","")</f>
        <v>1770</v>
      </c>
      <c r="I44" t="s" s="546">
        <f>_xlfn.IFERROR(IF(VLOOKUP($E44,'BDD'!$A$1:$S$567,MATCH(I$10,'BDD'!$A$1:$P$1,0),FALSE)=0,"",VLOOKUP($E44,'BDD'!$A$1:$S$567,MATCH(I$10,'BDD'!$A$1:$P$1,0),FALSE)),"")</f>
        <v>283</v>
      </c>
      <c r="J44" s="549"/>
      <c r="K44" t="s" s="547">
        <f>_xlfn.IFERROR(IF(VLOOKUP($E44,'BDD'!$A$1:$S$567,MATCH(K$10,'BDD'!$A$1:$P$1,0),FALSE)=0,"",VLOOKUP($E44,'BDD'!$A$1:$S$567,MATCH(K$10,'BDD'!$A$1:$P$1,0),FALSE)),"")</f>
      </c>
      <c r="L44" s="550"/>
      <c r="M44" s="551"/>
      <c r="N44" s="551"/>
      <c r="O44" s="534"/>
      <c r="P44" s="1042"/>
    </row>
    <row r="45" ht="150" customHeight="1">
      <c r="A45" s="1039"/>
      <c r="B45" s="542"/>
      <c r="C45" t="s" s="543">
        <f>IF(LEFT(RIGHT($B$1,2),1)=" ",RIGHT($B$1,1),RIGHT($B$1,2))</f>
        <v>267</v>
      </c>
      <c r="D45" s="544">
        <f>IF(LEFT(F45,14)="Bonne pratique",D44+1,D44)</f>
        <v>3</v>
      </c>
      <c r="E45" t="s" s="545">
        <f>C45&amp;D45&amp;RIGHT(F45,1)</f>
        <v>2504</v>
      </c>
      <c r="F45" t="s" s="552">
        <v>1772</v>
      </c>
      <c r="G45" t="s" s="540">
        <f>_xlfn.IFERROR(IF(VLOOKUP($E45,'BDD'!$A$1:$S$567,MATCH(G$10,'BDD'!$A$1:$P$1,0),FALSE)=0,"",VLOOKUP($E45,'BDD'!$A$1:$S$567,MATCH(G$10,'BDD'!$A$1:$P$1,0),FALSE)),"")</f>
        <v>1597</v>
      </c>
      <c r="H45" t="s" s="553">
        <f>IF(VLOOKUP(E45,'BDD'!$A$1:$S$567,15,FALSE)=0,"Critère non évalué","")</f>
        <v>1770</v>
      </c>
      <c r="I45" t="s" s="552">
        <f>_xlfn.IFERROR(IF(VLOOKUP($E45,'BDD'!$A$1:$S$567,MATCH(I$10,'BDD'!$A$1:$P$1,0),FALSE)=0,"",VLOOKUP($E45,'BDD'!$A$1:$S$567,MATCH(I$10,'BDD'!$A$1:$P$1,0),FALSE)),"")</f>
        <v>283</v>
      </c>
      <c r="J45" s="554"/>
      <c r="K45" t="s" s="540">
        <f>_xlfn.IFERROR(IF(VLOOKUP($E45,'BDD'!$A$1:$S$567,MATCH(K$10,'BDD'!$A$1:$P$1,0),FALSE)=0,"",VLOOKUP($E45,'BDD'!$A$1:$S$567,MATCH(K$10,'BDD'!$A$1:$P$1,0),FALSE)),"")</f>
      </c>
      <c r="L45" s="550"/>
      <c r="M45" s="555"/>
      <c r="N45" s="555"/>
      <c r="O45" s="534"/>
      <c r="P45" s="1042"/>
    </row>
    <row r="46" ht="130.05" customHeight="1">
      <c r="A46" s="1039"/>
      <c r="B46" s="542"/>
      <c r="C46" t="s" s="543">
        <f>IF(LEFT(RIGHT($B$1,2),1)=" ",RIGHT($B$1,1),RIGHT($B$1,2))</f>
        <v>267</v>
      </c>
      <c r="D46" s="544">
        <f>IF(LEFT(F46,14)="Bonne pratique",D45+1,D45)</f>
        <v>3</v>
      </c>
      <c r="E46" t="s" s="545">
        <f>C46&amp;D46&amp;RIGHT(F46,1)</f>
        <v>2500</v>
      </c>
      <c r="F46" t="s" s="546">
        <v>1774</v>
      </c>
      <c r="G46" t="s" s="547">
        <f>_xlfn.IFERROR(IF(VLOOKUP($E46,'BDD'!$A$1:$S$567,MATCH(G$10,'BDD'!$A$1:$P$1,0),FALSE)=0,"",VLOOKUP($E46,'BDD'!$A$1:$S$567,MATCH(G$10,'BDD'!$A$1:$P$1,0),FALSE)),"")</f>
        <v>1599</v>
      </c>
      <c r="H46" t="s" s="548">
        <f>IF(VLOOKUP(E46,'BDD'!$A$1:$S$567,15,FALSE)=0,"Critère non évalué","")</f>
        <v>1770</v>
      </c>
      <c r="I46" t="s" s="546">
        <v>283</v>
      </c>
      <c r="J46" s="549"/>
      <c r="K46" t="s" s="547">
        <f>_xlfn.IFERROR(IF(VLOOKUP($E46,'BDD'!$A$1:$S$567,MATCH(K$10,'BDD'!$A$1:$P$1,0),FALSE)=0,"",VLOOKUP($E46,'BDD'!$A$1:$S$567,MATCH(K$10,'BDD'!$A$1:$P$1,0),FALSE)),"")</f>
        <v>1600</v>
      </c>
      <c r="L46" s="550"/>
      <c r="M46" s="551"/>
      <c r="N46" s="551"/>
      <c r="O46" s="534"/>
      <c r="P46" s="1042"/>
    </row>
    <row r="47" ht="120" customHeight="1">
      <c r="A47" s="1039"/>
      <c r="B47" s="542"/>
      <c r="C47" t="s" s="543">
        <f>IF(LEFT(RIGHT($B$1,2),1)=" ",RIGHT($B$1,1),RIGHT($B$1,2))</f>
        <v>267</v>
      </c>
      <c r="D47" s="544">
        <f>IF(LEFT(F47,14)="Bonne pratique",D46+1,D46)</f>
        <v>3</v>
      </c>
      <c r="E47" t="s" s="545">
        <f>C47&amp;D47&amp;RIGHT(F47,1)</f>
        <v>2505</v>
      </c>
      <c r="F47" t="s" s="552">
        <v>1776</v>
      </c>
      <c r="G47" t="s" s="540">
        <f>_xlfn.IFERROR(IF(VLOOKUP($E47,'BDD'!$A$1:$S$567,MATCH(G$10,'BDD'!$A$1:$P$1,0),FALSE)=0,"",VLOOKUP($E47,'BDD'!$A$1:$S$567,MATCH(G$10,'BDD'!$A$1:$P$1,0),FALSE)),"")</f>
        <v>1602</v>
      </c>
      <c r="H47" t="s" s="553">
        <f>IF(VLOOKUP(E47,'BDD'!$A$1:$S$567,15,FALSE)=0,"Critère non évalué","")</f>
        <v>1770</v>
      </c>
      <c r="I47" t="s" s="552">
        <v>256</v>
      </c>
      <c r="J47" s="556"/>
      <c r="K47" t="s" s="540">
        <f>_xlfn.IFERROR(IF(VLOOKUP($E47,'BDD'!$A$1:$S$567,MATCH(K$10,'BDD'!$A$1:$P$1,0),FALSE)=0,"",VLOOKUP($E47,'BDD'!$A$1:$S$567,MATCH(K$10,'BDD'!$A$1:$P$1,0),FALSE)),"")</f>
      </c>
      <c r="L47" s="550"/>
      <c r="M47" s="555"/>
      <c r="N47" s="555"/>
      <c r="O47" s="534"/>
      <c r="P47" s="1042"/>
    </row>
    <row r="48" ht="130.05" customHeight="1">
      <c r="A48" s="1039"/>
      <c r="B48" s="542"/>
      <c r="C48" t="s" s="543">
        <f>IF(LEFT(RIGHT($B$1,2),1)=" ",RIGHT($B$1,1),RIGHT($B$1,2))</f>
        <v>267</v>
      </c>
      <c r="D48" s="544">
        <f>IF(LEFT(F48,14)="Bonne pratique",D47+1,D47)</f>
        <v>3</v>
      </c>
      <c r="E48" t="s" s="545">
        <f>C48&amp;D48&amp;RIGHT(F48,1)</f>
        <v>2506</v>
      </c>
      <c r="F48" t="s" s="546">
        <v>1778</v>
      </c>
      <c r="G48" t="s" s="547">
        <f>_xlfn.IFERROR(IF(VLOOKUP($E48,'BDD'!$A$1:$S$567,MATCH(G$10,'BDD'!$A$1:$P$1,0),FALSE)=0,"",VLOOKUP($E48,'BDD'!$A$1:$S$567,MATCH(G$10,'BDD'!$A$1:$P$1,0),FALSE)),"")</f>
        <v>1604</v>
      </c>
      <c r="H48" t="s" s="548">
        <f>IF(VLOOKUP(E48,'BDD'!$A$1:$S$567,15,FALSE)=0,"Critère non évalué","")</f>
        <v>1770</v>
      </c>
      <c r="I48" t="s" s="546">
        <v>283</v>
      </c>
      <c r="J48" s="549"/>
      <c r="K48" t="s" s="547">
        <f>_xlfn.IFERROR(IF(VLOOKUP($E48,'BDD'!$A$1:$S$567,MATCH(K$10,'BDD'!$A$1:$P$1,0),FALSE)=0,"",VLOOKUP($E48,'BDD'!$A$1:$S$567,MATCH(K$10,'BDD'!$A$1:$P$1,0),FALSE)),"")</f>
        <v>1605</v>
      </c>
      <c r="L48" s="550"/>
      <c r="M48" s="551"/>
      <c r="N48" s="551"/>
      <c r="O48" s="534"/>
      <c r="P48" s="1042"/>
    </row>
    <row r="49" ht="120" customHeight="1">
      <c r="A49" s="1039"/>
      <c r="B49" s="542"/>
      <c r="C49" t="s" s="543">
        <f>IF(LEFT(RIGHT($B$1,2),1)=" ",RIGHT($B$1,1),RIGHT($B$1,2))</f>
        <v>267</v>
      </c>
      <c r="D49" s="544">
        <f>IF(LEFT(F49,14)="Bonne pratique",D48+1,D48)</f>
        <v>3</v>
      </c>
      <c r="E49" t="s" s="545">
        <f>C49&amp;D49&amp;RIGHT(F49,1)</f>
        <v>2507</v>
      </c>
      <c r="F49" t="s" s="552">
        <v>1780</v>
      </c>
      <c r="G49" t="s" s="540">
        <f>_xlfn.IFERROR(IF(VLOOKUP($E49,'BDD'!$A$1:$S$567,MATCH(G$10,'BDD'!$A$1:$P$1,0),FALSE)=0,"",VLOOKUP($E49,'BDD'!$A$1:$S$567,MATCH(G$10,'BDD'!$A$1:$P$1,0),FALSE)),"")</f>
        <v>1607</v>
      </c>
      <c r="H49" t="s" s="553">
        <f>IF(VLOOKUP(E49,'BDD'!$A$1:$S$567,15,FALSE)=0,"Critère non évalué","")</f>
        <v>1770</v>
      </c>
      <c r="I49" t="s" s="552">
        <v>256</v>
      </c>
      <c r="J49" s="556"/>
      <c r="K49" t="s" s="540">
        <f>_xlfn.IFERROR(IF(VLOOKUP($E49,'BDD'!$A$1:$S$567,MATCH(K$10,'BDD'!$A$1:$P$1,0),FALSE)=0,"",VLOOKUP($E49,'BDD'!$A$1:$S$567,MATCH(K$10,'BDD'!$A$1:$P$1,0),FALSE)),"")</f>
      </c>
      <c r="L49" s="550"/>
      <c r="M49" s="555"/>
      <c r="N49" s="555"/>
      <c r="O49" s="534"/>
      <c r="P49" s="1042"/>
    </row>
    <row r="50" ht="130.05" customHeight="1">
      <c r="A50" s="1039"/>
      <c r="B50" s="542"/>
      <c r="C50" t="s" s="543">
        <f>IF(LEFT(RIGHT($B$1,2),1)=" ",RIGHT($B$1,1),RIGHT($B$1,2))</f>
        <v>267</v>
      </c>
      <c r="D50" s="544">
        <f>IF(LEFT(F50,14)="Bonne pratique",D49+1,D49)</f>
        <v>3</v>
      </c>
      <c r="E50" t="s" s="545">
        <f>C50&amp;D50&amp;RIGHT(F50,1)</f>
        <v>2508</v>
      </c>
      <c r="F50" t="s" s="546">
        <v>1782</v>
      </c>
      <c r="G50" t="s" s="547">
        <f>_xlfn.IFERROR(IF(VLOOKUP($E50,'BDD'!$A$1:$S$567,MATCH(G$10,'BDD'!$A$1:$P$1,0),FALSE)=0,"",VLOOKUP($E50,'BDD'!$A$1:$S$567,MATCH(G$10,'BDD'!$A$1:$P$1,0),FALSE)),"")</f>
        <v>1609</v>
      </c>
      <c r="H50" t="s" s="548">
        <f>IF(VLOOKUP(E50,'BDD'!$A$1:$S$567,15,FALSE)=0,"Critère non évalué","")</f>
        <v>1770</v>
      </c>
      <c r="I50" t="s" s="546">
        <v>283</v>
      </c>
      <c r="J50" s="549"/>
      <c r="K50" t="s" s="547">
        <f>_xlfn.IFERROR(IF(VLOOKUP($E50,'BDD'!$A$1:$S$567,MATCH(K$10,'BDD'!$A$1:$P$1,0),FALSE)=0,"",VLOOKUP($E50,'BDD'!$A$1:$S$567,MATCH(K$10,'BDD'!$A$1:$P$1,0),FALSE)),"")</f>
        <v>1610</v>
      </c>
      <c r="L50" s="550"/>
      <c r="M50" s="551"/>
      <c r="N50" s="551"/>
      <c r="O50" s="534"/>
      <c r="P50" s="1042"/>
    </row>
    <row r="51" ht="18" customHeight="1">
      <c r="A51" s="1039"/>
      <c r="B51" s="61"/>
      <c r="C51" t="s" s="513">
        <f>IF(LEFT(RIGHT($B$1,2),1)=" ",RIGHT($B$1,1),RIGHT($B$1,2))</f>
        <v>267</v>
      </c>
      <c r="D51" s="61"/>
      <c r="E51" s="565"/>
      <c r="F51" s="559"/>
      <c r="G51" s="561"/>
      <c r="H51" s="561"/>
      <c r="I51" s="561"/>
      <c r="J51" s="561"/>
      <c r="K51" s="561"/>
      <c r="L51" s="510"/>
      <c r="M51" s="559"/>
      <c r="N51" s="559"/>
      <c r="O51" s="61"/>
      <c r="P51" s="1042"/>
    </row>
    <row r="52" ht="15" customHeight="1">
      <c r="A52" s="1039"/>
      <c r="B52" s="61"/>
      <c r="C52" t="s" s="513">
        <f>IF(LEFT(RIGHT($B$1,2),1)=" ",RIGHT($B$1,1),RIGHT($B$1,2))</f>
        <v>267</v>
      </c>
      <c r="D52" s="514">
        <f>IF(LEFT(F52,14)="Bonne pratique",D48+1,D48)</f>
        <v>3</v>
      </c>
      <c r="E52" t="s" s="558">
        <f>C52&amp;D52&amp;RIGHT(F52,1)</f>
        <v>1790</v>
      </c>
      <c r="F52" s="61"/>
      <c r="G52" s="61"/>
      <c r="H52" s="61"/>
      <c r="I52" s="61"/>
      <c r="J52" s="61"/>
      <c r="K52" s="61"/>
      <c r="L52" s="61"/>
      <c r="M52" s="61"/>
      <c r="N52" s="61"/>
      <c r="O52" s="61"/>
      <c r="P52" s="1042"/>
    </row>
    <row r="53" ht="30" customHeight="1">
      <c r="A53" s="1043"/>
      <c r="B53" s="512"/>
      <c r="C53" t="s" s="513">
        <f>IF(LEFT(RIGHT($B$1,2),1)=" ",RIGHT($B$1,1),RIGHT($B$1,2))</f>
        <v>267</v>
      </c>
      <c r="D53" s="514">
        <f>IF(LEFT(F53,14)="Bonne pratique",D52+1,D52)</f>
        <v>4</v>
      </c>
      <c r="E53" t="s" s="558">
        <f>C53&amp;D53&amp;RIGHT(F53,1)</f>
        <v>2509</v>
      </c>
      <c r="F53" t="s" s="516">
        <v>1806</v>
      </c>
      <c r="G53" s="517"/>
      <c r="H53" s="518"/>
      <c r="I53" s="519"/>
      <c r="J53" t="s" s="520">
        <f>VLOOKUP(E60,'BDD'!$A$2:$N$567,6,FALSE)</f>
        <v>1611</v>
      </c>
      <c r="K53" s="521"/>
      <c r="L53" s="517"/>
      <c r="M53" s="517"/>
      <c r="N53" s="517"/>
      <c r="O53" s="512"/>
      <c r="P53" s="1044"/>
    </row>
    <row r="54" ht="15" customHeight="1">
      <c r="A54" s="1039"/>
      <c r="B54" s="61"/>
      <c r="C54" t="s" s="513">
        <f>IF(LEFT(RIGHT($B$1,2),1)=" ",RIGHT($B$1,1),RIGHT($B$1,2))</f>
        <v>267</v>
      </c>
      <c r="D54" s="514">
        <f>IF(LEFT(F54,14)="Bonne pratique",D53+1,D53)</f>
        <v>4</v>
      </c>
      <c r="E54" t="s" s="558">
        <f>C54&amp;D54&amp;RIGHT(F54,1)</f>
        <v>1791</v>
      </c>
      <c r="F54" s="61"/>
      <c r="G54" s="61"/>
      <c r="H54" s="61"/>
      <c r="I54" s="61"/>
      <c r="J54" s="61"/>
      <c r="K54" s="61"/>
      <c r="L54" s="61"/>
      <c r="M54" s="61"/>
      <c r="N54" s="61"/>
      <c r="O54" s="61"/>
      <c r="P54" s="1042"/>
    </row>
    <row r="55" ht="18" customHeight="1">
      <c r="A55" s="1045"/>
      <c r="B55" s="524"/>
      <c r="C55" t="s" s="513">
        <f>IF(LEFT(RIGHT($B$1,2),1)=" ",RIGHT($B$1,1),RIGHT($B$1,2))</f>
        <v>267</v>
      </c>
      <c r="D55" s="514">
        <f>IF(LEFT(F55,14)="Bonne pratique",D54+1,D54)</f>
        <v>4</v>
      </c>
      <c r="E55" t="s" s="558">
        <f>C55&amp;D55&amp;RIGHT(F55,1)</f>
        <v>1791</v>
      </c>
      <c r="F55" s="524"/>
      <c r="G55" s="524"/>
      <c r="H55" s="524"/>
      <c r="I55" s="525"/>
      <c r="J55" t="s" s="526">
        <v>2586</v>
      </c>
      <c r="K55" s="525"/>
      <c r="L55" s="524"/>
      <c r="M55" s="524"/>
      <c r="N55" s="524"/>
      <c r="O55" s="524"/>
      <c r="P55" s="1046"/>
    </row>
    <row r="56" ht="18" customHeight="1">
      <c r="A56" s="1039"/>
      <c r="B56" s="61"/>
      <c r="C56" t="s" s="513">
        <f>IF(LEFT(RIGHT($B$1,2),1)=" ",RIGHT($B$1,1),RIGHT($B$1,2))</f>
        <v>267</v>
      </c>
      <c r="D56" s="514">
        <f>IF(LEFT(F56,14)="Bonne pratique",D55+1,D55)</f>
        <v>4</v>
      </c>
      <c r="E56" t="s" s="558">
        <f>C56&amp;D56&amp;RIGHT(F56,1)</f>
        <v>1791</v>
      </c>
      <c r="F56" s="61"/>
      <c r="G56" s="61"/>
      <c r="H56" s="61"/>
      <c r="I56" s="61"/>
      <c r="J56" t="s" s="526">
        <v>2587</v>
      </c>
      <c r="K56" s="61"/>
      <c r="L56" s="61"/>
      <c r="M56" s="529"/>
      <c r="N56" s="529"/>
      <c r="O56" s="61"/>
      <c r="P56" s="1042"/>
    </row>
    <row r="57" ht="15" customHeight="1">
      <c r="A57" s="1039"/>
      <c r="B57" s="61"/>
      <c r="C57" t="s" s="513">
        <f>IF(LEFT(RIGHT($B$1,2),1)=" ",RIGHT($B$1,1),RIGHT($B$1,2))</f>
        <v>267</v>
      </c>
      <c r="D57" s="514">
        <f>IF(LEFT(F57,14)="Bonne pratique",D56+1,D56)</f>
        <v>4</v>
      </c>
      <c r="E57" t="s" s="558">
        <f>C57&amp;D57&amp;RIGHT(F57,1)</f>
        <v>1791</v>
      </c>
      <c r="F57" s="61"/>
      <c r="G57" s="529"/>
      <c r="H57" s="529"/>
      <c r="I57" s="529"/>
      <c r="J57" s="530"/>
      <c r="K57" s="529"/>
      <c r="L57" s="542"/>
      <c r="M57" t="s" s="562">
        <v>1763</v>
      </c>
      <c r="N57" s="563"/>
      <c r="O57" s="534"/>
      <c r="P57" s="1042"/>
    </row>
    <row r="58" ht="33" customHeight="1">
      <c r="A58" s="1039"/>
      <c r="B58" s="61"/>
      <c r="C58" t="s" s="513">
        <f>IF(LEFT(RIGHT($B$1,2),1)=" ",RIGHT($B$1,1),RIGHT($B$1,2))</f>
        <v>267</v>
      </c>
      <c r="D58" s="514">
        <f>IF(LEFT(F58,14)="Bonne pratique",D57+1,D57)</f>
        <v>4</v>
      </c>
      <c r="E58" t="s" s="558">
        <f>C58&amp;D58&amp;RIGHT(F58,1)</f>
        <v>1791</v>
      </c>
      <c r="F58" s="535"/>
      <c r="G58" t="s" s="536">
        <v>244</v>
      </c>
      <c r="H58" t="s" s="536">
        <v>1764</v>
      </c>
      <c r="I58" t="s" s="536">
        <v>1787</v>
      </c>
      <c r="J58" t="s" s="536">
        <v>1765</v>
      </c>
      <c r="K58" t="s" s="536">
        <v>1788</v>
      </c>
      <c r="L58" s="538"/>
      <c r="M58" t="s" s="539">
        <v>1766</v>
      </c>
      <c r="N58" t="s" s="540">
        <v>1767</v>
      </c>
      <c r="O58" s="534"/>
      <c r="P58" s="1042"/>
    </row>
    <row r="59" ht="15" customHeight="1">
      <c r="A59" s="1039"/>
      <c r="B59" s="61"/>
      <c r="C59" t="s" s="513">
        <f>IF(LEFT(RIGHT($B$1,2),1)=" ",RIGHT($B$1,1),RIGHT($B$1,2))</f>
        <v>267</v>
      </c>
      <c r="D59" s="514">
        <f>IF(LEFT(F59,14)="Bonne pratique",D58+1,D58)</f>
        <v>4</v>
      </c>
      <c r="E59" t="s" s="558">
        <f>C59&amp;D59&amp;RIGHT(F59,1)</f>
        <v>1791</v>
      </c>
      <c r="F59" s="529"/>
      <c r="G59" s="541"/>
      <c r="H59" s="541"/>
      <c r="I59" s="541"/>
      <c r="J59" s="541"/>
      <c r="K59" s="541"/>
      <c r="L59" s="61"/>
      <c r="M59" s="541"/>
      <c r="N59" s="541"/>
      <c r="O59" s="61"/>
      <c r="P59" s="1042"/>
    </row>
    <row r="60" ht="130.05" customHeight="1">
      <c r="A60" s="1039"/>
      <c r="B60" s="542"/>
      <c r="C60" t="s" s="543">
        <f>IF(LEFT(RIGHT($B$1,2),1)=" ",RIGHT($B$1,1),RIGHT($B$1,2))</f>
        <v>267</v>
      </c>
      <c r="D60" s="544">
        <f>IF(LEFT(F60,14)="Bonne pratique",D59+1,D59)</f>
        <v>4</v>
      </c>
      <c r="E60" t="s" s="545">
        <f>C60&amp;D60&amp;RIGHT(F60,1)</f>
        <v>2512</v>
      </c>
      <c r="F60" t="s" s="546">
        <v>1769</v>
      </c>
      <c r="G60" t="s" s="547">
        <f>_xlfn.IFERROR(IF(VLOOKUP($E60,'BDD'!$A$1:$S$567,MATCH(G$10,'BDD'!$A$1:$P$1,0),FALSE)=0,"",VLOOKUP($E60,'BDD'!$A$1:$S$567,MATCH(G$10,'BDD'!$A$1:$P$1,0),FALSE)),"")</f>
        <v>1613</v>
      </c>
      <c r="H60" t="s" s="548">
        <f>IF(VLOOKUP(E60,'BDD'!$A$1:$S$567,15,FALSE)=0,"Critère non évalué","")</f>
        <v>1770</v>
      </c>
      <c r="I60" t="s" s="546">
        <f>_xlfn.IFERROR(IF(VLOOKUP($E60,'BDD'!$A$1:$S$567,MATCH(I$10,'BDD'!$A$1:$P$1,0),FALSE)=0,"",VLOOKUP($E60,'BDD'!$A$1:$S$567,MATCH(I$10,'BDD'!$A$1:$P$1,0),FALSE)),"")</f>
        <v>263</v>
      </c>
      <c r="J60" s="549"/>
      <c r="K60" t="s" s="547">
        <f>_xlfn.IFERROR(IF(VLOOKUP($E60,'BDD'!$A$1:$S$567,MATCH(K$10,'BDD'!$A$1:$P$1,0),FALSE)=0,"",VLOOKUP($E60,'BDD'!$A$1:$S$567,MATCH(K$10,'BDD'!$A$1:$P$1,0),FALSE)),"")</f>
        <v>1614</v>
      </c>
      <c r="L60" s="550"/>
      <c r="M60" s="551"/>
      <c r="N60" s="551"/>
      <c r="O60" s="534"/>
      <c r="P60" s="1042"/>
    </row>
    <row r="61" ht="130.05" customHeight="1">
      <c r="A61" s="1039"/>
      <c r="B61" s="542"/>
      <c r="C61" t="s" s="543">
        <f>IF(LEFT(RIGHT($B$1,2),1)=" ",RIGHT($B$1,1),RIGHT($B$1,2))</f>
        <v>267</v>
      </c>
      <c r="D61" s="544">
        <f>IF(LEFT(F61,14)="Bonne pratique",D60+1,D60)</f>
        <v>4</v>
      </c>
      <c r="E61" t="s" s="545">
        <f>C61&amp;D61&amp;RIGHT(F61,1)</f>
        <v>2513</v>
      </c>
      <c r="F61" t="s" s="552">
        <v>1772</v>
      </c>
      <c r="G61" t="s" s="540">
        <f>_xlfn.IFERROR(IF(VLOOKUP($E61,'BDD'!$A$1:$S$567,MATCH(G$10,'BDD'!$A$1:$P$1,0),FALSE)=0,"",VLOOKUP($E61,'BDD'!$A$1:$S$567,MATCH(G$10,'BDD'!$A$1:$P$1,0),FALSE)),"")</f>
        <v>1616</v>
      </c>
      <c r="H61" t="s" s="553">
        <f>IF(VLOOKUP(E61,'BDD'!$A$1:$S$567,15,FALSE)=0,"Critère non évalué","")</f>
        <v>1770</v>
      </c>
      <c r="I61" t="s" s="552">
        <f>_xlfn.IFERROR(IF(VLOOKUP($E61,'BDD'!$A$1:$S$567,MATCH(I$10,'BDD'!$A$1:$P$1,0),FALSE)=0,"",VLOOKUP($E61,'BDD'!$A$1:$S$567,MATCH(I$10,'BDD'!$A$1:$P$1,0),FALSE)),"")</f>
        <v>271</v>
      </c>
      <c r="J61" s="554"/>
      <c r="K61" t="s" s="540">
        <f>_xlfn.IFERROR(IF(VLOOKUP($E61,'BDD'!$A$1:$S$567,MATCH(K$10,'BDD'!$A$1:$P$1,0),FALSE)=0,"",VLOOKUP($E61,'BDD'!$A$1:$S$567,MATCH(K$10,'BDD'!$A$1:$P$1,0),FALSE)),"")</f>
        <v>1617</v>
      </c>
      <c r="L61" s="550"/>
      <c r="M61" s="555"/>
      <c r="N61" s="555"/>
      <c r="O61" s="534"/>
      <c r="P61" s="1042"/>
    </row>
    <row r="62" ht="130.05" customHeight="1">
      <c r="A62" s="1039"/>
      <c r="B62" s="542"/>
      <c r="C62" t="s" s="543">
        <f>IF(LEFT(RIGHT($B$1,2),1)=" ",RIGHT($B$1,1),RIGHT($B$1,2))</f>
        <v>267</v>
      </c>
      <c r="D62" s="544">
        <f>IF(LEFT(F62,14)="Bonne pratique",D61+1,D61)</f>
        <v>4</v>
      </c>
      <c r="E62" t="s" s="545">
        <f>C62&amp;D62&amp;RIGHT(F62,1)</f>
        <v>2514</v>
      </c>
      <c r="F62" t="s" s="546">
        <v>1774</v>
      </c>
      <c r="G62" t="s" s="547">
        <f>_xlfn.IFERROR(IF(VLOOKUP($E62,'BDD'!$A$1:$S$567,MATCH(G$10,'BDD'!$A$1:$P$1,0),FALSE)=0,"",VLOOKUP($E62,'BDD'!$A$1:$S$567,MATCH(G$10,'BDD'!$A$1:$P$1,0),FALSE)),"")</f>
        <v>1619</v>
      </c>
      <c r="H62" t="s" s="548">
        <f>IF(VLOOKUP(E62,'BDD'!$A$1:$S$567,15,FALSE)=0,"Critère non évalué","")</f>
        <v>1770</v>
      </c>
      <c r="I62" t="s" s="546">
        <f>_xlfn.IFERROR(IF(VLOOKUP($E62,'BDD'!$A$1:$S$567,MATCH(I$10,'BDD'!$A$1:$P$1,0),FALSE)=0,"",VLOOKUP($E62,'BDD'!$A$1:$S$567,MATCH(I$10,'BDD'!$A$1:$P$1,0),FALSE)),"")</f>
        <v>291</v>
      </c>
      <c r="J62" s="549"/>
      <c r="K62" t="s" s="547">
        <f>_xlfn.IFERROR(IF(VLOOKUP($E62,'BDD'!$A$1:$S$567,MATCH(K$10,'BDD'!$A$1:$P$1,0),FALSE)=0,"",VLOOKUP($E62,'BDD'!$A$1:$S$567,MATCH(K$10,'BDD'!$A$1:$P$1,0),FALSE)),"")</f>
        <v>1620</v>
      </c>
      <c r="L62" s="550"/>
      <c r="M62" s="551"/>
      <c r="N62" s="551"/>
      <c r="O62" s="534"/>
      <c r="P62" s="1042"/>
    </row>
    <row r="63" ht="130.05" customHeight="1">
      <c r="A63" s="1039"/>
      <c r="B63" s="542"/>
      <c r="C63" t="s" s="543">
        <f>IF(LEFT(RIGHT($B$1,2),1)=" ",RIGHT($B$1,1),RIGHT($B$1,2))</f>
        <v>267</v>
      </c>
      <c r="D63" s="544">
        <f>IF(LEFT(F63,14)="Bonne pratique",D62+1,D62)</f>
        <v>4</v>
      </c>
      <c r="E63" t="s" s="545">
        <f>C63&amp;D63&amp;RIGHT(F63,1)</f>
        <v>2509</v>
      </c>
      <c r="F63" t="s" s="552">
        <v>1776</v>
      </c>
      <c r="G63" t="s" s="540">
        <f>_xlfn.IFERROR(IF(VLOOKUP($E63,'BDD'!$A$1:$S$567,MATCH(G$10,'BDD'!$A$1:$P$1,0),FALSE)=0,"",VLOOKUP($E63,'BDD'!$A$1:$S$567,MATCH(G$10,'BDD'!$A$1:$P$1,0),FALSE)),"")</f>
        <v>1622</v>
      </c>
      <c r="H63" t="s" s="553">
        <f>IF(VLOOKUP(E63,'BDD'!$A$1:$S$567,15,FALSE)=0,"Critère non évalué","")</f>
        <v>1770</v>
      </c>
      <c r="I63" t="s" s="552">
        <f>_xlfn.IFERROR(IF(VLOOKUP($E63,'BDD'!$A$1:$S$567,MATCH(I$10,'BDD'!$A$1:$P$1,0),FALSE)=0,"",VLOOKUP($E63,'BDD'!$A$1:$S$567,MATCH(I$10,'BDD'!$A$1:$P$1,0),FALSE)),"")</f>
        <v>291</v>
      </c>
      <c r="J63" s="556"/>
      <c r="K63" t="s" s="540">
        <f>_xlfn.IFERROR(IF(VLOOKUP($E63,'BDD'!$A$1:$S$567,MATCH(K$10,'BDD'!$A$1:$P$1,0),FALSE)=0,"",VLOOKUP($E63,'BDD'!$A$1:$S$567,MATCH(K$10,'BDD'!$A$1:$P$1,0),FALSE)),"")</f>
        <v>1623</v>
      </c>
      <c r="L63" s="550"/>
      <c r="M63" s="555"/>
      <c r="N63" s="555"/>
      <c r="O63" s="534"/>
      <c r="P63" s="1042"/>
    </row>
    <row r="64" ht="130.05" customHeight="1">
      <c r="A64" s="1039"/>
      <c r="B64" s="542"/>
      <c r="C64" t="s" s="543">
        <f>IF(LEFT(RIGHT($B$1,2),1)=" ",RIGHT($B$1,1),RIGHT($B$1,2))</f>
        <v>267</v>
      </c>
      <c r="D64" s="544">
        <f>IF(LEFT(F64,14)="Bonne pratique",D63+1,D63)</f>
        <v>4</v>
      </c>
      <c r="E64" t="s" s="545">
        <f>C64&amp;D64&amp;RIGHT(F64,1)</f>
        <v>2515</v>
      </c>
      <c r="F64" t="s" s="546">
        <v>1778</v>
      </c>
      <c r="G64" t="s" s="547">
        <f>_xlfn.IFERROR(IF(VLOOKUP($E64,'BDD'!$A$1:$S$567,MATCH(G$10,'BDD'!$A$1:$P$1,0),FALSE)=0,"",VLOOKUP($E64,'BDD'!$A$1:$S$567,MATCH(G$10,'BDD'!$A$1:$P$1,0),FALSE)),"")</f>
        <v>1625</v>
      </c>
      <c r="H64" t="s" s="548">
        <f>IF(VLOOKUP(E64,'BDD'!$A$1:$S$567,15,FALSE)=0,"Critère non évalué","")</f>
        <v>1770</v>
      </c>
      <c r="I64" t="s" s="546">
        <f>_xlfn.IFERROR(IF(VLOOKUP($E64,'BDD'!$A$1:$S$567,MATCH(I$10,'BDD'!$A$1:$P$1,0),FALSE)=0,"",VLOOKUP($E64,'BDD'!$A$1:$S$567,MATCH(I$10,'BDD'!$A$1:$P$1,0),FALSE)),"")</f>
        <v>256</v>
      </c>
      <c r="J64" s="549"/>
      <c r="K64" t="s" s="547">
        <f>_xlfn.IFERROR(IF(VLOOKUP($E64,'BDD'!$A$1:$S$567,MATCH(K$10,'BDD'!$A$1:$P$1,0),FALSE)=0,"",VLOOKUP($E64,'BDD'!$A$1:$S$567,MATCH(K$10,'BDD'!$A$1:$P$1,0),FALSE)),"")</f>
      </c>
      <c r="L64" s="550"/>
      <c r="M64" s="557"/>
      <c r="N64" s="557"/>
      <c r="O64" s="534"/>
      <c r="P64" s="1042"/>
    </row>
    <row r="65" ht="130.05" customHeight="1">
      <c r="A65" s="1039"/>
      <c r="B65" s="542"/>
      <c r="C65" t="s" s="543">
        <f>IF(LEFT(RIGHT($B$1,2),1)=" ",RIGHT($B$1,1),RIGHT($B$1,2))</f>
        <v>267</v>
      </c>
      <c r="D65" s="544">
        <f>IF(LEFT(F65,14)="Bonne pratique",D64+1,D64)</f>
        <v>4</v>
      </c>
      <c r="E65" t="s" s="545">
        <f>C65&amp;D65&amp;RIGHT(F65,1)</f>
        <v>2516</v>
      </c>
      <c r="F65" t="s" s="552">
        <v>1780</v>
      </c>
      <c r="G65" t="s" s="540">
        <f>_xlfn.IFERROR(IF(VLOOKUP($E65,'BDD'!$A$1:$S$567,MATCH(G$10,'BDD'!$A$1:$P$1,0),FALSE)=0,"",VLOOKUP($E65,'BDD'!$A$1:$S$567,MATCH(G$10,'BDD'!$A$1:$P$1,0),FALSE)),"")</f>
      </c>
      <c r="H65" t="s" s="553">
        <f>IF(VLOOKUP(E65,'BDD'!$A$1:$S$567,15,FALSE)=0,"Critère non évalué","")</f>
        <v>1770</v>
      </c>
      <c r="I65" t="s" s="552">
        <f>_xlfn.IFERROR(IF(VLOOKUP($E65,'BDD'!$A$1:$S$567,MATCH(I$10,'BDD'!$A$1:$P$1,0),FALSE)=0,"",VLOOKUP($E65,'BDD'!$A$1:$S$567,MATCH(I$10,'BDD'!$A$1:$P$1,0),FALSE)),"")</f>
      </c>
      <c r="J65" s="554"/>
      <c r="K65" t="s" s="540">
        <f>_xlfn.IFERROR(IF(VLOOKUP($E65,'BDD'!$A$1:$S$567,MATCH(K$10,'BDD'!$A$1:$P$1,0),FALSE)=0,"",VLOOKUP($E65,'BDD'!$A$1:$S$567,MATCH(K$10,'BDD'!$A$1:$P$1,0),FALSE)),"")</f>
      </c>
      <c r="L65" s="550"/>
      <c r="M65" s="555"/>
      <c r="N65" s="555"/>
      <c r="O65" s="534"/>
      <c r="P65" s="1042"/>
    </row>
    <row r="66" ht="130.05" customHeight="1">
      <c r="A66" s="1039"/>
      <c r="B66" s="542"/>
      <c r="C66" t="s" s="543">
        <f>IF(LEFT(RIGHT($B$1,2),1)=" ",RIGHT($B$1,1),RIGHT($B$1,2))</f>
        <v>267</v>
      </c>
      <c r="D66" s="544">
        <f>IF(LEFT(F66,14)="Bonne pratique",D65+1,D65)</f>
        <v>4</v>
      </c>
      <c r="E66" t="s" s="545">
        <f>C66&amp;D66&amp;RIGHT(F66,1)</f>
        <v>2517</v>
      </c>
      <c r="F66" t="s" s="546">
        <v>1782</v>
      </c>
      <c r="G66" t="s" s="547">
        <f>_xlfn.IFERROR(IF(VLOOKUP($E66,'BDD'!$A$1:$S$567,MATCH(G$10,'BDD'!$A$1:$P$1,0),FALSE)=0,"",VLOOKUP($E66,'BDD'!$A$1:$S$567,MATCH(G$10,'BDD'!$A$1:$P$1,0),FALSE)),"")</f>
      </c>
      <c r="H66" t="s" s="548">
        <f>IF(VLOOKUP(E66,'BDD'!$A$1:$S$567,15,FALSE)=0,"Critère non évalué","")</f>
        <v>1770</v>
      </c>
      <c r="I66" t="s" s="546">
        <f>_xlfn.IFERROR(IF(VLOOKUP($E66,'BDD'!$A$1:$S$567,MATCH(I$10,'BDD'!$A$1:$P$1,0),FALSE)=0,"",VLOOKUP($E66,'BDD'!$A$1:$S$567,MATCH(I$10,'BDD'!$A$1:$P$1,0),FALSE)),"")</f>
      </c>
      <c r="J66" s="549"/>
      <c r="K66" t="s" s="547">
        <f>_xlfn.IFERROR(IF(VLOOKUP($E66,'BDD'!$A$1:$S$567,MATCH(K$10,'BDD'!$A$1:$P$1,0),FALSE)=0,"",VLOOKUP($E66,'BDD'!$A$1:$S$567,MATCH(K$10,'BDD'!$A$1:$P$1,0),FALSE)),"")</f>
      </c>
      <c r="L66" s="550"/>
      <c r="M66" s="557"/>
      <c r="N66" s="557"/>
      <c r="O66" s="534"/>
      <c r="P66" s="1042"/>
    </row>
    <row r="67" ht="15" customHeight="1">
      <c r="A67" s="1039"/>
      <c r="B67" s="61"/>
      <c r="C67" t="s" s="513">
        <f>IF(LEFT(RIGHT($B$1,2),1)=" ",RIGHT($B$1,1),RIGHT($B$1,2))</f>
        <v>267</v>
      </c>
      <c r="D67" s="514">
        <f>IF(LEFT(F67,14)="Bonne pratique",D66+1,D66)</f>
        <v>4</v>
      </c>
      <c r="E67" t="s" s="558">
        <f>C67&amp;D67&amp;RIGHT(F67,1)</f>
        <v>1791</v>
      </c>
      <c r="F67" s="559"/>
      <c r="G67" s="559"/>
      <c r="H67" s="559"/>
      <c r="I67" s="559"/>
      <c r="J67" s="559"/>
      <c r="K67" s="559"/>
      <c r="L67" s="61"/>
      <c r="M67" s="559"/>
      <c r="N67" s="559"/>
      <c r="O67" s="61"/>
      <c r="P67" s="1042"/>
    </row>
    <row r="68" ht="14.4" customHeight="1">
      <c r="A68" s="1039"/>
      <c r="B68" s="61"/>
      <c r="C68" t="s" s="513">
        <f>IF(LEFT(RIGHT($B$1,2),1)=" ",RIGHT($B$1,1),RIGHT($B$1,2))</f>
        <v>267</v>
      </c>
      <c r="D68" s="61"/>
      <c r="E68" s="565"/>
      <c r="F68" s="61"/>
      <c r="G68" s="61"/>
      <c r="H68" s="61"/>
      <c r="I68" s="61"/>
      <c r="J68" s="61"/>
      <c r="K68" s="61"/>
      <c r="L68" s="61"/>
      <c r="M68" s="61"/>
      <c r="N68" s="61"/>
      <c r="O68" s="61"/>
      <c r="P68" s="1042"/>
    </row>
    <row r="69" ht="14.4" customHeight="1">
      <c r="A69" s="1039"/>
      <c r="B69" s="61"/>
      <c r="C69" t="s" s="513">
        <f>IF(LEFT(RIGHT($B$1,2),1)=" ",RIGHT($B$1,1),RIGHT($B$1,2))</f>
        <v>267</v>
      </c>
      <c r="D69" s="61"/>
      <c r="E69" s="565"/>
      <c r="F69" s="61"/>
      <c r="G69" s="61"/>
      <c r="H69" s="61"/>
      <c r="I69" s="61"/>
      <c r="J69" s="61"/>
      <c r="K69" s="61"/>
      <c r="L69" s="61"/>
      <c r="M69" s="61"/>
      <c r="N69" s="61"/>
      <c r="O69" s="61"/>
      <c r="P69" s="1042"/>
    </row>
    <row r="70" ht="14.4" customHeight="1">
      <c r="A70" s="1039"/>
      <c r="B70" s="61"/>
      <c r="C70" t="s" s="513">
        <f>IF(LEFT(RIGHT($B$1,2),1)=" ",RIGHT($B$1,1),RIGHT($B$1,2))</f>
        <v>267</v>
      </c>
      <c r="D70" s="61"/>
      <c r="E70" s="565"/>
      <c r="F70" s="61"/>
      <c r="G70" s="61"/>
      <c r="H70" s="61"/>
      <c r="I70" s="61"/>
      <c r="J70" s="61"/>
      <c r="K70" s="61"/>
      <c r="L70" s="61"/>
      <c r="M70" s="61"/>
      <c r="N70" s="61"/>
      <c r="O70" s="61"/>
      <c r="P70" s="1042"/>
    </row>
    <row r="71" ht="30" customHeight="1">
      <c r="A71" s="1043"/>
      <c r="B71" s="512"/>
      <c r="C71" t="s" s="513">
        <f>IF(LEFT(RIGHT($B$1,2),1)=" ",RIGHT($B$1,1),RIGHT($B$1,2))</f>
        <v>267</v>
      </c>
      <c r="D71" s="514">
        <f>IF(LEFT(F71,14)="Bonne pratique",D67+1,D67)</f>
        <v>5</v>
      </c>
      <c r="E71" t="s" s="558">
        <f>C71&amp;D71&amp;RIGHT(F71,1)</f>
        <v>2531</v>
      </c>
      <c r="F71" t="s" s="516">
        <v>1814</v>
      </c>
      <c r="G71" s="517"/>
      <c r="H71" s="518"/>
      <c r="I71" s="519"/>
      <c r="J71" s="519">
        <f>VLOOKUP(E78,'BDD'!$A$2:$N$567,6,FALSE)</f>
      </c>
      <c r="K71" s="521"/>
      <c r="L71" s="517"/>
      <c r="M71" s="517"/>
      <c r="N71" s="517"/>
      <c r="O71" s="512"/>
      <c r="P71" s="1044"/>
    </row>
    <row r="72" ht="15" customHeight="1">
      <c r="A72" s="1039"/>
      <c r="B72" s="61"/>
      <c r="C72" t="s" s="513">
        <f>IF(LEFT(RIGHT($B$1,2),1)=" ",RIGHT($B$1,1),RIGHT($B$1,2))</f>
        <v>267</v>
      </c>
      <c r="D72" s="514">
        <f>IF(LEFT(F72,14)="Bonne pratique",D71+1,D71)</f>
        <v>5</v>
      </c>
      <c r="E72" t="s" s="558">
        <f>C72&amp;D72&amp;RIGHT(F72,1)</f>
        <v>1792</v>
      </c>
      <c r="F72" s="61"/>
      <c r="G72" s="61"/>
      <c r="H72" s="61"/>
      <c r="I72" s="61"/>
      <c r="J72" s="61"/>
      <c r="K72" s="61"/>
      <c r="L72" s="61"/>
      <c r="M72" s="61"/>
      <c r="N72" s="61"/>
      <c r="O72" s="61"/>
      <c r="P72" s="1042"/>
    </row>
    <row r="73" ht="18" customHeight="1">
      <c r="A73" s="1045"/>
      <c r="B73" s="524"/>
      <c r="C73" t="s" s="513">
        <f>IF(LEFT(RIGHT($B$1,2),1)=" ",RIGHT($B$1,1),RIGHT($B$1,2))</f>
        <v>267</v>
      </c>
      <c r="D73" s="514">
        <f>IF(LEFT(F73,14)="Bonne pratique",D72+1,D72)</f>
        <v>5</v>
      </c>
      <c r="E73" t="s" s="558">
        <f>C73&amp;D73&amp;RIGHT(F73,1)</f>
        <v>1792</v>
      </c>
      <c r="F73" s="524"/>
      <c r="G73" s="524"/>
      <c r="H73" s="524"/>
      <c r="I73" s="525"/>
      <c r="J73" t="s" s="526">
        <v>2518</v>
      </c>
      <c r="K73" s="525"/>
      <c r="L73" s="524"/>
      <c r="M73" s="524"/>
      <c r="N73" s="524"/>
      <c r="O73" s="524"/>
      <c r="P73" s="1046"/>
    </row>
    <row r="74" ht="18" customHeight="1">
      <c r="A74" s="1039"/>
      <c r="B74" s="61"/>
      <c r="C74" t="s" s="513">
        <f>IF(LEFT(RIGHT($B$1,2),1)=" ",RIGHT($B$1,1),RIGHT($B$1,2))</f>
        <v>267</v>
      </c>
      <c r="D74" s="514">
        <f>IF(LEFT(F74,14)="Bonne pratique",D73+1,D73)</f>
        <v>5</v>
      </c>
      <c r="E74" s="565">
        <f>C74&amp;D74&amp;RIGHT(F74,1)</f>
      </c>
      <c r="F74" s="61"/>
      <c r="G74" s="61"/>
      <c r="H74" s="61"/>
      <c r="I74" s="61"/>
      <c r="J74" s="528"/>
      <c r="K74" s="61"/>
      <c r="L74" s="61"/>
      <c r="M74" s="529"/>
      <c r="N74" s="529"/>
      <c r="O74" s="61"/>
      <c r="P74" s="1042"/>
    </row>
    <row r="75" ht="15" customHeight="1">
      <c r="A75" s="1039"/>
      <c r="B75" s="61"/>
      <c r="C75" t="s" s="513">
        <f>IF(LEFT(RIGHT($B$1,2),1)=" ",RIGHT($B$1,1),RIGHT($B$1,2))</f>
        <v>267</v>
      </c>
      <c r="D75" s="61">
        <f>IF(LEFT(F75,14)="Bonne pratique",D74+1,D74)</f>
      </c>
      <c r="E75" s="565">
        <f>C75&amp;D75&amp;RIGHT(F75,1)</f>
      </c>
      <c r="F75" s="61"/>
      <c r="G75" s="529"/>
      <c r="H75" s="529"/>
      <c r="I75" s="529"/>
      <c r="J75" s="530"/>
      <c r="K75" s="529"/>
      <c r="L75" s="542"/>
      <c r="M75" t="s" s="562">
        <v>1763</v>
      </c>
      <c r="N75" s="563"/>
      <c r="O75" s="534"/>
      <c r="P75" s="1042"/>
    </row>
    <row r="76" ht="33" customHeight="1">
      <c r="A76" s="1039"/>
      <c r="B76" s="61"/>
      <c r="C76" t="s" s="513">
        <f>IF(LEFT(RIGHT($B$1,2),1)=" ",RIGHT($B$1,1),RIGHT($B$1,2))</f>
        <v>267</v>
      </c>
      <c r="D76" s="61">
        <f>IF(LEFT(F76,14)="Bonne pratique",D75+1,D75)</f>
      </c>
      <c r="E76" s="565">
        <f>C76&amp;D76&amp;RIGHT(F76,1)</f>
      </c>
      <c r="F76" s="564"/>
      <c r="G76" t="s" s="536">
        <v>244</v>
      </c>
      <c r="H76" t="s" s="536">
        <v>1764</v>
      </c>
      <c r="I76" t="s" s="536">
        <v>1787</v>
      </c>
      <c r="J76" t="s" s="536">
        <v>1765</v>
      </c>
      <c r="K76" t="s" s="536">
        <v>1788</v>
      </c>
      <c r="L76" s="538"/>
      <c r="M76" t="s" s="539">
        <v>1766</v>
      </c>
      <c r="N76" t="s" s="540">
        <v>1767</v>
      </c>
      <c r="O76" s="534"/>
      <c r="P76" s="1042"/>
    </row>
    <row r="77" ht="15" customHeight="1">
      <c r="A77" s="1039"/>
      <c r="B77" s="61"/>
      <c r="C77" t="s" s="513">
        <f>IF(LEFT(RIGHT($B$1,2),1)=" ",RIGHT($B$1,1),RIGHT($B$1,2))</f>
        <v>267</v>
      </c>
      <c r="D77" s="61">
        <f>IF(LEFT(F77,14)="Bonne pratique",D76+1,D76)</f>
      </c>
      <c r="E77" s="565">
        <f>C77&amp;D77&amp;RIGHT(F77,1)</f>
      </c>
      <c r="F77" s="529"/>
      <c r="G77" s="541"/>
      <c r="H77" s="541"/>
      <c r="I77" s="541"/>
      <c r="J77" s="541"/>
      <c r="K77" s="541"/>
      <c r="L77" s="61"/>
      <c r="M77" s="541"/>
      <c r="N77" s="541"/>
      <c r="O77" s="61"/>
      <c r="P77" s="1042"/>
    </row>
    <row r="78" ht="130.05" customHeight="1">
      <c r="A78" s="1039"/>
      <c r="B78" s="542"/>
      <c r="C78" t="s" s="543">
        <f>IF(LEFT(RIGHT($B$1,2),1)=" ",RIGHT($B$1,1),RIGHT($B$1,2))</f>
        <v>267</v>
      </c>
      <c r="D78" s="550">
        <f>IF(LEFT(F78,14)="Bonne pratique",D77+1,D77)</f>
      </c>
      <c r="E78" s="566">
        <f>C78&amp;D78&amp;RIGHT(F78,1)</f>
      </c>
      <c r="F78" t="s" s="546">
        <v>1769</v>
      </c>
      <c r="G78" s="567">
        <f>_xlfn.IFERROR(IF(VLOOKUP($E78,'BDD'!$A$1:$S$567,MATCH(G$10,'BDD'!$A$1:$P$1,0),FALSE)=0,"",VLOOKUP($E78,'BDD'!$A$1:$S$567,MATCH(G$10,'BDD'!$A$1:$P$1,0),FALSE)),"")</f>
      </c>
      <c r="H78" s="568">
        <f>IF(VLOOKUP(E78,'BDD'!$A$1:$S$567,15,FALSE)=0,"Critère non évalué","")</f>
      </c>
      <c r="I78" s="569">
        <f>_xlfn.IFERROR(IF(VLOOKUP($E78,'BDD'!$A$1:$S$567,MATCH(I$10,'BDD'!$A$1:$P$1,0),FALSE)=0,"",VLOOKUP($E78,'BDD'!$A$1:$S$567,MATCH(I$10,'BDD'!$A$1:$P$1,0),FALSE)),"")</f>
      </c>
      <c r="J78" s="549"/>
      <c r="K78" s="567">
        <f>_xlfn.IFERROR(IF(VLOOKUP($E78,'BDD'!$A$1:$S$567,MATCH(K$10,'BDD'!$A$1:$P$1,0),FALSE)=0,"",VLOOKUP($E78,'BDD'!$A$1:$S$567,MATCH(K$10,'BDD'!$A$1:$P$1,0),FALSE)),"")</f>
      </c>
      <c r="L78" s="550"/>
      <c r="M78" s="551"/>
      <c r="N78" s="551"/>
      <c r="O78" s="534"/>
      <c r="P78" s="1042"/>
    </row>
    <row r="79" ht="130.05" customHeight="1">
      <c r="A79" s="1039"/>
      <c r="B79" s="542"/>
      <c r="C79" t="s" s="543">
        <f>IF(LEFT(RIGHT($B$1,2),1)=" ",RIGHT($B$1,1),RIGHT($B$1,2))</f>
        <v>267</v>
      </c>
      <c r="D79" s="550">
        <f>IF(LEFT(F79,14)="Bonne pratique",D78+1,D78)</f>
      </c>
      <c r="E79" s="566">
        <f>C79&amp;D79&amp;RIGHT(F79,1)</f>
      </c>
      <c r="F79" t="s" s="552">
        <v>1772</v>
      </c>
      <c r="G79" s="557">
        <f>_xlfn.IFERROR(IF(VLOOKUP($E79,'BDD'!$A$1:$S$567,MATCH(G$10,'BDD'!$A$1:$P$1,0),FALSE)=0,"",VLOOKUP($E79,'BDD'!$A$1:$S$567,MATCH(G$10,'BDD'!$A$1:$P$1,0),FALSE)),"")</f>
      </c>
      <c r="H79" s="570">
        <f>IF(VLOOKUP(E79,'BDD'!$A$1:$S$567,15,FALSE)=0,"Critère non évalué","")</f>
      </c>
      <c r="I79" s="571">
        <f>_xlfn.IFERROR(IF(VLOOKUP($E79,'BDD'!$A$1:$S$567,MATCH(I$10,'BDD'!$A$1:$P$1,0),FALSE)=0,"",VLOOKUP($E79,'BDD'!$A$1:$S$567,MATCH(I$10,'BDD'!$A$1:$P$1,0),FALSE)),"")</f>
      </c>
      <c r="J79" s="554"/>
      <c r="K79" s="557">
        <f>_xlfn.IFERROR(IF(VLOOKUP($E79,'BDD'!$A$1:$S$567,MATCH(K$10,'BDD'!$A$1:$P$1,0),FALSE)=0,"",VLOOKUP($E79,'BDD'!$A$1:$S$567,MATCH(K$10,'BDD'!$A$1:$P$1,0),FALSE)),"")</f>
      </c>
      <c r="L79" s="550"/>
      <c r="M79" s="555"/>
      <c r="N79" s="555"/>
      <c r="O79" s="534"/>
      <c r="P79" s="1042"/>
    </row>
    <row r="80" ht="130.05" customHeight="1">
      <c r="A80" s="1039"/>
      <c r="B80" s="542"/>
      <c r="C80" t="s" s="543">
        <f>IF(LEFT(RIGHT($B$1,2),1)=" ",RIGHT($B$1,1),RIGHT($B$1,2))</f>
        <v>267</v>
      </c>
      <c r="D80" s="550">
        <f>IF(LEFT(F80,14)="Bonne pratique",D79+1,D79)</f>
      </c>
      <c r="E80" s="566">
        <f>C80&amp;D80&amp;RIGHT(F80,1)</f>
      </c>
      <c r="F80" t="s" s="546">
        <v>1774</v>
      </c>
      <c r="G80" s="567">
        <f>_xlfn.IFERROR(IF(VLOOKUP($E80,'BDD'!$A$1:$S$567,MATCH(G$10,'BDD'!$A$1:$P$1,0),FALSE)=0,"",VLOOKUP($E80,'BDD'!$A$1:$S$567,MATCH(G$10,'BDD'!$A$1:$P$1,0),FALSE)),"")</f>
      </c>
      <c r="H80" s="568">
        <f>IF(VLOOKUP(E80,'BDD'!$A$1:$S$567,15,FALSE)=0,"Critère non évalué","")</f>
      </c>
      <c r="I80" s="569">
        <f>_xlfn.IFERROR(IF(VLOOKUP($E80,'BDD'!$A$1:$S$567,MATCH(I$10,'BDD'!$A$1:$P$1,0),FALSE)=0,"",VLOOKUP($E80,'BDD'!$A$1:$S$567,MATCH(I$10,'BDD'!$A$1:$P$1,0),FALSE)),"")</f>
      </c>
      <c r="J80" s="549"/>
      <c r="K80" s="567">
        <f>_xlfn.IFERROR(IF(VLOOKUP($E80,'BDD'!$A$1:$S$567,MATCH(K$10,'BDD'!$A$1:$P$1,0),FALSE)=0,"",VLOOKUP($E80,'BDD'!$A$1:$S$567,MATCH(K$10,'BDD'!$A$1:$P$1,0),FALSE)),"")</f>
      </c>
      <c r="L80" s="550"/>
      <c r="M80" s="551"/>
      <c r="N80" s="551"/>
      <c r="O80" s="534"/>
      <c r="P80" s="1042"/>
    </row>
    <row r="81" ht="130.05" customHeight="1">
      <c r="A81" s="1039"/>
      <c r="B81" s="542"/>
      <c r="C81" t="s" s="543">
        <f>IF(LEFT(RIGHT($B$1,2),1)=" ",RIGHT($B$1,1),RIGHT($B$1,2))</f>
        <v>267</v>
      </c>
      <c r="D81" s="550">
        <f>IF(LEFT(F81,14)="Bonne pratique",D80+1,D80)</f>
      </c>
      <c r="E81" s="566">
        <f>C81&amp;D81&amp;RIGHT(F81,1)</f>
      </c>
      <c r="F81" t="s" s="552">
        <v>1776</v>
      </c>
      <c r="G81" s="557">
        <f>_xlfn.IFERROR(IF(VLOOKUP($E81,'BDD'!$A$1:$S$567,MATCH(G$10,'BDD'!$A$1:$P$1,0),FALSE)=0,"",VLOOKUP($E81,'BDD'!$A$1:$S$567,MATCH(G$10,'BDD'!$A$1:$P$1,0),FALSE)),"")</f>
      </c>
      <c r="H81" s="570">
        <f>IF(VLOOKUP(E81,'BDD'!$A$1:$S$567,15,FALSE)=0,"Critère non évalué","")</f>
      </c>
      <c r="I81" s="571">
        <f>_xlfn.IFERROR(IF(VLOOKUP($E81,'BDD'!$A$1:$S$567,MATCH(I$10,'BDD'!$A$1:$P$1,0),FALSE)=0,"",VLOOKUP($E81,'BDD'!$A$1:$S$567,MATCH(I$10,'BDD'!$A$1:$P$1,0),FALSE)),"")</f>
      </c>
      <c r="J81" s="556"/>
      <c r="K81" s="557">
        <f>_xlfn.IFERROR(IF(VLOOKUP($E81,'BDD'!$A$1:$S$567,MATCH(K$10,'BDD'!$A$1:$P$1,0),FALSE)=0,"",VLOOKUP($E81,'BDD'!$A$1:$S$567,MATCH(K$10,'BDD'!$A$1:$P$1,0),FALSE)),"")</f>
      </c>
      <c r="L81" s="550"/>
      <c r="M81" s="555"/>
      <c r="N81" s="555"/>
      <c r="O81" s="534"/>
      <c r="P81" s="1042"/>
    </row>
    <row r="82" ht="130.05" customHeight="1">
      <c r="A82" s="1039"/>
      <c r="B82" s="542"/>
      <c r="C82" t="s" s="543">
        <f>IF(LEFT(RIGHT($B$1,2),1)=" ",RIGHT($B$1,1),RIGHT($B$1,2))</f>
        <v>267</v>
      </c>
      <c r="D82" s="550">
        <f>IF(LEFT(F82,14)="Bonne pratique",D81+1,D81)</f>
      </c>
      <c r="E82" s="566">
        <f>C82&amp;D82&amp;RIGHT(F82,1)</f>
      </c>
      <c r="F82" t="s" s="546">
        <v>1778</v>
      </c>
      <c r="G82" s="567">
        <f>_xlfn.IFERROR(IF(VLOOKUP($E82,'BDD'!$A$1:$S$567,MATCH(G$10,'BDD'!$A$1:$P$1,0),FALSE)=0,"",VLOOKUP($E82,'BDD'!$A$1:$S$567,MATCH(G$10,'BDD'!$A$1:$P$1,0),FALSE)),"")</f>
      </c>
      <c r="H82" s="568">
        <f>IF(VLOOKUP(E82,'BDD'!$A$1:$S$567,15,FALSE)=0,"Critère non évalué","")</f>
      </c>
      <c r="I82" s="569">
        <f>_xlfn.IFERROR(IF(VLOOKUP($E82,'BDD'!$A$1:$S$567,MATCH(I$10,'BDD'!$A$1:$P$1,0),FALSE)=0,"",VLOOKUP($E82,'BDD'!$A$1:$S$567,MATCH(I$10,'BDD'!$A$1:$P$1,0),FALSE)),"")</f>
      </c>
      <c r="J82" s="549"/>
      <c r="K82" s="567">
        <f>_xlfn.IFERROR(IF(VLOOKUP($E82,'BDD'!$A$1:$S$567,MATCH(K$10,'BDD'!$A$1:$P$1,0),FALSE)=0,"",VLOOKUP($E82,'BDD'!$A$1:$S$567,MATCH(K$10,'BDD'!$A$1:$P$1,0),FALSE)),"")</f>
      </c>
      <c r="L82" s="550"/>
      <c r="M82" s="557"/>
      <c r="N82" s="557"/>
      <c r="O82" s="534"/>
      <c r="P82" s="1042"/>
    </row>
    <row r="83" ht="130.05" customHeight="1">
      <c r="A83" s="1039"/>
      <c r="B83" s="542"/>
      <c r="C83" t="s" s="543">
        <f>IF(LEFT(RIGHT($B$1,2),1)=" ",RIGHT($B$1,1),RIGHT($B$1,2))</f>
        <v>267</v>
      </c>
      <c r="D83" s="550">
        <f>IF(LEFT(F83,14)="Bonne pratique",D82+1,D82)</f>
      </c>
      <c r="E83" s="566">
        <f>C83&amp;D83&amp;RIGHT(F83,1)</f>
      </c>
      <c r="F83" t="s" s="552">
        <v>1780</v>
      </c>
      <c r="G83" s="557">
        <f>_xlfn.IFERROR(IF(VLOOKUP($E83,'BDD'!$A$1:$S$567,MATCH(G$10,'BDD'!$A$1:$P$1,0),FALSE)=0,"",VLOOKUP($E83,'BDD'!$A$1:$S$567,MATCH(G$10,'BDD'!$A$1:$P$1,0),FALSE)),"")</f>
      </c>
      <c r="H83" s="570">
        <f>IF(VLOOKUP(E83,'BDD'!$A$1:$S$567,15,FALSE)=0,"Critère non évalué","")</f>
      </c>
      <c r="I83" s="571">
        <f>_xlfn.IFERROR(IF(VLOOKUP($E83,'BDD'!$A$1:$S$567,MATCH(I$10,'BDD'!$A$1:$P$1,0),FALSE)=0,"",VLOOKUP($E83,'BDD'!$A$1:$S$567,MATCH(I$10,'BDD'!$A$1:$P$1,0),FALSE)),"")</f>
      </c>
      <c r="J83" s="556"/>
      <c r="K83" s="557">
        <f>_xlfn.IFERROR(IF(VLOOKUP($E83,'BDD'!$A$1:$S$567,MATCH(K$10,'BDD'!$A$1:$P$1,0),FALSE)=0,"",VLOOKUP($E83,'BDD'!$A$1:$S$567,MATCH(K$10,'BDD'!$A$1:$P$1,0),FALSE)),"")</f>
      </c>
      <c r="L83" s="550"/>
      <c r="M83" s="555"/>
      <c r="N83" s="555"/>
      <c r="O83" s="534"/>
      <c r="P83" s="1042"/>
    </row>
    <row r="84" ht="130.05" customHeight="1">
      <c r="A84" s="1039"/>
      <c r="B84" s="542"/>
      <c r="C84" t="s" s="543">
        <f>IF(LEFT(RIGHT($B$1,2),1)=" ",RIGHT($B$1,1),RIGHT($B$1,2))</f>
        <v>267</v>
      </c>
      <c r="D84" s="550">
        <f>IF(LEFT(F84,14)="Bonne pratique",D83+1,D83)</f>
      </c>
      <c r="E84" s="566">
        <f>C84&amp;D84&amp;RIGHT(F84,1)</f>
      </c>
      <c r="F84" t="s" s="546">
        <v>1782</v>
      </c>
      <c r="G84" s="567">
        <f>_xlfn.IFERROR(IF(VLOOKUP($E84,'BDD'!$A$1:$S$567,MATCH(G$10,'BDD'!$A$1:$P$1,0),FALSE)=0,"",VLOOKUP($E84,'BDD'!$A$1:$S$567,MATCH(G$10,'BDD'!$A$1:$P$1,0),FALSE)),"")</f>
      </c>
      <c r="H84" s="568">
        <f>IF(VLOOKUP(E84,'BDD'!$A$1:$S$567,15,FALSE)=0,"Critère non évalué","")</f>
      </c>
      <c r="I84" s="569">
        <f>_xlfn.IFERROR(IF(VLOOKUP($E84,'BDD'!$A$1:$S$567,MATCH(I$10,'BDD'!$A$1:$P$1,0),FALSE)=0,"",VLOOKUP($E84,'BDD'!$A$1:$S$567,MATCH(I$10,'BDD'!$A$1:$P$1,0),FALSE)),"")</f>
      </c>
      <c r="J84" s="549"/>
      <c r="K84" s="567">
        <f>_xlfn.IFERROR(IF(VLOOKUP($E84,'BDD'!$A$1:$S$567,MATCH(K$10,'BDD'!$A$1:$P$1,0),FALSE)=0,"",VLOOKUP($E84,'BDD'!$A$1:$S$567,MATCH(K$10,'BDD'!$A$1:$P$1,0),FALSE)),"")</f>
      </c>
      <c r="L84" s="550"/>
      <c r="M84" s="557"/>
      <c r="N84" s="557"/>
      <c r="O84" s="534"/>
      <c r="P84" s="1042"/>
    </row>
    <row r="85" ht="14.4" customHeight="1">
      <c r="A85" s="1039"/>
      <c r="B85" s="61"/>
      <c r="C85" t="s" s="513">
        <f>IF(LEFT(RIGHT($B$1,2),1)=" ",RIGHT($B$1,1),RIGHT($B$1,2))</f>
        <v>267</v>
      </c>
      <c r="D85" s="61"/>
      <c r="E85" s="61"/>
      <c r="F85" s="559"/>
      <c r="G85" s="559"/>
      <c r="H85" s="559"/>
      <c r="I85" s="559"/>
      <c r="J85" s="559"/>
      <c r="K85" s="559"/>
      <c r="L85" s="61"/>
      <c r="M85" s="559"/>
      <c r="N85" s="559"/>
      <c r="O85" s="61"/>
      <c r="P85" s="1042"/>
    </row>
    <row r="86" ht="14.4" customHeight="1">
      <c r="A86" s="1039"/>
      <c r="B86" s="61"/>
      <c r="C86" t="s" s="513">
        <f>IF(LEFT(RIGHT($B$1,2),1)=" ",RIGHT($B$1,1),RIGHT($B$1,2))</f>
        <v>267</v>
      </c>
      <c r="D86" s="61"/>
      <c r="E86" s="61"/>
      <c r="F86" s="61"/>
      <c r="G86" s="61"/>
      <c r="H86" s="61"/>
      <c r="I86" s="61"/>
      <c r="J86" s="61"/>
      <c r="K86" s="61"/>
      <c r="L86" s="61"/>
      <c r="M86" s="61"/>
      <c r="N86" s="61"/>
      <c r="O86" s="61"/>
      <c r="P86" s="1042"/>
    </row>
    <row r="87" ht="30" customHeight="1">
      <c r="A87" s="1043"/>
      <c r="B87" s="512"/>
      <c r="C87" t="s" s="513">
        <f>IF(LEFT(RIGHT($B$1,2),1)=" ",RIGHT($B$1,1),RIGHT($B$1,2))</f>
        <v>267</v>
      </c>
      <c r="D87" s="61">
        <f>IF(LEFT(F87,14)="Bonne pratique",D83+1,D83)</f>
      </c>
      <c r="E87" s="565">
        <f>C87&amp;D87&amp;RIGHT(F87,1)</f>
      </c>
      <c r="F87" t="s" s="516">
        <v>1887</v>
      </c>
      <c r="G87" s="517"/>
      <c r="H87" s="518"/>
      <c r="I87" s="519"/>
      <c r="J87" s="519">
        <f>VLOOKUP(E94,'BDD'!$A$2:$N$567,6,FALSE)</f>
      </c>
      <c r="K87" s="521"/>
      <c r="L87" s="517"/>
      <c r="M87" s="517"/>
      <c r="N87" s="517"/>
      <c r="O87" s="512"/>
      <c r="P87" s="1044"/>
    </row>
    <row r="88" ht="15" customHeight="1">
      <c r="A88" s="1039"/>
      <c r="B88" s="61"/>
      <c r="C88" t="s" s="513">
        <f>IF(LEFT(RIGHT($B$1,2),1)=" ",RIGHT($B$1,1),RIGHT($B$1,2))</f>
        <v>267</v>
      </c>
      <c r="D88" s="61">
        <f>IF(LEFT(F88,14)="Bonne pratique",D87+1,D87)</f>
      </c>
      <c r="E88" s="565">
        <f>C88&amp;D88&amp;RIGHT(F88,1)</f>
      </c>
      <c r="F88" s="61"/>
      <c r="G88" s="61"/>
      <c r="H88" s="61"/>
      <c r="I88" s="61"/>
      <c r="J88" s="61"/>
      <c r="K88" s="61"/>
      <c r="L88" s="61"/>
      <c r="M88" s="61"/>
      <c r="N88" s="61"/>
      <c r="O88" s="61"/>
      <c r="P88" s="1042"/>
    </row>
    <row r="89" ht="18" customHeight="1">
      <c r="A89" s="1045"/>
      <c r="B89" s="524"/>
      <c r="C89" t="s" s="513">
        <f>IF(LEFT(RIGHT($B$1,2),1)=" ",RIGHT($B$1,1),RIGHT($B$1,2))</f>
        <v>267</v>
      </c>
      <c r="D89" s="61">
        <f>IF(LEFT(F89,14)="Bonne pratique",D88+1,D88)</f>
      </c>
      <c r="E89" s="565">
        <f>C89&amp;D89&amp;RIGHT(F89,1)</f>
      </c>
      <c r="F89" s="524"/>
      <c r="G89" s="524"/>
      <c r="H89" s="524"/>
      <c r="I89" s="525"/>
      <c r="J89" t="s" s="526">
        <v>1647</v>
      </c>
      <c r="K89" s="525"/>
      <c r="L89" s="524"/>
      <c r="M89" s="524"/>
      <c r="N89" s="524"/>
      <c r="O89" s="524"/>
      <c r="P89" s="1046"/>
    </row>
    <row r="90" ht="18" customHeight="1">
      <c r="A90" s="1039"/>
      <c r="B90" s="61"/>
      <c r="C90" t="s" s="513">
        <f>IF(LEFT(RIGHT($B$1,2),1)=" ",RIGHT($B$1,1),RIGHT($B$1,2))</f>
        <v>267</v>
      </c>
      <c r="D90" s="61">
        <f>IF(LEFT(F90,14)="Bonne pratique",D89+1,D89)</f>
      </c>
      <c r="E90" s="565">
        <f>C90&amp;D90&amp;RIGHT(F90,1)</f>
      </c>
      <c r="F90" s="61"/>
      <c r="G90" s="61"/>
      <c r="H90" s="61"/>
      <c r="I90" s="61"/>
      <c r="J90" s="528"/>
      <c r="K90" s="61"/>
      <c r="L90" s="61"/>
      <c r="M90" s="529"/>
      <c r="N90" s="529"/>
      <c r="O90" s="61"/>
      <c r="P90" s="1042"/>
    </row>
    <row r="91" ht="15" customHeight="1">
      <c r="A91" s="1039"/>
      <c r="B91" s="61"/>
      <c r="C91" t="s" s="513">
        <f>IF(LEFT(RIGHT($B$1,2),1)=" ",RIGHT($B$1,1),RIGHT($B$1,2))</f>
        <v>267</v>
      </c>
      <c r="D91" s="61">
        <f>IF(LEFT(F91,14)="Bonne pratique",D90+1,D90)</f>
      </c>
      <c r="E91" s="565">
        <f>C91&amp;D91&amp;RIGHT(F91,1)</f>
      </c>
      <c r="F91" s="61"/>
      <c r="G91" s="529"/>
      <c r="H91" s="529"/>
      <c r="I91" s="529"/>
      <c r="J91" s="530"/>
      <c r="K91" s="529"/>
      <c r="L91" s="542"/>
      <c r="M91" t="s" s="562">
        <v>1763</v>
      </c>
      <c r="N91" s="563"/>
      <c r="O91" s="534"/>
      <c r="P91" s="1042"/>
    </row>
    <row r="92" ht="33" customHeight="1">
      <c r="A92" s="1039"/>
      <c r="B92" s="61"/>
      <c r="C92" t="s" s="513">
        <f>IF(LEFT(RIGHT($B$1,2),1)=" ",RIGHT($B$1,1),RIGHT($B$1,2))</f>
        <v>267</v>
      </c>
      <c r="D92" s="61">
        <f>IF(LEFT(F92,14)="Bonne pratique",D91+1,D91)</f>
      </c>
      <c r="E92" s="565">
        <f>C92&amp;D92&amp;RIGHT(F92,1)</f>
      </c>
      <c r="F92" s="564"/>
      <c r="G92" t="s" s="536">
        <v>244</v>
      </c>
      <c r="H92" t="s" s="536">
        <v>1764</v>
      </c>
      <c r="I92" t="s" s="536">
        <v>1787</v>
      </c>
      <c r="J92" t="s" s="536">
        <v>1765</v>
      </c>
      <c r="K92" t="s" s="536">
        <v>1788</v>
      </c>
      <c r="L92" s="538"/>
      <c r="M92" t="s" s="539">
        <v>1766</v>
      </c>
      <c r="N92" t="s" s="540">
        <v>1767</v>
      </c>
      <c r="O92" s="534"/>
      <c r="P92" s="1042"/>
    </row>
    <row r="93" ht="15" customHeight="1">
      <c r="A93" s="1039"/>
      <c r="B93" s="61"/>
      <c r="C93" t="s" s="513">
        <f>IF(LEFT(RIGHT($B$1,2),1)=" ",RIGHT($B$1,1),RIGHT($B$1,2))</f>
        <v>267</v>
      </c>
      <c r="D93" s="61">
        <f>IF(LEFT(F93,14)="Bonne pratique",D92+1,D92)</f>
      </c>
      <c r="E93" s="565">
        <f>C93&amp;D93&amp;RIGHT(F93,1)</f>
      </c>
      <c r="F93" s="529"/>
      <c r="G93" s="541"/>
      <c r="H93" s="541"/>
      <c r="I93" s="541"/>
      <c r="J93" s="541"/>
      <c r="K93" s="541"/>
      <c r="L93" s="61"/>
      <c r="M93" s="541"/>
      <c r="N93" s="541"/>
      <c r="O93" s="61"/>
      <c r="P93" s="1042"/>
    </row>
    <row r="94" ht="130.05" customHeight="1">
      <c r="A94" s="1039"/>
      <c r="B94" s="542"/>
      <c r="C94" t="s" s="543">
        <f>IF(LEFT(RIGHT($B$1,2),1)=" ",RIGHT($B$1,1),RIGHT($B$1,2))</f>
        <v>267</v>
      </c>
      <c r="D94" s="550">
        <f>IF(LEFT(F94,14)="Bonne pratique",D93+1,D93)</f>
      </c>
      <c r="E94" s="566">
        <f>C94&amp;D94&amp;RIGHT(F94,1)</f>
      </c>
      <c r="F94" t="s" s="546">
        <v>1769</v>
      </c>
      <c r="G94" s="567">
        <f>_xlfn.IFERROR(IF(VLOOKUP($E94,'BDD'!$A$1:$S$567,MATCH(G$10,'BDD'!$A$1:$P$1,0),FALSE)=0,"",VLOOKUP($E94,'BDD'!$A$1:$S$567,MATCH(G$10,'BDD'!$A$1:$P$1,0),FALSE)),"")</f>
      </c>
      <c r="H94" s="568">
        <f>IF(VLOOKUP(E94,'BDD'!$A$1:$S$567,15,FALSE)=0,"Critère non évalué","")</f>
      </c>
      <c r="I94" s="569">
        <f>_xlfn.IFERROR(IF(VLOOKUP($E94,'BDD'!$A$1:$S$567,MATCH(I$10,'BDD'!$A$1:$P$1,0),FALSE)=0,"",VLOOKUP($E94,'BDD'!$A$1:$S$567,MATCH(I$10,'BDD'!$A$1:$P$1,0),FALSE)),"")</f>
      </c>
      <c r="J94" s="549"/>
      <c r="K94" s="567">
        <f>_xlfn.IFERROR(IF(VLOOKUP($E94,'BDD'!$A$1:$S$567,MATCH(K$10,'BDD'!$A$1:$P$1,0),FALSE)=0,"",VLOOKUP($E94,'BDD'!$A$1:$S$567,MATCH(K$10,'BDD'!$A$1:$P$1,0),FALSE)),"")</f>
      </c>
      <c r="L94" s="550"/>
      <c r="M94" s="551"/>
      <c r="N94" s="551"/>
      <c r="O94" s="534"/>
      <c r="P94" s="1042"/>
    </row>
    <row r="95" ht="130.05" customHeight="1">
      <c r="A95" s="1039"/>
      <c r="B95" s="542"/>
      <c r="C95" t="s" s="543">
        <f>IF(LEFT(RIGHT($B$1,2),1)=" ",RIGHT($B$1,1),RIGHT($B$1,2))</f>
        <v>267</v>
      </c>
      <c r="D95" s="550">
        <f>IF(LEFT(F95,14)="Bonne pratique",D94+1,D94)</f>
      </c>
      <c r="E95" s="566">
        <f>C95&amp;D95&amp;RIGHT(F95,1)</f>
      </c>
      <c r="F95" t="s" s="552">
        <v>1772</v>
      </c>
      <c r="G95" s="557">
        <f>_xlfn.IFERROR(IF(VLOOKUP($E95,'BDD'!$A$1:$S$567,MATCH(G$10,'BDD'!$A$1:$P$1,0),FALSE)=0,"",VLOOKUP($E95,'BDD'!$A$1:$S$567,MATCH(G$10,'BDD'!$A$1:$P$1,0),FALSE)),"")</f>
      </c>
      <c r="H95" s="570">
        <f>IF(VLOOKUP(E95,'BDD'!$A$1:$S$567,15,FALSE)=0,"Critère non évalué","")</f>
      </c>
      <c r="I95" s="571">
        <f>_xlfn.IFERROR(IF(VLOOKUP($E95,'BDD'!$A$1:$S$567,MATCH(I$10,'BDD'!$A$1:$P$1,0),FALSE)=0,"",VLOOKUP($E95,'BDD'!$A$1:$S$567,MATCH(I$10,'BDD'!$A$1:$P$1,0),FALSE)),"")</f>
      </c>
      <c r="J95" s="554"/>
      <c r="K95" s="557">
        <f>_xlfn.IFERROR(IF(VLOOKUP($E95,'BDD'!$A$1:$S$567,MATCH(K$10,'BDD'!$A$1:$P$1,0),FALSE)=0,"",VLOOKUP($E95,'BDD'!$A$1:$S$567,MATCH(K$10,'BDD'!$A$1:$P$1,0),FALSE)),"")</f>
      </c>
      <c r="L95" s="550"/>
      <c r="M95" s="555"/>
      <c r="N95" s="555"/>
      <c r="O95" s="534"/>
      <c r="P95" s="1042"/>
    </row>
    <row r="96" ht="130.05" customHeight="1">
      <c r="A96" s="1039"/>
      <c r="B96" s="542"/>
      <c r="C96" t="s" s="543">
        <f>IF(LEFT(RIGHT($B$1,2),1)=" ",RIGHT($B$1,1),RIGHT($B$1,2))</f>
        <v>267</v>
      </c>
      <c r="D96" s="550">
        <f>IF(LEFT(F96,14)="Bonne pratique",D95+1,D95)</f>
      </c>
      <c r="E96" s="566">
        <f>C96&amp;D96&amp;RIGHT(F96,1)</f>
      </c>
      <c r="F96" t="s" s="546">
        <v>1774</v>
      </c>
      <c r="G96" s="567">
        <f>_xlfn.IFERROR(IF(VLOOKUP($E96,'BDD'!$A$1:$S$567,MATCH(G$10,'BDD'!$A$1:$P$1,0),FALSE)=0,"",VLOOKUP($E96,'BDD'!$A$1:$S$567,MATCH(G$10,'BDD'!$A$1:$P$1,0),FALSE)),"")</f>
      </c>
      <c r="H96" s="568">
        <f>IF(VLOOKUP(E96,'BDD'!$A$1:$S$567,15,FALSE)=0,"Critère non évalué","")</f>
      </c>
      <c r="I96" s="569">
        <f>_xlfn.IFERROR(IF(VLOOKUP($E96,'BDD'!$A$1:$S$567,MATCH(I$10,'BDD'!$A$1:$P$1,0),FALSE)=0,"",VLOOKUP($E96,'BDD'!$A$1:$S$567,MATCH(I$10,'BDD'!$A$1:$P$1,0),FALSE)),"")</f>
      </c>
      <c r="J96" s="549"/>
      <c r="K96" s="567">
        <f>_xlfn.IFERROR(IF(VLOOKUP($E96,'BDD'!$A$1:$S$567,MATCH(K$10,'BDD'!$A$1:$P$1,0),FALSE)=0,"",VLOOKUP($E96,'BDD'!$A$1:$S$567,MATCH(K$10,'BDD'!$A$1:$P$1,0),FALSE)),"")</f>
      </c>
      <c r="L96" s="550"/>
      <c r="M96" s="551"/>
      <c r="N96" s="551"/>
      <c r="O96" s="534"/>
      <c r="P96" s="1042"/>
    </row>
    <row r="97" ht="130.05" customHeight="1">
      <c r="A97" s="1039"/>
      <c r="B97" s="542"/>
      <c r="C97" t="s" s="543">
        <f>IF(LEFT(RIGHT($B$1,2),1)=" ",RIGHT($B$1,1),RIGHT($B$1,2))</f>
        <v>267</v>
      </c>
      <c r="D97" s="550">
        <f>IF(LEFT(F97,14)="Bonne pratique",D96+1,D96)</f>
      </c>
      <c r="E97" s="566">
        <f>C97&amp;D97&amp;RIGHT(F97,1)</f>
      </c>
      <c r="F97" t="s" s="552">
        <v>1776</v>
      </c>
      <c r="G97" s="557">
        <f>_xlfn.IFERROR(IF(VLOOKUP($E97,'BDD'!$A$1:$S$567,MATCH(G$10,'BDD'!$A$1:$P$1,0),FALSE)=0,"",VLOOKUP($E97,'BDD'!$A$1:$S$567,MATCH(G$10,'BDD'!$A$1:$P$1,0),FALSE)),"")</f>
      </c>
      <c r="H97" s="570">
        <f>IF(VLOOKUP(E97,'BDD'!$A$1:$S$567,15,FALSE)=0,"Critère non évalué","")</f>
      </c>
      <c r="I97" s="571">
        <f>_xlfn.IFERROR(IF(VLOOKUP($E97,'BDD'!$A$1:$S$567,MATCH(I$10,'BDD'!$A$1:$P$1,0),FALSE)=0,"",VLOOKUP($E97,'BDD'!$A$1:$S$567,MATCH(I$10,'BDD'!$A$1:$P$1,0),FALSE)),"")</f>
      </c>
      <c r="J97" s="556"/>
      <c r="K97" s="557">
        <f>_xlfn.IFERROR(IF(VLOOKUP($E97,'BDD'!$A$1:$S$567,MATCH(K$10,'BDD'!$A$1:$P$1,0),FALSE)=0,"",VLOOKUP($E97,'BDD'!$A$1:$S$567,MATCH(K$10,'BDD'!$A$1:$P$1,0),FALSE)),"")</f>
      </c>
      <c r="L97" s="550"/>
      <c r="M97" s="555"/>
      <c r="N97" s="555"/>
      <c r="O97" s="534"/>
      <c r="P97" s="1042"/>
    </row>
    <row r="98" ht="130.05" customHeight="1">
      <c r="A98" s="1039"/>
      <c r="B98" s="542"/>
      <c r="C98" t="s" s="543">
        <f>IF(LEFT(RIGHT($B$1,2),1)=" ",RIGHT($B$1,1),RIGHT($B$1,2))</f>
        <v>267</v>
      </c>
      <c r="D98" s="550">
        <f>IF(LEFT(F98,14)="Bonne pratique",D97+1,D97)</f>
      </c>
      <c r="E98" s="566">
        <f>C98&amp;D98&amp;RIGHT(F98,1)</f>
      </c>
      <c r="F98" t="s" s="546">
        <v>1778</v>
      </c>
      <c r="G98" s="567">
        <f>_xlfn.IFERROR(IF(VLOOKUP($E98,'BDD'!$A$1:$S$567,MATCH(G$10,'BDD'!$A$1:$P$1,0),FALSE)=0,"",VLOOKUP($E98,'BDD'!$A$1:$S$567,MATCH(G$10,'BDD'!$A$1:$P$1,0),FALSE)),"")</f>
      </c>
      <c r="H98" s="568">
        <f>IF(VLOOKUP(E98,'BDD'!$A$1:$S$567,15,FALSE)=0,"Critère non évalué","")</f>
      </c>
      <c r="I98" s="569">
        <f>_xlfn.IFERROR(IF(VLOOKUP($E98,'BDD'!$A$1:$S$567,MATCH(I$10,'BDD'!$A$1:$P$1,0),FALSE)=0,"",VLOOKUP($E98,'BDD'!$A$1:$S$567,MATCH(I$10,'BDD'!$A$1:$P$1,0),FALSE)),"")</f>
      </c>
      <c r="J98" s="549"/>
      <c r="K98" s="567">
        <f>_xlfn.IFERROR(IF(VLOOKUP($E98,'BDD'!$A$1:$S$567,MATCH(K$10,'BDD'!$A$1:$P$1,0),FALSE)=0,"",VLOOKUP($E98,'BDD'!$A$1:$S$567,MATCH(K$10,'BDD'!$A$1:$P$1,0),FALSE)),"")</f>
      </c>
      <c r="L98" s="550"/>
      <c r="M98" s="557"/>
      <c r="N98" s="557"/>
      <c r="O98" s="534"/>
      <c r="P98" s="1042"/>
    </row>
    <row r="99" ht="130.05" customHeight="1">
      <c r="A99" s="1039"/>
      <c r="B99" s="542"/>
      <c r="C99" t="s" s="543">
        <f>IF(LEFT(RIGHT($B$1,2),1)=" ",RIGHT($B$1,1),RIGHT($B$1,2))</f>
        <v>267</v>
      </c>
      <c r="D99" s="550">
        <f>IF(LEFT(F99,14)="Bonne pratique",D98+1,D98)</f>
      </c>
      <c r="E99" s="566">
        <f>C99&amp;D99&amp;RIGHT(F99,1)</f>
      </c>
      <c r="F99" t="s" s="552">
        <v>1780</v>
      </c>
      <c r="G99" s="557">
        <f>_xlfn.IFERROR(IF(VLOOKUP($E99,'BDD'!$A$1:$S$567,MATCH(G$10,'BDD'!$A$1:$P$1,0),FALSE)=0,"",VLOOKUP($E99,'BDD'!$A$1:$S$567,MATCH(G$10,'BDD'!$A$1:$P$1,0),FALSE)),"")</f>
      </c>
      <c r="H99" s="570">
        <f>IF(VLOOKUP(E99,'BDD'!$A$1:$S$567,15,FALSE)=0,"Critère non évalué","")</f>
      </c>
      <c r="I99" s="571">
        <f>_xlfn.IFERROR(IF(VLOOKUP($E99,'BDD'!$A$1:$S$567,MATCH(I$10,'BDD'!$A$1:$P$1,0),FALSE)=0,"",VLOOKUP($E99,'BDD'!$A$1:$S$567,MATCH(I$10,'BDD'!$A$1:$P$1,0),FALSE)),"")</f>
      </c>
      <c r="J99" s="556"/>
      <c r="K99" s="557">
        <f>_xlfn.IFERROR(IF(VLOOKUP($E99,'BDD'!$A$1:$S$567,MATCH(K$10,'BDD'!$A$1:$P$1,0),FALSE)=0,"",VLOOKUP($E99,'BDD'!$A$1:$S$567,MATCH(K$10,'BDD'!$A$1:$P$1,0),FALSE)),"")</f>
      </c>
      <c r="L99" s="550"/>
      <c r="M99" s="555"/>
      <c r="N99" s="555"/>
      <c r="O99" s="534"/>
      <c r="P99" s="1042"/>
    </row>
    <row r="100" ht="130.05" customHeight="1">
      <c r="A100" s="1039"/>
      <c r="B100" s="542"/>
      <c r="C100" t="s" s="543">
        <f>IF(LEFT(RIGHT($B$1,2),1)=" ",RIGHT($B$1,1),RIGHT($B$1,2))</f>
        <v>267</v>
      </c>
      <c r="D100" s="550">
        <f>IF(LEFT(F100,14)="Bonne pratique",D99+1,D99)</f>
      </c>
      <c r="E100" s="566">
        <f>C100&amp;D100&amp;RIGHT(F100,1)</f>
      </c>
      <c r="F100" t="s" s="546">
        <v>1782</v>
      </c>
      <c r="G100" s="567">
        <f>_xlfn.IFERROR(IF(VLOOKUP($E100,'BDD'!$A$1:$S$567,MATCH(G$10,'BDD'!$A$1:$P$1,0),FALSE)=0,"",VLOOKUP($E100,'BDD'!$A$1:$S$567,MATCH(G$10,'BDD'!$A$1:$P$1,0),FALSE)),"")</f>
      </c>
      <c r="H100" s="568">
        <f>IF(VLOOKUP(E100,'BDD'!$A$1:$S$567,15,FALSE)=0,"Critère non évalué","")</f>
      </c>
      <c r="I100" s="569">
        <f>_xlfn.IFERROR(IF(VLOOKUP($E100,'BDD'!$A$1:$S$567,MATCH(I$10,'BDD'!$A$1:$P$1,0),FALSE)=0,"",VLOOKUP($E100,'BDD'!$A$1:$S$567,MATCH(I$10,'BDD'!$A$1:$P$1,0),FALSE)),"")</f>
      </c>
      <c r="J100" s="549"/>
      <c r="K100" s="567">
        <f>_xlfn.IFERROR(IF(VLOOKUP($E100,'BDD'!$A$1:$S$567,MATCH(K$10,'BDD'!$A$1:$P$1,0),FALSE)=0,"",VLOOKUP($E100,'BDD'!$A$1:$S$567,MATCH(K$10,'BDD'!$A$1:$P$1,0),FALSE)),"")</f>
      </c>
      <c r="L100" s="550"/>
      <c r="M100" s="557"/>
      <c r="N100" s="557"/>
      <c r="O100" s="534"/>
      <c r="P100" s="1042"/>
    </row>
    <row r="101" ht="14.4" customHeight="1">
      <c r="A101" s="1039"/>
      <c r="B101" s="61"/>
      <c r="C101" t="s" s="513">
        <f>IF(LEFT(RIGHT($B$1,2),1)=" ",RIGHT($B$1,1),RIGHT($B$1,2))</f>
        <v>267</v>
      </c>
      <c r="D101" s="61"/>
      <c r="E101" s="61"/>
      <c r="F101" s="559"/>
      <c r="G101" s="559"/>
      <c r="H101" s="559"/>
      <c r="I101" s="559"/>
      <c r="J101" s="559"/>
      <c r="K101" s="559"/>
      <c r="L101" s="61"/>
      <c r="M101" s="559"/>
      <c r="N101" s="559"/>
      <c r="O101" s="61"/>
      <c r="P101" s="1042"/>
    </row>
    <row r="102" ht="14.4" customHeight="1">
      <c r="A102" s="1039"/>
      <c r="B102" s="61"/>
      <c r="C102" t="s" s="513">
        <f>IF(LEFT(RIGHT($B$1,2),1)=" ",RIGHT($B$1,1),RIGHT($B$1,2))</f>
        <v>267</v>
      </c>
      <c r="D102" s="61"/>
      <c r="E102" s="61"/>
      <c r="F102" s="61"/>
      <c r="G102" s="61"/>
      <c r="H102" s="61"/>
      <c r="I102" s="61"/>
      <c r="J102" s="61"/>
      <c r="K102" s="61"/>
      <c r="L102" s="61"/>
      <c r="M102" s="61"/>
      <c r="N102" s="61"/>
      <c r="O102" s="61"/>
      <c r="P102" s="1042"/>
    </row>
    <row r="103" ht="30" customHeight="1">
      <c r="A103" s="1043"/>
      <c r="B103" s="512"/>
      <c r="C103" t="s" s="513">
        <f>IF(LEFT(RIGHT($B$1,2),1)=" ",RIGHT($B$1,1),RIGHT($B$1,2))</f>
        <v>267</v>
      </c>
      <c r="D103" s="61">
        <f>IF(LEFT(F103,14)="Bonne pratique",D99+1,D99)</f>
      </c>
      <c r="E103" s="565">
        <f>C103&amp;D103&amp;RIGHT(F103,1)</f>
      </c>
      <c r="F103" t="s" s="516">
        <v>1888</v>
      </c>
      <c r="G103" s="517"/>
      <c r="H103" s="518"/>
      <c r="I103" s="519"/>
      <c r="J103" s="519">
        <f>VLOOKUP(E110,'BDD'!$A$2:$N$567,6,FALSE)</f>
      </c>
      <c r="K103" s="521"/>
      <c r="L103" s="517"/>
      <c r="M103" s="517"/>
      <c r="N103" s="517"/>
      <c r="O103" s="512"/>
      <c r="P103" s="1044"/>
    </row>
    <row r="104" ht="15" customHeight="1">
      <c r="A104" s="1039"/>
      <c r="B104" s="61"/>
      <c r="C104" t="s" s="513">
        <f>IF(LEFT(RIGHT($B$1,2),1)=" ",RIGHT($B$1,1),RIGHT($B$1,2))</f>
        <v>267</v>
      </c>
      <c r="D104" s="61">
        <f>IF(LEFT(F104,14)="Bonne pratique",D103+1,D103)</f>
      </c>
      <c r="E104" s="565">
        <f>C104&amp;D104&amp;RIGHT(F104,1)</f>
      </c>
      <c r="F104" s="61"/>
      <c r="G104" s="61"/>
      <c r="H104" s="61"/>
      <c r="I104" s="61"/>
      <c r="J104" s="61"/>
      <c r="K104" s="61"/>
      <c r="L104" s="61"/>
      <c r="M104" s="61"/>
      <c r="N104" s="61"/>
      <c r="O104" s="61"/>
      <c r="P104" s="1042"/>
    </row>
    <row r="105" ht="18" customHeight="1">
      <c r="A105" s="1045"/>
      <c r="B105" s="524"/>
      <c r="C105" t="s" s="513">
        <f>IF(LEFT(RIGHT($B$1,2),1)=" ",RIGHT($B$1,1),RIGHT($B$1,2))</f>
        <v>267</v>
      </c>
      <c r="D105" s="61">
        <f>IF(LEFT(F105,14)="Bonne pratique",D104+1,D104)</f>
      </c>
      <c r="E105" s="565">
        <f>C105&amp;D105&amp;RIGHT(F105,1)</f>
      </c>
      <c r="F105" s="524"/>
      <c r="G105" s="524"/>
      <c r="H105" s="524"/>
      <c r="I105" s="525"/>
      <c r="J105" s="1177"/>
      <c r="K105" s="525"/>
      <c r="L105" s="524"/>
      <c r="M105" s="524"/>
      <c r="N105" s="524"/>
      <c r="O105" s="524"/>
      <c r="P105" s="1046"/>
    </row>
    <row r="106" ht="18" customHeight="1">
      <c r="A106" s="1039"/>
      <c r="B106" s="61"/>
      <c r="C106" t="s" s="513">
        <f>IF(LEFT(RIGHT($B$1,2),1)=" ",RIGHT($B$1,1),RIGHT($B$1,2))</f>
        <v>267</v>
      </c>
      <c r="D106" s="61">
        <f>IF(LEFT(F106,14)="Bonne pratique",D105+1,D105)</f>
      </c>
      <c r="E106" s="565">
        <f>C106&amp;D106&amp;RIGHT(F106,1)</f>
      </c>
      <c r="F106" s="61"/>
      <c r="G106" s="61"/>
      <c r="H106" s="61"/>
      <c r="I106" s="61"/>
      <c r="J106" s="528"/>
      <c r="K106" s="61"/>
      <c r="L106" s="61"/>
      <c r="M106" s="529"/>
      <c r="N106" s="529"/>
      <c r="O106" s="61"/>
      <c r="P106" s="1042"/>
    </row>
    <row r="107" ht="15" customHeight="1">
      <c r="A107" s="1039"/>
      <c r="B107" s="61"/>
      <c r="C107" t="s" s="513">
        <f>IF(LEFT(RIGHT($B$1,2),1)=" ",RIGHT($B$1,1),RIGHT($B$1,2))</f>
        <v>267</v>
      </c>
      <c r="D107" s="61">
        <f>IF(LEFT(F107,14)="Bonne pratique",D106+1,D106)</f>
      </c>
      <c r="E107" s="565">
        <f>C107&amp;D107&amp;RIGHT(F107,1)</f>
      </c>
      <c r="F107" s="61"/>
      <c r="G107" s="529"/>
      <c r="H107" s="529"/>
      <c r="I107" s="529"/>
      <c r="J107" s="530"/>
      <c r="K107" s="529"/>
      <c r="L107" s="542"/>
      <c r="M107" t="s" s="562">
        <v>1763</v>
      </c>
      <c r="N107" s="563"/>
      <c r="O107" s="534"/>
      <c r="P107" s="1042"/>
    </row>
    <row r="108" ht="33" customHeight="1">
      <c r="A108" s="1039"/>
      <c r="B108" s="61"/>
      <c r="C108" t="s" s="513">
        <f>IF(LEFT(RIGHT($B$1,2),1)=" ",RIGHT($B$1,1),RIGHT($B$1,2))</f>
        <v>267</v>
      </c>
      <c r="D108" s="61">
        <f>IF(LEFT(F108,14)="Bonne pratique",D107+1,D107)</f>
      </c>
      <c r="E108" s="565">
        <f>C108&amp;D108&amp;RIGHT(F108,1)</f>
      </c>
      <c r="F108" s="564"/>
      <c r="G108" t="s" s="536">
        <v>244</v>
      </c>
      <c r="H108" t="s" s="536">
        <v>1764</v>
      </c>
      <c r="I108" t="s" s="536">
        <v>1787</v>
      </c>
      <c r="J108" t="s" s="536">
        <v>1765</v>
      </c>
      <c r="K108" t="s" s="536">
        <v>1788</v>
      </c>
      <c r="L108" s="538"/>
      <c r="M108" t="s" s="539">
        <v>1766</v>
      </c>
      <c r="N108" t="s" s="540">
        <v>1767</v>
      </c>
      <c r="O108" s="534"/>
      <c r="P108" s="1042"/>
    </row>
    <row r="109" ht="15" customHeight="1">
      <c r="A109" s="1039"/>
      <c r="B109" s="61"/>
      <c r="C109" t="s" s="513">
        <f>IF(LEFT(RIGHT($B$1,2),1)=" ",RIGHT($B$1,1),RIGHT($B$1,2))</f>
        <v>267</v>
      </c>
      <c r="D109" s="61">
        <f>IF(LEFT(F109,14)="Bonne pratique",D108+1,D108)</f>
      </c>
      <c r="E109" s="565">
        <f>C109&amp;D109&amp;RIGHT(F109,1)</f>
      </c>
      <c r="F109" s="529"/>
      <c r="G109" s="541"/>
      <c r="H109" s="541"/>
      <c r="I109" s="541"/>
      <c r="J109" s="541"/>
      <c r="K109" s="541"/>
      <c r="L109" s="61"/>
      <c r="M109" s="541"/>
      <c r="N109" s="541"/>
      <c r="O109" s="61"/>
      <c r="P109" s="1042"/>
    </row>
    <row r="110" ht="130.05" customHeight="1">
      <c r="A110" s="1039"/>
      <c r="B110" s="542"/>
      <c r="C110" t="s" s="543">
        <f>IF(LEFT(RIGHT($B$1,2),1)=" ",RIGHT($B$1,1),RIGHT($B$1,2))</f>
        <v>267</v>
      </c>
      <c r="D110" s="550">
        <f>IF(LEFT(F110,14)="Bonne pratique",D109+1,D109)</f>
      </c>
      <c r="E110" s="566">
        <f>C110&amp;D110&amp;RIGHT(F110,1)</f>
      </c>
      <c r="F110" t="s" s="546">
        <v>1769</v>
      </c>
      <c r="G110" s="567">
        <f>_xlfn.IFERROR(IF(VLOOKUP($E110,'BDD'!$A$1:$S$567,MATCH(G$10,'BDD'!$A$1:$P$1,0),FALSE)=0,"",VLOOKUP($E110,'BDD'!$A$1:$S$567,MATCH(G$10,'BDD'!$A$1:$P$1,0),FALSE)),"")</f>
      </c>
      <c r="H110" s="568">
        <f>IF(VLOOKUP(E110,'BDD'!$A$1:$S$567,15,FALSE)=0,"Critère non évalué","")</f>
      </c>
      <c r="I110" s="569">
        <f>_xlfn.IFERROR(IF(VLOOKUP($E110,'BDD'!$A$1:$S$567,MATCH(I$10,'BDD'!$A$1:$P$1,0),FALSE)=0,"",VLOOKUP($E110,'BDD'!$A$1:$S$567,MATCH(I$10,'BDD'!$A$1:$P$1,0),FALSE)),"")</f>
      </c>
      <c r="J110" s="549"/>
      <c r="K110" s="567">
        <f>_xlfn.IFERROR(IF(VLOOKUP($E110,'BDD'!$A$1:$S$567,MATCH(K$10,'BDD'!$A$1:$P$1,0),FALSE)=0,"",VLOOKUP($E110,'BDD'!$A$1:$S$567,MATCH(K$10,'BDD'!$A$1:$P$1,0),FALSE)),"")</f>
      </c>
      <c r="L110" s="550"/>
      <c r="M110" s="551"/>
      <c r="N110" s="551"/>
      <c r="O110" s="534"/>
      <c r="P110" s="1042"/>
    </row>
    <row r="111" ht="130.05" customHeight="1">
      <c r="A111" s="1039"/>
      <c r="B111" s="542"/>
      <c r="C111" t="s" s="543">
        <f>IF(LEFT(RIGHT($B$1,2),1)=" ",RIGHT($B$1,1),RIGHT($B$1,2))</f>
        <v>267</v>
      </c>
      <c r="D111" s="550">
        <f>IF(LEFT(F111,14)="Bonne pratique",D110+1,D110)</f>
      </c>
      <c r="E111" s="566">
        <f>C111&amp;D111&amp;RIGHT(F111,1)</f>
      </c>
      <c r="F111" t="s" s="552">
        <v>1772</v>
      </c>
      <c r="G111" s="557">
        <f>_xlfn.IFERROR(IF(VLOOKUP($E111,'BDD'!$A$1:$S$567,MATCH(G$10,'BDD'!$A$1:$P$1,0),FALSE)=0,"",VLOOKUP($E111,'BDD'!$A$1:$S$567,MATCH(G$10,'BDD'!$A$1:$P$1,0),FALSE)),"")</f>
      </c>
      <c r="H111" s="570">
        <f>IF(VLOOKUP(E111,'BDD'!$A$1:$S$567,15,FALSE)=0,"Critère non évalué","")</f>
      </c>
      <c r="I111" s="571">
        <f>_xlfn.IFERROR(IF(VLOOKUP($E111,'BDD'!$A$1:$S$567,MATCH(I$10,'BDD'!$A$1:$P$1,0),FALSE)=0,"",VLOOKUP($E111,'BDD'!$A$1:$S$567,MATCH(I$10,'BDD'!$A$1:$P$1,0),FALSE)),"")</f>
      </c>
      <c r="J111" s="554"/>
      <c r="K111" s="557">
        <f>_xlfn.IFERROR(IF(VLOOKUP($E111,'BDD'!$A$1:$S$567,MATCH(K$10,'BDD'!$A$1:$P$1,0),FALSE)=0,"",VLOOKUP($E111,'BDD'!$A$1:$S$567,MATCH(K$10,'BDD'!$A$1:$P$1,0),FALSE)),"")</f>
      </c>
      <c r="L111" s="550"/>
      <c r="M111" s="555"/>
      <c r="N111" s="555"/>
      <c r="O111" s="534"/>
      <c r="P111" s="1042"/>
    </row>
    <row r="112" ht="130.05" customHeight="1">
      <c r="A112" s="1039"/>
      <c r="B112" s="542"/>
      <c r="C112" t="s" s="543">
        <f>IF(LEFT(RIGHT($B$1,2),1)=" ",RIGHT($B$1,1),RIGHT($B$1,2))</f>
        <v>267</v>
      </c>
      <c r="D112" s="550">
        <f>IF(LEFT(F112,14)="Bonne pratique",D111+1,D111)</f>
      </c>
      <c r="E112" s="566">
        <f>C112&amp;D112&amp;RIGHT(F112,1)</f>
      </c>
      <c r="F112" t="s" s="546">
        <v>1774</v>
      </c>
      <c r="G112" s="567">
        <f>_xlfn.IFERROR(IF(VLOOKUP($E112,'BDD'!$A$1:$S$567,MATCH(G$10,'BDD'!$A$1:$P$1,0),FALSE)=0,"",VLOOKUP($E112,'BDD'!$A$1:$S$567,MATCH(G$10,'BDD'!$A$1:$P$1,0),FALSE)),"")</f>
      </c>
      <c r="H112" s="568">
        <f>IF(VLOOKUP(E112,'BDD'!$A$1:$S$567,15,FALSE)=0,"Critère non évalué","")</f>
      </c>
      <c r="I112" s="569">
        <f>_xlfn.IFERROR(IF(VLOOKUP($E112,'BDD'!$A$1:$S$567,MATCH(I$10,'BDD'!$A$1:$P$1,0),FALSE)=0,"",VLOOKUP($E112,'BDD'!$A$1:$S$567,MATCH(I$10,'BDD'!$A$1:$P$1,0),FALSE)),"")</f>
      </c>
      <c r="J112" s="549"/>
      <c r="K112" s="567">
        <f>_xlfn.IFERROR(IF(VLOOKUP($E112,'BDD'!$A$1:$S$567,MATCH(K$10,'BDD'!$A$1:$P$1,0),FALSE)=0,"",VLOOKUP($E112,'BDD'!$A$1:$S$567,MATCH(K$10,'BDD'!$A$1:$P$1,0),FALSE)),"")</f>
      </c>
      <c r="L112" s="550"/>
      <c r="M112" s="551"/>
      <c r="N112" s="551"/>
      <c r="O112" s="534"/>
      <c r="P112" s="1042"/>
    </row>
    <row r="113" ht="130.05" customHeight="1">
      <c r="A113" s="1039"/>
      <c r="B113" s="542"/>
      <c r="C113" t="s" s="543">
        <f>IF(LEFT(RIGHT($B$1,2),1)=" ",RIGHT($B$1,1),RIGHT($B$1,2))</f>
        <v>267</v>
      </c>
      <c r="D113" s="550">
        <f>IF(LEFT(F113,14)="Bonne pratique",D112+1,D112)</f>
      </c>
      <c r="E113" s="566">
        <f>C113&amp;D113&amp;RIGHT(F113,1)</f>
      </c>
      <c r="F113" t="s" s="552">
        <v>1776</v>
      </c>
      <c r="G113" s="557">
        <f>_xlfn.IFERROR(IF(VLOOKUP($E113,'BDD'!$A$1:$S$567,MATCH(G$10,'BDD'!$A$1:$P$1,0),FALSE)=0,"",VLOOKUP($E113,'BDD'!$A$1:$S$567,MATCH(G$10,'BDD'!$A$1:$P$1,0),FALSE)),"")</f>
      </c>
      <c r="H113" s="570">
        <f>IF(VLOOKUP(E113,'BDD'!$A$1:$S$567,15,FALSE)=0,"Critère non évalué","")</f>
      </c>
      <c r="I113" s="571">
        <f>_xlfn.IFERROR(IF(VLOOKUP($E113,'BDD'!$A$1:$S$567,MATCH(I$10,'BDD'!$A$1:$P$1,0),FALSE)=0,"",VLOOKUP($E113,'BDD'!$A$1:$S$567,MATCH(I$10,'BDD'!$A$1:$P$1,0),FALSE)),"")</f>
      </c>
      <c r="J113" s="556"/>
      <c r="K113" s="557">
        <f>_xlfn.IFERROR(IF(VLOOKUP($E113,'BDD'!$A$1:$S$567,MATCH(K$10,'BDD'!$A$1:$P$1,0),FALSE)=0,"",VLOOKUP($E113,'BDD'!$A$1:$S$567,MATCH(K$10,'BDD'!$A$1:$P$1,0),FALSE)),"")</f>
      </c>
      <c r="L113" s="550"/>
      <c r="M113" s="555"/>
      <c r="N113" s="555"/>
      <c r="O113" s="534"/>
      <c r="P113" s="1042"/>
    </row>
    <row r="114" ht="130.05" customHeight="1">
      <c r="A114" s="1039"/>
      <c r="B114" s="542"/>
      <c r="C114" t="s" s="543">
        <f>IF(LEFT(RIGHT($B$1,2),1)=" ",RIGHT($B$1,1),RIGHT($B$1,2))</f>
        <v>267</v>
      </c>
      <c r="D114" s="550">
        <f>IF(LEFT(F114,14)="Bonne pratique",D113+1,D113)</f>
      </c>
      <c r="E114" s="566">
        <f>C114&amp;D114&amp;RIGHT(F114,1)</f>
      </c>
      <c r="F114" t="s" s="546">
        <v>1778</v>
      </c>
      <c r="G114" s="567">
        <f>_xlfn.IFERROR(IF(VLOOKUP($E114,'BDD'!$A$1:$S$567,MATCH(G$10,'BDD'!$A$1:$P$1,0),FALSE)=0,"",VLOOKUP($E114,'BDD'!$A$1:$S$567,MATCH(G$10,'BDD'!$A$1:$P$1,0),FALSE)),"")</f>
      </c>
      <c r="H114" s="568">
        <f>IF(VLOOKUP(E114,'BDD'!$A$1:$S$567,15,FALSE)=0,"Critère non évalué","")</f>
      </c>
      <c r="I114" s="569">
        <f>_xlfn.IFERROR(IF(VLOOKUP($E114,'BDD'!$A$1:$S$567,MATCH(I$10,'BDD'!$A$1:$P$1,0),FALSE)=0,"",VLOOKUP($E114,'BDD'!$A$1:$S$567,MATCH(I$10,'BDD'!$A$1:$P$1,0),FALSE)),"")</f>
      </c>
      <c r="J114" s="549"/>
      <c r="K114" s="567">
        <f>_xlfn.IFERROR(IF(VLOOKUP($E114,'BDD'!$A$1:$S$567,MATCH(K$10,'BDD'!$A$1:$P$1,0),FALSE)=0,"",VLOOKUP($E114,'BDD'!$A$1:$S$567,MATCH(K$10,'BDD'!$A$1:$P$1,0),FALSE)),"")</f>
      </c>
      <c r="L114" s="550"/>
      <c r="M114" s="557"/>
      <c r="N114" s="557"/>
      <c r="O114" s="534"/>
      <c r="P114" s="1042"/>
    </row>
    <row r="115" ht="130.05" customHeight="1">
      <c r="A115" s="1039"/>
      <c r="B115" s="542"/>
      <c r="C115" t="s" s="543">
        <f>IF(LEFT(RIGHT($B$1,2),1)=" ",RIGHT($B$1,1),RIGHT($B$1,2))</f>
        <v>267</v>
      </c>
      <c r="D115" s="550">
        <f>IF(LEFT(F115,14)="Bonne pratique",D114+1,D114)</f>
      </c>
      <c r="E115" s="566">
        <f>C115&amp;D115&amp;RIGHT(F115,1)</f>
      </c>
      <c r="F115" t="s" s="552">
        <v>1780</v>
      </c>
      <c r="G115" s="557">
        <f>_xlfn.IFERROR(IF(VLOOKUP($E115,'BDD'!$A$1:$S$567,MATCH(G$10,'BDD'!$A$1:$P$1,0),FALSE)=0,"",VLOOKUP($E115,'BDD'!$A$1:$S$567,MATCH(G$10,'BDD'!$A$1:$P$1,0),FALSE)),"")</f>
      </c>
      <c r="H115" s="570">
        <f>IF(VLOOKUP(E115,'BDD'!$A$1:$S$567,15,FALSE)=0,"Critère non évalué","")</f>
      </c>
      <c r="I115" s="571">
        <f>_xlfn.IFERROR(IF(VLOOKUP($E115,'BDD'!$A$1:$S$567,MATCH(I$10,'BDD'!$A$1:$P$1,0),FALSE)=0,"",VLOOKUP($E115,'BDD'!$A$1:$S$567,MATCH(I$10,'BDD'!$A$1:$P$1,0),FALSE)),"")</f>
      </c>
      <c r="J115" s="556"/>
      <c r="K115" s="557">
        <f>_xlfn.IFERROR(IF(VLOOKUP($E115,'BDD'!$A$1:$S$567,MATCH(K$10,'BDD'!$A$1:$P$1,0),FALSE)=0,"",VLOOKUP($E115,'BDD'!$A$1:$S$567,MATCH(K$10,'BDD'!$A$1:$P$1,0),FALSE)),"")</f>
      </c>
      <c r="L115" s="550"/>
      <c r="M115" s="555"/>
      <c r="N115" s="555"/>
      <c r="O115" s="534"/>
      <c r="P115" s="1042"/>
    </row>
    <row r="116" ht="130.05" customHeight="1">
      <c r="A116" s="1039"/>
      <c r="B116" s="542"/>
      <c r="C116" t="s" s="543">
        <f>RIGHT($B$1,1)</f>
        <v>1854</v>
      </c>
      <c r="D116" s="550">
        <f>IF(LEFT(F116,14)="Bonne pratique",D115+1,D115)</f>
      </c>
      <c r="E116" s="566">
        <f>C116&amp;D116&amp;RIGHT(F116,1)</f>
      </c>
      <c r="F116" t="s" s="546">
        <v>1782</v>
      </c>
      <c r="G116" s="567">
        <f>_xlfn.IFERROR(IF(VLOOKUP($E116,'BDD'!$A$1:$S$567,MATCH(G$10,'BDD'!$A$1:$P$1,0),FALSE)=0,"",VLOOKUP($E116,'BDD'!$A$1:$S$567,MATCH(G$10,'BDD'!$A$1:$P$1,0),FALSE)),"")</f>
      </c>
      <c r="H116" s="568">
        <f>IF(VLOOKUP(E116,'BDD'!$A$1:$S$567,15,FALSE)=0,"Critère non évalué","")</f>
      </c>
      <c r="I116" s="569">
        <f>_xlfn.IFERROR(IF(VLOOKUP($E116,'BDD'!$A$1:$S$567,MATCH(I$10,'BDD'!$A$1:$P$1,0),FALSE)=0,"",VLOOKUP($E116,'BDD'!$A$1:$S$567,MATCH(I$10,'BDD'!$A$1:$P$1,0),FALSE)),"")</f>
      </c>
      <c r="J116" s="549"/>
      <c r="K116" s="567">
        <f>_xlfn.IFERROR(IF(VLOOKUP($E116,'BDD'!$A$1:$S$567,MATCH(K$10,'BDD'!$A$1:$P$1,0),FALSE)=0,"",VLOOKUP($E116,'BDD'!$A$1:$S$567,MATCH(K$10,'BDD'!$A$1:$P$1,0),FALSE)),"")</f>
      </c>
      <c r="L116" s="550"/>
      <c r="M116" s="557"/>
      <c r="N116" s="557"/>
      <c r="O116" s="534"/>
      <c r="P116" s="1042"/>
    </row>
    <row r="117" ht="14.4" customHeight="1">
      <c r="A117" s="1039"/>
      <c r="B117" s="61"/>
      <c r="C117" s="61"/>
      <c r="D117" s="61"/>
      <c r="E117" s="61"/>
      <c r="F117" s="559"/>
      <c r="G117" s="559"/>
      <c r="H117" s="559"/>
      <c r="I117" s="559"/>
      <c r="J117" s="559"/>
      <c r="K117" s="559"/>
      <c r="L117" s="61"/>
      <c r="M117" s="559"/>
      <c r="N117" s="559"/>
      <c r="O117" s="61"/>
      <c r="P117" s="1042"/>
    </row>
    <row r="118" ht="14.4" customHeight="1">
      <c r="A118" t="s" s="1047">
        <v>171</v>
      </c>
      <c r="B118" s="1048"/>
      <c r="C118" s="1048"/>
      <c r="D118" s="1048"/>
      <c r="E118" s="1048"/>
      <c r="F118" s="1048"/>
      <c r="G118" s="1048"/>
      <c r="H118" s="1048"/>
      <c r="I118" s="1048"/>
      <c r="J118" s="1048"/>
      <c r="K118" s="1048"/>
      <c r="L118" s="1048"/>
      <c r="M118" s="1048"/>
      <c r="N118" s="1048"/>
      <c r="O118" s="1048"/>
      <c r="P118" t="s" s="1049">
        <v>171</v>
      </c>
    </row>
  </sheetData>
  <mergeCells count="7">
    <mergeCell ref="M107:N107"/>
    <mergeCell ref="M9:N9"/>
    <mergeCell ref="M25:N25"/>
    <mergeCell ref="M41:N41"/>
    <mergeCell ref="M57:N57"/>
    <mergeCell ref="M75:N75"/>
    <mergeCell ref="M91:N91"/>
  </mergeCells>
  <pageMargins left="0.7" right="0.7" top="0.75" bottom="0.75" header="0.3" footer="0.3"/>
  <pageSetup firstPageNumber="1" fitToHeight="1" fitToWidth="1" scale="100" useFirstPageNumber="0" orientation="portrait" pageOrder="downThenOver"/>
  <headerFooter>
    <oddFooter>&amp;C&amp;"Helvetica Neue,Regular"&amp;12&amp;K000000&amp;P</oddFooter>
  </headerFooter>
  <drawing r:id="rId1"/>
</worksheet>
</file>

<file path=xl/worksheets/sheet4.xml><?xml version="1.0" encoding="utf-8"?>
<worksheet xmlns:r="http://schemas.openxmlformats.org/officeDocument/2006/relationships" xmlns="http://schemas.openxmlformats.org/spreadsheetml/2006/main">
  <dimension ref="A1:Z111"/>
  <sheetViews>
    <sheetView workbookViewId="0" showGridLines="0" defaultGridColor="1"/>
  </sheetViews>
  <sheetFormatPr defaultColWidth="10.8333" defaultRowHeight="14.4" customHeight="1" outlineLevelRow="0" outlineLevelCol="0"/>
  <cols>
    <col min="1" max="3" width="3.85156" style="39" customWidth="1"/>
    <col min="4" max="4" width="5.85156" style="39" customWidth="1"/>
    <col min="5" max="5" hidden="1" width="10.8333" style="39" customWidth="1"/>
    <col min="6" max="6" width="30.5" style="39" customWidth="1"/>
    <col min="7" max="7" width="69.1719" style="39" customWidth="1"/>
    <col min="8" max="8" width="2.5" style="39" customWidth="1"/>
    <col min="9" max="16" width="4.85156" style="39" customWidth="1"/>
    <col min="17" max="17" width="2.5" style="39" customWidth="1"/>
    <col min="18" max="18" width="17.1719" style="39" customWidth="1"/>
    <col min="19" max="19" width="61" style="39" customWidth="1"/>
    <col min="20" max="20" width="2.5" style="39" customWidth="1"/>
    <col min="21" max="21" width="14.8516" style="39" customWidth="1"/>
    <col min="22" max="22" width="15.1719" style="39" customWidth="1"/>
    <col min="23" max="23" width="2.5" style="39" customWidth="1"/>
    <col min="24" max="24" width="38.5" style="39" customWidth="1"/>
    <col min="25" max="25" width="5.85156" style="39" customWidth="1"/>
    <col min="26" max="26" width="13.1719" style="39" customWidth="1"/>
    <col min="27" max="16384" width="10.8516" style="39" customWidth="1"/>
  </cols>
  <sheetData>
    <row r="1" ht="17.4" customHeight="1">
      <c r="A1" s="40"/>
      <c r="B1" s="41"/>
      <c r="C1" s="41"/>
      <c r="D1" s="41"/>
      <c r="E1" s="41"/>
      <c r="F1" s="41"/>
      <c r="G1" s="41"/>
      <c r="H1" s="41"/>
      <c r="I1" s="41"/>
      <c r="J1" s="41"/>
      <c r="K1" s="41"/>
      <c r="L1" s="41"/>
      <c r="M1" s="41"/>
      <c r="N1" s="41"/>
      <c r="O1" s="41"/>
      <c r="P1" s="41"/>
      <c r="Q1" s="41"/>
      <c r="R1" s="41"/>
      <c r="S1" s="41"/>
      <c r="T1" s="41"/>
      <c r="U1" s="41"/>
      <c r="V1" s="41"/>
      <c r="W1" s="41"/>
      <c r="X1" s="41"/>
      <c r="Y1" s="41"/>
      <c r="Z1" s="42"/>
    </row>
    <row r="2" ht="30.6" customHeight="1">
      <c r="A2" s="43"/>
      <c r="B2" s="44"/>
      <c r="C2" s="44"/>
      <c r="D2" s="44"/>
      <c r="E2" s="44"/>
      <c r="F2" s="44"/>
      <c r="G2" s="44"/>
      <c r="H2" s="44"/>
      <c r="I2" s="44"/>
      <c r="J2" s="44"/>
      <c r="K2" s="44"/>
      <c r="L2" s="44"/>
      <c r="M2" s="44"/>
      <c r="N2" t="s" s="45">
        <v>9</v>
      </c>
      <c r="O2" s="44"/>
      <c r="P2" s="44"/>
      <c r="Q2" s="44"/>
      <c r="R2" s="44"/>
      <c r="S2" s="44"/>
      <c r="T2" s="44"/>
      <c r="U2" s="44"/>
      <c r="V2" s="44"/>
      <c r="W2" s="44"/>
      <c r="X2" s="44"/>
      <c r="Y2" s="44"/>
      <c r="Z2" s="46"/>
    </row>
    <row r="3" ht="14.4" customHeight="1">
      <c r="A3" s="43"/>
      <c r="B3" s="44"/>
      <c r="C3" s="44"/>
      <c r="D3" s="44"/>
      <c r="E3" s="44"/>
      <c r="F3" s="44"/>
      <c r="G3" s="44"/>
      <c r="H3" s="44"/>
      <c r="I3" s="44"/>
      <c r="J3" s="44"/>
      <c r="K3" s="44"/>
      <c r="L3" s="44"/>
      <c r="M3" s="44"/>
      <c r="N3" s="44"/>
      <c r="O3" s="44"/>
      <c r="P3" s="44"/>
      <c r="Q3" s="44"/>
      <c r="R3" s="44"/>
      <c r="S3" s="44"/>
      <c r="T3" s="44"/>
      <c r="U3" s="44"/>
      <c r="V3" s="44"/>
      <c r="W3" s="44"/>
      <c r="X3" s="44"/>
      <c r="Y3" s="44"/>
      <c r="Z3" s="46"/>
    </row>
    <row r="4" ht="25.8" customHeight="1">
      <c r="A4" s="43"/>
      <c r="B4" s="44"/>
      <c r="C4" s="44"/>
      <c r="D4" s="47"/>
      <c r="E4" s="47"/>
      <c r="F4" s="47"/>
      <c r="G4" s="47"/>
      <c r="H4" s="47"/>
      <c r="I4" s="47"/>
      <c r="J4" s="47"/>
      <c r="K4" s="47"/>
      <c r="L4" s="47"/>
      <c r="M4" s="47"/>
      <c r="N4" s="47"/>
      <c r="O4" s="47"/>
      <c r="P4" s="47"/>
      <c r="Q4" s="47"/>
      <c r="R4" s="47"/>
      <c r="S4" s="48"/>
      <c r="T4" s="47"/>
      <c r="U4" s="47"/>
      <c r="V4" s="47"/>
      <c r="W4" s="47"/>
      <c r="X4" s="47"/>
      <c r="Y4" s="47"/>
      <c r="Z4" s="46"/>
    </row>
    <row r="5" ht="29.4" customHeight="1">
      <c r="A5" s="43"/>
      <c r="B5" s="44"/>
      <c r="C5" s="44"/>
      <c r="D5" s="47"/>
      <c r="E5" s="47"/>
      <c r="F5" s="49"/>
      <c r="G5" s="49"/>
      <c r="H5" s="47"/>
      <c r="I5" s="49"/>
      <c r="J5" s="49"/>
      <c r="K5" s="49"/>
      <c r="L5" s="49"/>
      <c r="M5" s="49"/>
      <c r="N5" s="49"/>
      <c r="O5" s="49"/>
      <c r="P5" s="49"/>
      <c r="Q5" s="47"/>
      <c r="R5" s="49"/>
      <c r="S5" s="50"/>
      <c r="T5" s="47"/>
      <c r="U5" s="49"/>
      <c r="V5" s="49"/>
      <c r="W5" s="47"/>
      <c r="X5" s="47"/>
      <c r="Y5" s="47"/>
      <c r="Z5" s="46"/>
    </row>
    <row r="6" ht="36" customHeight="1">
      <c r="A6" s="43"/>
      <c r="B6" s="44"/>
      <c r="C6" s="44"/>
      <c r="D6" s="51"/>
      <c r="E6" s="52"/>
      <c r="F6" t="s" s="53">
        <v>10</v>
      </c>
      <c r="G6" t="s" s="53">
        <v>11</v>
      </c>
      <c r="H6" s="54"/>
      <c r="I6" t="s" s="53">
        <v>12</v>
      </c>
      <c r="J6" t="s" s="53">
        <v>13</v>
      </c>
      <c r="K6" t="s" s="53">
        <v>14</v>
      </c>
      <c r="L6" t="s" s="53">
        <v>15</v>
      </c>
      <c r="M6" t="s" s="53">
        <v>16</v>
      </c>
      <c r="N6" t="s" s="53">
        <v>17</v>
      </c>
      <c r="O6" t="s" s="53">
        <v>18</v>
      </c>
      <c r="P6" t="s" s="53">
        <v>19</v>
      </c>
      <c r="Q6" s="54"/>
      <c r="R6" t="s" s="53">
        <v>20</v>
      </c>
      <c r="S6" t="s" s="53">
        <v>21</v>
      </c>
      <c r="T6" s="54"/>
      <c r="U6" t="s" s="53">
        <v>22</v>
      </c>
      <c r="V6" t="s" s="53">
        <v>23</v>
      </c>
      <c r="W6" s="55"/>
      <c r="X6" s="47"/>
      <c r="Y6" s="47"/>
      <c r="Z6" s="46"/>
    </row>
    <row r="7" ht="15" customHeight="1">
      <c r="A7" s="56"/>
      <c r="B7" s="57"/>
      <c r="C7" s="58"/>
      <c r="D7" s="47"/>
      <c r="E7" s="47"/>
      <c r="F7" s="59"/>
      <c r="G7" s="60"/>
      <c r="H7" s="61"/>
      <c r="I7" s="60"/>
      <c r="J7" s="60"/>
      <c r="K7" s="60"/>
      <c r="L7" s="60"/>
      <c r="M7" s="60"/>
      <c r="N7" s="60"/>
      <c r="O7" s="60"/>
      <c r="P7" s="60"/>
      <c r="Q7" s="61"/>
      <c r="R7" s="60"/>
      <c r="S7" s="62"/>
      <c r="T7" s="61"/>
      <c r="U7" s="63"/>
      <c r="V7" s="63"/>
      <c r="W7" s="61"/>
      <c r="X7" s="64"/>
      <c r="Y7" s="47"/>
      <c r="Z7" s="46"/>
    </row>
    <row r="8" ht="28.8" customHeight="1">
      <c r="A8" t="s" s="65">
        <v>24</v>
      </c>
      <c r="B8" s="66"/>
      <c r="C8" s="66"/>
      <c r="D8" s="47"/>
      <c r="E8" t="s" s="67">
        <f>RIGHT(F10,1)&amp;1&amp;1</f>
        <v>25</v>
      </c>
      <c r="F8" s="68"/>
      <c r="G8" t="s" s="69">
        <f>LEFT(RIGHT($E8,2),1)&amp;" : "&amp;_xlfn.IFERROR(VLOOKUP($E8,'BDD'!$A$1:$S$580,7,FALSE),"")</f>
        <v>26</v>
      </c>
      <c r="H8" s="70"/>
      <c r="I8" t="s" s="71">
        <v>27</v>
      </c>
      <c r="J8" t="s" s="71">
        <v>27</v>
      </c>
      <c r="K8" t="s" s="71">
        <v>27</v>
      </c>
      <c r="L8" t="s" s="71">
        <v>27</v>
      </c>
      <c r="M8" t="s" s="71">
        <v>27</v>
      </c>
      <c r="N8" t="s" s="71">
        <v>27</v>
      </c>
      <c r="O8" t="s" s="71">
        <v>27</v>
      </c>
      <c r="P8" s="72"/>
      <c r="Q8" s="70"/>
      <c r="R8" t="s" s="73">
        <v>28</v>
      </c>
      <c r="S8" s="74"/>
      <c r="T8" s="75"/>
      <c r="U8" s="76">
        <v>0</v>
      </c>
      <c r="V8" s="77">
        <v>0</v>
      </c>
      <c r="W8" s="78"/>
      <c r="X8" t="s" s="79">
        <f>"Evaluation globale du "&amp;F10</f>
        <v>29</v>
      </c>
      <c r="Y8" s="80"/>
      <c r="Z8" s="46"/>
    </row>
    <row r="9" ht="43.2" customHeight="1">
      <c r="A9" s="81"/>
      <c r="B9" s="82"/>
      <c r="C9" s="82"/>
      <c r="D9" s="47"/>
      <c r="E9" t="s" s="67">
        <f>RIGHT(F10,1)&amp;2&amp;1</f>
        <v>30</v>
      </c>
      <c r="F9" s="83"/>
      <c r="G9" t="s" s="84">
        <f>LEFT(RIGHT($E9,2),1)&amp;" : "&amp;_xlfn.IFERROR(VLOOKUP($E9,'BDD'!$A$1:$S$580,7,FALSE),"")</f>
        <v>31</v>
      </c>
      <c r="H9" s="70"/>
      <c r="I9" t="s" s="85">
        <v>27</v>
      </c>
      <c r="J9" t="s" s="85">
        <v>27</v>
      </c>
      <c r="K9" t="s" s="85">
        <v>27</v>
      </c>
      <c r="L9" t="s" s="85">
        <v>27</v>
      </c>
      <c r="M9" t="s" s="85">
        <v>27</v>
      </c>
      <c r="N9" t="s" s="85">
        <v>27</v>
      </c>
      <c r="O9" t="s" s="85">
        <v>27</v>
      </c>
      <c r="P9" s="86"/>
      <c r="Q9" s="70"/>
      <c r="R9" t="s" s="87">
        <v>28</v>
      </c>
      <c r="S9" s="88"/>
      <c r="T9" s="75"/>
      <c r="U9" s="89">
        <v>0</v>
      </c>
      <c r="V9" s="90">
        <v>0</v>
      </c>
      <c r="W9" s="78"/>
      <c r="X9" s="91"/>
      <c r="Y9" s="80"/>
      <c r="Z9" s="46"/>
    </row>
    <row r="10" ht="43.2" customHeight="1">
      <c r="A10" s="81"/>
      <c r="B10" s="82"/>
      <c r="C10" s="82"/>
      <c r="D10" s="47"/>
      <c r="E10" t="s" s="67">
        <f>RIGHT(F10,1)&amp;3&amp;1</f>
        <v>32</v>
      </c>
      <c r="F10" t="s" s="92">
        <v>33</v>
      </c>
      <c r="G10" t="s" s="69">
        <f>LEFT(RIGHT($E10,2),1)&amp;" : "&amp;_xlfn.IFERROR(VLOOKUP($E10,'BDD'!$A$1:$S$580,7,FALSE),"")</f>
        <v>34</v>
      </c>
      <c r="H10" s="70"/>
      <c r="I10" t="s" s="71">
        <v>27</v>
      </c>
      <c r="J10" t="s" s="71">
        <v>27</v>
      </c>
      <c r="K10" t="s" s="71">
        <v>27</v>
      </c>
      <c r="L10" t="s" s="71">
        <v>27</v>
      </c>
      <c r="M10" s="72"/>
      <c r="N10" s="72"/>
      <c r="O10" s="72"/>
      <c r="P10" s="72"/>
      <c r="Q10" s="70"/>
      <c r="R10" t="s" s="73">
        <v>28</v>
      </c>
      <c r="S10" s="74"/>
      <c r="T10" s="75"/>
      <c r="U10" s="76">
        <v>0</v>
      </c>
      <c r="V10" s="77">
        <v>0</v>
      </c>
      <c r="W10" s="78"/>
      <c r="X10" s="80"/>
      <c r="Y10" s="47"/>
      <c r="Z10" s="46"/>
    </row>
    <row r="11" ht="35.4" customHeight="1">
      <c r="A11" s="81"/>
      <c r="B11" s="82"/>
      <c r="C11" s="82"/>
      <c r="D11" s="47"/>
      <c r="E11" t="s" s="67">
        <f>RIGHT(F10,1)&amp;4&amp;1</f>
        <v>35</v>
      </c>
      <c r="F11" t="s" s="93">
        <f>VLOOKUP(E11,'BDD'!$A$1:$C$667,3,FALSE)</f>
        <v>36</v>
      </c>
      <c r="G11" t="s" s="84">
        <f>LEFT(RIGHT($E11,2),1)&amp;" : "&amp;_xlfn.IFERROR(VLOOKUP($E11,'BDD'!$A$1:$S$580,7,FALSE),"")</f>
        <v>37</v>
      </c>
      <c r="H11" s="70"/>
      <c r="I11" t="s" s="85">
        <v>27</v>
      </c>
      <c r="J11" t="s" s="85">
        <v>27</v>
      </c>
      <c r="K11" t="s" s="85">
        <v>27</v>
      </c>
      <c r="L11" t="s" s="85">
        <v>27</v>
      </c>
      <c r="M11" t="s" s="85">
        <v>27</v>
      </c>
      <c r="N11" t="s" s="85">
        <v>27</v>
      </c>
      <c r="O11" s="86"/>
      <c r="P11" s="86"/>
      <c r="Q11" s="70"/>
      <c r="R11" t="s" s="87">
        <v>28</v>
      </c>
      <c r="S11" s="88"/>
      <c r="T11" s="75"/>
      <c r="U11" s="89">
        <v>0</v>
      </c>
      <c r="V11" s="90">
        <v>0</v>
      </c>
      <c r="W11" s="78"/>
      <c r="X11" s="80"/>
      <c r="Y11" s="47"/>
      <c r="Z11" s="46"/>
    </row>
    <row r="12" ht="43.8" customHeight="1">
      <c r="A12" s="81"/>
      <c r="B12" s="82"/>
      <c r="C12" s="82"/>
      <c r="D12" s="47"/>
      <c r="E12" t="s" s="67">
        <f>RIGHT(F10,1)&amp;5&amp;1</f>
        <v>38</v>
      </c>
      <c r="F12" s="94"/>
      <c r="G12" t="s" s="69">
        <f>LEFT(RIGHT($E12,2),1)&amp;" : "&amp;_xlfn.IFERROR(VLOOKUP($E12,'BDD'!$A$1:$S$580,7,FALSE),"")</f>
        <v>39</v>
      </c>
      <c r="H12" s="70"/>
      <c r="I12" t="s" s="71">
        <v>27</v>
      </c>
      <c r="J12" t="s" s="71">
        <v>27</v>
      </c>
      <c r="K12" t="s" s="71">
        <v>27</v>
      </c>
      <c r="L12" t="s" s="71">
        <v>27</v>
      </c>
      <c r="M12" t="s" s="71">
        <v>27</v>
      </c>
      <c r="N12" s="72"/>
      <c r="O12" s="72"/>
      <c r="P12" s="72"/>
      <c r="Q12" s="70"/>
      <c r="R12" t="s" s="95">
        <v>28</v>
      </c>
      <c r="S12" s="96"/>
      <c r="T12" s="75"/>
      <c r="U12" s="97">
        <v>0</v>
      </c>
      <c r="V12" s="98">
        <v>0</v>
      </c>
      <c r="W12" s="78"/>
      <c r="X12" s="99"/>
      <c r="Y12" s="47"/>
      <c r="Z12" s="46"/>
    </row>
    <row r="13" ht="34.95" customHeight="1">
      <c r="A13" s="81"/>
      <c r="B13" s="82"/>
      <c r="C13" s="82"/>
      <c r="D13" s="47"/>
      <c r="E13" s="47"/>
      <c r="F13" s="100"/>
      <c r="G13" s="101"/>
      <c r="H13" s="47"/>
      <c r="I13" s="101"/>
      <c r="J13" s="101"/>
      <c r="K13" s="101"/>
      <c r="L13" s="101"/>
      <c r="M13" s="101"/>
      <c r="N13" s="101"/>
      <c r="O13" s="101"/>
      <c r="P13" s="102"/>
      <c r="Q13" s="103"/>
      <c r="R13" t="s" s="104">
        <v>28</v>
      </c>
      <c r="S13" s="105"/>
      <c r="T13" s="106"/>
      <c r="U13" s="107">
        <v>0</v>
      </c>
      <c r="V13" s="108">
        <v>0</v>
      </c>
      <c r="W13" s="109"/>
      <c r="X13" s="110"/>
      <c r="Y13" s="47"/>
      <c r="Z13" s="46"/>
    </row>
    <row r="14" ht="25.05" customHeight="1">
      <c r="A14" s="81"/>
      <c r="B14" s="82"/>
      <c r="C14" s="82"/>
      <c r="D14" s="47"/>
      <c r="E14" s="47"/>
      <c r="F14" s="100"/>
      <c r="G14" s="111"/>
      <c r="H14" s="47"/>
      <c r="I14" t="s" s="112">
        <v>12</v>
      </c>
      <c r="J14" t="s" s="112">
        <v>13</v>
      </c>
      <c r="K14" t="s" s="112">
        <v>14</v>
      </c>
      <c r="L14" t="s" s="112">
        <v>15</v>
      </c>
      <c r="M14" t="s" s="112">
        <v>16</v>
      </c>
      <c r="N14" t="s" s="112">
        <v>17</v>
      </c>
      <c r="O14" t="s" s="112">
        <v>18</v>
      </c>
      <c r="P14" t="s" s="112">
        <v>19</v>
      </c>
      <c r="Q14" s="47"/>
      <c r="R14" s="113"/>
      <c r="S14" s="114"/>
      <c r="T14" s="47"/>
      <c r="U14" s="115"/>
      <c r="V14" s="115"/>
      <c r="W14" s="47"/>
      <c r="X14" s="116"/>
      <c r="Y14" s="47"/>
      <c r="Z14" s="46"/>
    </row>
    <row r="15" ht="28.8" customHeight="1">
      <c r="A15" s="81"/>
      <c r="B15" s="82"/>
      <c r="C15" s="82"/>
      <c r="D15" s="47"/>
      <c r="E15" t="s" s="67">
        <f>RIGHT(F17,1)&amp;1&amp;1</f>
        <v>40</v>
      </c>
      <c r="F15" s="68"/>
      <c r="G15" t="s" s="69">
        <f>LEFT(RIGHT($E15,2),1)&amp;" : "&amp;_xlfn.IFERROR(VLOOKUP($E15,'BDD'!$A$1:$S$580,7,FALSE),"")</f>
        <v>41</v>
      </c>
      <c r="H15" s="70"/>
      <c r="I15" t="s" s="71">
        <v>27</v>
      </c>
      <c r="J15" t="s" s="71">
        <v>27</v>
      </c>
      <c r="K15" s="72"/>
      <c r="L15" s="72"/>
      <c r="M15" s="72"/>
      <c r="N15" s="72"/>
      <c r="O15" s="72"/>
      <c r="P15" s="72"/>
      <c r="Q15" s="70"/>
      <c r="R15" t="s" s="73">
        <v>28</v>
      </c>
      <c r="S15" s="74"/>
      <c r="T15" s="75"/>
      <c r="U15" s="76">
        <v>0</v>
      </c>
      <c r="V15" s="77">
        <v>0</v>
      </c>
      <c r="W15" s="78"/>
      <c r="X15" t="s" s="117">
        <f>"Evaluation globale du "&amp;F17</f>
        <v>42</v>
      </c>
      <c r="Y15" s="80"/>
      <c r="Z15" s="46"/>
    </row>
    <row r="16" ht="28.8" customHeight="1">
      <c r="A16" s="81"/>
      <c r="B16" s="82"/>
      <c r="C16" s="82"/>
      <c r="D16" s="47"/>
      <c r="E16" t="s" s="67">
        <f>RIGHT(F17,1)&amp;2&amp;1</f>
        <v>43</v>
      </c>
      <c r="F16" s="118"/>
      <c r="G16" t="s" s="84">
        <f>LEFT(RIGHT($E16,2),1)&amp;" : "&amp;_xlfn.IFERROR(VLOOKUP($E16,'BDD'!$A$1:$S$580,7,FALSE),"")</f>
        <v>44</v>
      </c>
      <c r="H16" s="70"/>
      <c r="I16" t="s" s="85">
        <v>27</v>
      </c>
      <c r="J16" t="s" s="85">
        <v>27</v>
      </c>
      <c r="K16" t="s" s="85">
        <v>27</v>
      </c>
      <c r="L16" t="s" s="85">
        <v>27</v>
      </c>
      <c r="M16" t="s" s="85">
        <v>27</v>
      </c>
      <c r="N16" t="s" s="85">
        <v>27</v>
      </c>
      <c r="O16" s="86"/>
      <c r="P16" s="86"/>
      <c r="Q16" s="70"/>
      <c r="R16" t="s" s="87">
        <v>28</v>
      </c>
      <c r="S16" s="88"/>
      <c r="T16" s="75"/>
      <c r="U16" s="89">
        <v>0</v>
      </c>
      <c r="V16" s="90">
        <v>0</v>
      </c>
      <c r="W16" s="119"/>
      <c r="X16" s="120"/>
      <c r="Y16" s="121"/>
      <c r="Z16" s="46"/>
    </row>
    <row r="17" ht="28.8" customHeight="1">
      <c r="A17" s="81"/>
      <c r="B17" s="82"/>
      <c r="C17" s="82"/>
      <c r="D17" s="47"/>
      <c r="E17" t="s" s="67">
        <f>RIGHT(F17,1)&amp;3&amp;1</f>
        <v>45</v>
      </c>
      <c r="F17" t="s" s="92">
        <v>46</v>
      </c>
      <c r="G17" t="s" s="69">
        <f>LEFT(RIGHT($E17,2),1)&amp;" : "&amp;_xlfn.IFERROR(VLOOKUP($E17,'BDD'!$A$1:$S$580,7,FALSE),"")</f>
        <v>47</v>
      </c>
      <c r="H17" s="70"/>
      <c r="I17" t="s" s="71">
        <v>27</v>
      </c>
      <c r="J17" t="s" s="71">
        <v>27</v>
      </c>
      <c r="K17" t="s" s="71">
        <v>27</v>
      </c>
      <c r="L17" t="s" s="71">
        <v>27</v>
      </c>
      <c r="M17" s="72"/>
      <c r="N17" s="72"/>
      <c r="O17" s="72"/>
      <c r="P17" s="72"/>
      <c r="Q17" s="70"/>
      <c r="R17" t="s" s="73">
        <v>28</v>
      </c>
      <c r="S17" s="74"/>
      <c r="T17" s="75"/>
      <c r="U17" s="76">
        <v>0</v>
      </c>
      <c r="V17" s="77">
        <v>0</v>
      </c>
      <c r="W17" s="119"/>
      <c r="X17" s="121"/>
      <c r="Y17" s="47"/>
      <c r="Z17" s="46"/>
    </row>
    <row r="18" ht="28.8" customHeight="1">
      <c r="A18" s="81"/>
      <c r="B18" s="82"/>
      <c r="C18" s="82"/>
      <c r="D18" s="47"/>
      <c r="E18" t="s" s="67">
        <f>RIGHT(F17,1)&amp;4&amp;1</f>
        <v>48</v>
      </c>
      <c r="F18" t="s" s="122">
        <f>VLOOKUP(E18,'BDD'!$A$1:$C$667,3,FALSE)</f>
        <v>49</v>
      </c>
      <c r="G18" t="s" s="84">
        <f>LEFT(RIGHT($E18,2),1)&amp;" : "&amp;_xlfn.IFERROR(VLOOKUP($E18,'BDD'!$A$1:$S$580,7,FALSE),"")</f>
        <v>50</v>
      </c>
      <c r="H18" s="70"/>
      <c r="I18" t="s" s="85">
        <v>27</v>
      </c>
      <c r="J18" t="s" s="85">
        <v>27</v>
      </c>
      <c r="K18" t="s" s="85">
        <v>27</v>
      </c>
      <c r="L18" t="s" s="85">
        <v>27</v>
      </c>
      <c r="M18" t="s" s="85">
        <v>27</v>
      </c>
      <c r="N18" s="86"/>
      <c r="O18" s="86"/>
      <c r="P18" s="86"/>
      <c r="Q18" s="70"/>
      <c r="R18" t="s" s="87">
        <v>28</v>
      </c>
      <c r="S18" s="88"/>
      <c r="T18" s="75"/>
      <c r="U18" s="89">
        <v>0</v>
      </c>
      <c r="V18" s="90">
        <v>0</v>
      </c>
      <c r="W18" s="119"/>
      <c r="X18" s="121"/>
      <c r="Y18" s="47"/>
      <c r="Z18" s="46"/>
    </row>
    <row r="19" ht="28.8" customHeight="1">
      <c r="A19" s="81"/>
      <c r="B19" s="82"/>
      <c r="C19" s="82"/>
      <c r="D19" s="47"/>
      <c r="E19" t="s" s="67">
        <f>RIGHT(F17,1)&amp;5&amp;1</f>
        <v>51</v>
      </c>
      <c r="F19" s="94"/>
      <c r="G19" t="s" s="69">
        <f>LEFT(RIGHT($E19,2),1)&amp;" : "&amp;_xlfn.IFERROR(VLOOKUP($E19,'BDD'!$A$1:$S$580,7,FALSE),"")</f>
        <v>52</v>
      </c>
      <c r="H19" s="70"/>
      <c r="I19" t="s" s="71">
        <v>27</v>
      </c>
      <c r="J19" t="s" s="71">
        <v>27</v>
      </c>
      <c r="K19" t="s" s="71">
        <v>27</v>
      </c>
      <c r="L19" t="s" s="71">
        <v>27</v>
      </c>
      <c r="M19" s="72"/>
      <c r="N19" s="72"/>
      <c r="O19" s="72"/>
      <c r="P19" s="72"/>
      <c r="Q19" s="70"/>
      <c r="R19" t="s" s="73">
        <v>28</v>
      </c>
      <c r="S19" s="74"/>
      <c r="T19" s="75"/>
      <c r="U19" s="76">
        <v>0</v>
      </c>
      <c r="V19" s="77">
        <v>0</v>
      </c>
      <c r="W19" s="119"/>
      <c r="X19" s="121"/>
      <c r="Y19" s="47"/>
      <c r="Z19" s="46"/>
    </row>
    <row r="20" ht="21.6" customHeight="1">
      <c r="A20" s="81"/>
      <c r="B20" s="82"/>
      <c r="C20" s="82"/>
      <c r="D20" s="47"/>
      <c r="E20" t="s" s="67">
        <f>RIGHT(F17,1)&amp;6&amp;1</f>
        <v>53</v>
      </c>
      <c r="F20" s="68"/>
      <c r="G20" t="s" s="84">
        <f>LEFT(RIGHT($E20,2),1)&amp;" : "&amp;_xlfn.IFERROR(VLOOKUP($E20,'BDD'!$A$1:$S$580,7,FALSE),"")</f>
        <v>54</v>
      </c>
      <c r="H20" s="70"/>
      <c r="I20" t="s" s="85">
        <v>27</v>
      </c>
      <c r="J20" t="s" s="85">
        <v>27</v>
      </c>
      <c r="K20" t="s" s="85">
        <v>27</v>
      </c>
      <c r="L20" t="s" s="85">
        <v>27</v>
      </c>
      <c r="M20" s="86"/>
      <c r="N20" s="86"/>
      <c r="O20" s="86"/>
      <c r="P20" s="86"/>
      <c r="Q20" s="70"/>
      <c r="R20" t="s" s="123">
        <v>28</v>
      </c>
      <c r="S20" s="124"/>
      <c r="T20" s="75"/>
      <c r="U20" s="125">
        <v>0</v>
      </c>
      <c r="V20" s="126">
        <v>0</v>
      </c>
      <c r="W20" s="119"/>
      <c r="X20" s="127"/>
      <c r="Y20" s="47"/>
      <c r="Z20" s="46"/>
    </row>
    <row r="21" ht="34.95" customHeight="1">
      <c r="A21" s="81"/>
      <c r="B21" s="82"/>
      <c r="C21" s="82"/>
      <c r="D21" s="47"/>
      <c r="E21" s="47"/>
      <c r="F21" s="100"/>
      <c r="G21" s="128"/>
      <c r="H21" s="47"/>
      <c r="I21" s="101"/>
      <c r="J21" s="101"/>
      <c r="K21" s="101"/>
      <c r="L21" s="101"/>
      <c r="M21" s="101"/>
      <c r="N21" s="101"/>
      <c r="O21" s="101"/>
      <c r="P21" s="101"/>
      <c r="Q21" s="103"/>
      <c r="R21" t="s" s="104">
        <v>28</v>
      </c>
      <c r="S21" s="105"/>
      <c r="T21" s="106"/>
      <c r="U21" s="107">
        <v>0</v>
      </c>
      <c r="V21" s="108">
        <v>0</v>
      </c>
      <c r="W21" s="109"/>
      <c r="X21" s="129"/>
      <c r="Y21" s="47"/>
      <c r="Z21" s="46"/>
    </row>
    <row r="22" ht="25.05" customHeight="1">
      <c r="A22" s="81"/>
      <c r="B22" s="82"/>
      <c r="C22" s="82"/>
      <c r="D22" s="47"/>
      <c r="E22" s="47"/>
      <c r="F22" s="100"/>
      <c r="G22" s="130"/>
      <c r="H22" s="47"/>
      <c r="I22" t="s" s="112">
        <v>12</v>
      </c>
      <c r="J22" t="s" s="112">
        <v>13</v>
      </c>
      <c r="K22" t="s" s="112">
        <v>14</v>
      </c>
      <c r="L22" t="s" s="112">
        <v>15</v>
      </c>
      <c r="M22" t="s" s="112">
        <v>16</v>
      </c>
      <c r="N22" t="s" s="112">
        <v>17</v>
      </c>
      <c r="O22" t="s" s="112">
        <v>18</v>
      </c>
      <c r="P22" t="s" s="112">
        <v>19</v>
      </c>
      <c r="Q22" s="47"/>
      <c r="R22" s="113"/>
      <c r="S22" s="114"/>
      <c r="T22" s="47"/>
      <c r="U22" s="115"/>
      <c r="V22" s="115"/>
      <c r="W22" s="47"/>
      <c r="X22" s="131"/>
      <c r="Y22" s="47"/>
      <c r="Z22" s="46"/>
    </row>
    <row r="23" ht="72" customHeight="1">
      <c r="A23" s="81"/>
      <c r="B23" s="82"/>
      <c r="C23" s="82"/>
      <c r="D23" s="47"/>
      <c r="E23" t="s" s="67">
        <f>RIGHT(F25,1)&amp;1&amp;1</f>
        <v>55</v>
      </c>
      <c r="F23" s="68"/>
      <c r="G23" t="s" s="69">
        <f>LEFT(RIGHT($E23,2),1)&amp;" : "&amp;_xlfn.IFERROR(VLOOKUP($E23,'BDD'!$A$1:$S$580,7,FALSE),"")</f>
        <v>56</v>
      </c>
      <c r="H23" s="70"/>
      <c r="I23" t="s" s="71">
        <f>IF('V3_ Risques&amp;Conformité'!O7="","",'V3_ Risques&amp;Conformité'!O7)</f>
        <v>57</v>
      </c>
      <c r="J23" t="s" s="71">
        <f>IF('V3_ Risques&amp;Conformité'!P7="","",'V3_ Risques&amp;Conformité'!P7)</f>
        <v>57</v>
      </c>
      <c r="K23" t="s" s="71">
        <f>IF('V3_ Risques&amp;Conformité'!Q7="","",'V3_ Risques&amp;Conformité'!Q7)</f>
        <v>57</v>
      </c>
      <c r="L23" t="s" s="71">
        <f>IF('V3_ Risques&amp;Conformité'!R7="","",'V3_ Risques&amp;Conformité'!R7)</f>
        <v>57</v>
      </c>
      <c r="M23" t="s" s="71">
        <f>IF('V3_ Risques&amp;Conformité'!S7="","",'V3_ Risques&amp;Conformité'!S7)</f>
        <v>57</v>
      </c>
      <c r="N23" t="s" s="71">
        <f>IF('V3_ Risques&amp;Conformité'!T7="","",'V3_ Risques&amp;Conformité'!T7)</f>
        <v>57</v>
      </c>
      <c r="O23" t="s" s="71">
        <f>IF('V3_ Risques&amp;Conformité'!U7="","",'V3_ Risques&amp;Conformité'!U7)</f>
        <v>57</v>
      </c>
      <c r="P23" t="s" s="71">
        <f>IF('V3_ Risques&amp;Conformité'!V7="","",'V3_ Risques&amp;Conformité'!V7)</f>
      </c>
      <c r="Q23" s="70"/>
      <c r="R23" t="s" s="73">
        <f>IF(OR('V3_ Risques&amp;Conformité'!W7="NE",'V3_ Risques&amp;Conformité'!W7=""),"",'V3_ Risques&amp;Conformité'!W7)</f>
        <v>58</v>
      </c>
      <c r="S23" t="s" s="132">
        <f>IF(OR('V3_ Risques&amp;Conformité'!X7="NE",'V3_ Risques&amp;Conformité'!X7=""),"",'V3_ Risques&amp;Conformité'!X7)</f>
      </c>
      <c r="T23" s="75"/>
      <c r="U23" s="76">
        <f>IF(OR('V3_ Risques&amp;Conformité'!Z7="NE",'V3_ Risques&amp;Conformité'!Z7=""),"",'V3_ Risques&amp;Conformité'!Z7)</f>
        <v>0</v>
      </c>
      <c r="V23" s="77">
        <f>IF(OR('V3_ Risques&amp;Conformité'!AA7="NE",'V3_ Risques&amp;Conformité'!AA7=""),"",'V3_ Risques&amp;Conformité'!AA7)</f>
      </c>
      <c r="W23" s="133"/>
      <c r="X23" t="s" s="134">
        <f>"Evaluation globale du "&amp;F25</f>
        <v>59</v>
      </c>
      <c r="Y23" s="135"/>
      <c r="Z23" s="46"/>
    </row>
    <row r="24" ht="43.2" customHeight="1">
      <c r="A24" s="81"/>
      <c r="B24" s="82"/>
      <c r="C24" s="82"/>
      <c r="D24" s="47"/>
      <c r="E24" t="s" s="67">
        <f>RIGHT(F25,1)&amp;2&amp;1</f>
        <v>60</v>
      </c>
      <c r="F24" s="118"/>
      <c r="G24" t="s" s="84">
        <f>LEFT(RIGHT($E24,2),1)&amp;" : "&amp;_xlfn.IFERROR(VLOOKUP($E24,'BDD'!$A$1:$S$580,7,FALSE),"")</f>
        <v>61</v>
      </c>
      <c r="H24" s="70"/>
      <c r="I24" t="s" s="85">
        <f>IF('V3_ Risques&amp;Conformité'!O8="","",'V3_ Risques&amp;Conformité'!O8)</f>
        <v>57</v>
      </c>
      <c r="J24" t="s" s="85">
        <f>IF('V3_ Risques&amp;Conformité'!P8="","",'V3_ Risques&amp;Conformité'!P8)</f>
        <v>57</v>
      </c>
      <c r="K24" t="s" s="85">
        <f>IF('V3_ Risques&amp;Conformité'!Q8="","",'V3_ Risques&amp;Conformité'!Q8)</f>
        <v>57</v>
      </c>
      <c r="L24" t="s" s="85">
        <f>IF('V3_ Risques&amp;Conformité'!R8="","",'V3_ Risques&amp;Conformité'!R8)</f>
        <v>57</v>
      </c>
      <c r="M24" t="s" s="85">
        <f>IF('V3_ Risques&amp;Conformité'!S8="","",'V3_ Risques&amp;Conformité'!S8)</f>
        <v>57</v>
      </c>
      <c r="N24" t="s" s="85">
        <f>IF('V3_ Risques&amp;Conformité'!T8="","",'V3_ Risques&amp;Conformité'!T8)</f>
        <v>57</v>
      </c>
      <c r="O24" t="s" s="85">
        <f>IF('V3_ Risques&amp;Conformité'!U8="","",'V3_ Risques&amp;Conformité'!U8)</f>
        <v>57</v>
      </c>
      <c r="P24" t="s" s="85">
        <f>IF('V3_ Risques&amp;Conformité'!V8="","",'V3_ Risques&amp;Conformité'!V8)</f>
      </c>
      <c r="Q24" s="70"/>
      <c r="R24" t="s" s="87">
        <f>IF(OR('V3_ Risques&amp;Conformité'!W8="NE",'V3_ Risques&amp;Conformité'!W8=""),"",'V3_ Risques&amp;Conformité'!W8)</f>
        <v>58</v>
      </c>
      <c r="S24" t="s" s="136">
        <f>IF(OR('V3_ Risques&amp;Conformité'!X8="NE",'V3_ Risques&amp;Conformité'!X8=""),"",'V3_ Risques&amp;Conformité'!X8)</f>
      </c>
      <c r="T24" s="75"/>
      <c r="U24" s="89">
        <f>IF(OR('V3_ Risques&amp;Conformité'!Z8="NE",'V3_ Risques&amp;Conformité'!Z8=""),"",'V3_ Risques&amp;Conformité'!Z8)</f>
        <v>0</v>
      </c>
      <c r="V24" s="90">
        <f>IF(OR('V3_ Risques&amp;Conformité'!AA8="NE",'V3_ Risques&amp;Conformité'!AA8=""),"",'V3_ Risques&amp;Conformité'!AA8)</f>
      </c>
      <c r="W24" s="133"/>
      <c r="X24" t="s" s="137">
        <f>IF(OR('V3_ Risques&amp;Conformité'!N17="NE",'V3_ Risques&amp;Conformité'!N17=""),"",'V3_ Risques&amp;Conformité'!N17)</f>
      </c>
      <c r="Y24" s="135"/>
      <c r="Z24" s="46"/>
    </row>
    <row r="25" ht="43.2" customHeight="1">
      <c r="A25" s="81"/>
      <c r="B25" s="82"/>
      <c r="C25" s="82"/>
      <c r="D25" s="47"/>
      <c r="E25" t="s" s="67">
        <f>RIGHT(F25,1)&amp;3&amp;1</f>
        <v>62</v>
      </c>
      <c r="F25" t="s" s="138">
        <v>63</v>
      </c>
      <c r="G25" t="s" s="69">
        <f>LEFT(RIGHT($E25,2),1)&amp;" : "&amp;_xlfn.IFERROR(VLOOKUP($E25,'BDD'!$A$1:$S$580,7,FALSE),"")</f>
        <v>64</v>
      </c>
      <c r="H25" s="70"/>
      <c r="I25" t="s" s="71">
        <f>IF('V3_ Risques&amp;Conformité'!O9="","",'V3_ Risques&amp;Conformité'!O9)</f>
        <v>57</v>
      </c>
      <c r="J25" t="s" s="71">
        <f>IF('V3_ Risques&amp;Conformité'!P9="","",'V3_ Risques&amp;Conformité'!P9)</f>
        <v>57</v>
      </c>
      <c r="K25" t="s" s="71">
        <f>IF('V3_ Risques&amp;Conformité'!Q9="","",'V3_ Risques&amp;Conformité'!Q9)</f>
        <v>57</v>
      </c>
      <c r="L25" t="s" s="71">
        <f>IF('V3_ Risques&amp;Conformité'!R9="","",'V3_ Risques&amp;Conformité'!R9)</f>
      </c>
      <c r="M25" t="s" s="71">
        <f>IF('V3_ Risques&amp;Conformité'!S9="","",'V3_ Risques&amp;Conformité'!S9)</f>
      </c>
      <c r="N25" t="s" s="71">
        <f>IF('V3_ Risques&amp;Conformité'!T9="","",'V3_ Risques&amp;Conformité'!T9)</f>
      </c>
      <c r="O25" t="s" s="71">
        <f>IF('V3_ Risques&amp;Conformité'!U9="","",'V3_ Risques&amp;Conformité'!U9)</f>
      </c>
      <c r="P25" t="s" s="71">
        <f>IF('V3_ Risques&amp;Conformité'!V9="","",'V3_ Risques&amp;Conformité'!V9)</f>
      </c>
      <c r="Q25" s="70"/>
      <c r="R25" t="s" s="73">
        <f>IF(OR('V3_ Risques&amp;Conformité'!W9="NE",'V3_ Risques&amp;Conformité'!W9=""),"",'V3_ Risques&amp;Conformité'!W9)</f>
        <v>58</v>
      </c>
      <c r="S25" t="s" s="132">
        <f>IF(OR('V3_ Risques&amp;Conformité'!X9="NE",'V3_ Risques&amp;Conformité'!X9=""),"",'V3_ Risques&amp;Conformité'!X9)</f>
      </c>
      <c r="T25" s="75"/>
      <c r="U25" s="76">
        <f>IF(OR('V3_ Risques&amp;Conformité'!Z9="NE",'V3_ Risques&amp;Conformité'!Z9=""),"",'V3_ Risques&amp;Conformité'!Z9)</f>
        <v>0</v>
      </c>
      <c r="V25" s="77">
        <f>IF(OR('V3_ Risques&amp;Conformité'!AA9="NE",'V3_ Risques&amp;Conformité'!AA9=""),"",'V3_ Risques&amp;Conformité'!AA9)</f>
      </c>
      <c r="W25" s="133"/>
      <c r="X25" s="135"/>
      <c r="Y25" s="47"/>
      <c r="Z25" s="46"/>
    </row>
    <row r="26" ht="28.8" customHeight="1">
      <c r="A26" s="81"/>
      <c r="B26" s="82"/>
      <c r="C26" s="82"/>
      <c r="D26" s="47"/>
      <c r="E26" t="s" s="67">
        <f>RIGHT(F25,1)&amp;4&amp;1</f>
        <v>65</v>
      </c>
      <c r="F26" s="139"/>
      <c r="G26" t="s" s="84">
        <f>LEFT(RIGHT($E26,2),1)&amp;" : "&amp;_xlfn.IFERROR(VLOOKUP($E26,'BDD'!$A$1:$S$580,7,FALSE),"")</f>
        <v>66</v>
      </c>
      <c r="H26" s="70"/>
      <c r="I26" t="s" s="85">
        <f>IF('V3_ Risques&amp;Conformité'!O10="","",'V3_ Risques&amp;Conformité'!O10)</f>
        <v>57</v>
      </c>
      <c r="J26" t="s" s="85">
        <f>IF('V3_ Risques&amp;Conformité'!P10="","",'V3_ Risques&amp;Conformité'!P10)</f>
        <v>57</v>
      </c>
      <c r="K26" t="s" s="85">
        <f>IF('V3_ Risques&amp;Conformité'!Q10="","",'V3_ Risques&amp;Conformité'!Q10)</f>
        <v>57</v>
      </c>
      <c r="L26" t="s" s="85">
        <f>IF('V3_ Risques&amp;Conformité'!R10="","",'V3_ Risques&amp;Conformité'!R10)</f>
        <v>57</v>
      </c>
      <c r="M26" t="s" s="85">
        <f>IF('V3_ Risques&amp;Conformité'!S10="","",'V3_ Risques&amp;Conformité'!S10)</f>
        <v>57</v>
      </c>
      <c r="N26" t="s" s="85">
        <f>IF('V3_ Risques&amp;Conformité'!T10="","",'V3_ Risques&amp;Conformité'!T10)</f>
        <v>57</v>
      </c>
      <c r="O26" t="s" s="85">
        <f>IF('V3_ Risques&amp;Conformité'!U10="","",'V3_ Risques&amp;Conformité'!U10)</f>
      </c>
      <c r="P26" t="s" s="85">
        <f>IF('V3_ Risques&amp;Conformité'!V10="","",'V3_ Risques&amp;Conformité'!V10)</f>
      </c>
      <c r="Q26" s="70"/>
      <c r="R26" t="s" s="87">
        <f>IF(OR('V3_ Risques&amp;Conformité'!W10="NE",'V3_ Risques&amp;Conformité'!W10=""),"",'V3_ Risques&amp;Conformité'!W10)</f>
        <v>58</v>
      </c>
      <c r="S26" t="s" s="136">
        <f>IF(OR('V3_ Risques&amp;Conformité'!X10="NE",'V3_ Risques&amp;Conformité'!X10=""),"",'V3_ Risques&amp;Conformité'!X10)</f>
      </c>
      <c r="T26" s="75"/>
      <c r="U26" s="89">
        <f>IF(OR('V3_ Risques&amp;Conformité'!Z10="NE",'V3_ Risques&amp;Conformité'!Z10=""),"",'V3_ Risques&amp;Conformité'!Z10)</f>
        <v>0</v>
      </c>
      <c r="V26" s="90">
        <f>IF(OR('V3_ Risques&amp;Conformité'!AA10="NE",'V3_ Risques&amp;Conformité'!AA10=""),"",'V3_ Risques&amp;Conformité'!AA10)</f>
      </c>
      <c r="W26" s="133"/>
      <c r="X26" s="135"/>
      <c r="Y26" s="47"/>
      <c r="Z26" s="46"/>
    </row>
    <row r="27" ht="28.8" customHeight="1">
      <c r="A27" s="81"/>
      <c r="B27" s="82"/>
      <c r="C27" s="82"/>
      <c r="D27" s="47"/>
      <c r="E27" t="s" s="67">
        <f>RIGHT(F25,1)&amp;5&amp;1</f>
        <v>67</v>
      </c>
      <c r="F27" t="s" s="93">
        <f>VLOOKUP(E27,'BDD'!$A$1:$C$667,3,FALSE)</f>
        <v>68</v>
      </c>
      <c r="G27" t="s" s="69">
        <f>LEFT(RIGHT($E27,2),1)&amp;" : "&amp;_xlfn.IFERROR(VLOOKUP($E27,'BDD'!$A$1:$S$580,7,FALSE),"")</f>
        <v>69</v>
      </c>
      <c r="H27" s="70"/>
      <c r="I27" t="s" s="71">
        <f>IF('V3_ Risques&amp;Conformité'!O11="","",'V3_ Risques&amp;Conformité'!O11)</f>
        <v>57</v>
      </c>
      <c r="J27" t="s" s="71">
        <f>IF('V3_ Risques&amp;Conformité'!P11="","",'V3_ Risques&amp;Conformité'!P11)</f>
        <v>57</v>
      </c>
      <c r="K27" t="s" s="71">
        <f>IF('V3_ Risques&amp;Conformité'!Q11="","",'V3_ Risques&amp;Conformité'!Q11)</f>
        <v>57</v>
      </c>
      <c r="L27" t="s" s="71">
        <f>IF('V3_ Risques&amp;Conformité'!R11="","",'V3_ Risques&amp;Conformité'!R11)</f>
        <v>57</v>
      </c>
      <c r="M27" t="s" s="71">
        <f>IF('V3_ Risques&amp;Conformité'!S11="","",'V3_ Risques&amp;Conformité'!S11)</f>
        <v>57</v>
      </c>
      <c r="N27" t="s" s="71">
        <f>IF('V3_ Risques&amp;Conformité'!T11="","",'V3_ Risques&amp;Conformité'!T11)</f>
      </c>
      <c r="O27" t="s" s="71">
        <f>IF('V3_ Risques&amp;Conformité'!U11="","",'V3_ Risques&amp;Conformité'!U11)</f>
      </c>
      <c r="P27" t="s" s="71">
        <f>IF('V3_ Risques&amp;Conformité'!V11="","",'V3_ Risques&amp;Conformité'!V11)</f>
      </c>
      <c r="Q27" s="70"/>
      <c r="R27" t="s" s="73">
        <f>IF(OR('V3_ Risques&amp;Conformité'!W11="NE",'V3_ Risques&amp;Conformité'!W11=""),"",'V3_ Risques&amp;Conformité'!W11)</f>
        <v>58</v>
      </c>
      <c r="S27" t="s" s="132">
        <f>IF(OR('V3_ Risques&amp;Conformité'!X11="NE",'V3_ Risques&amp;Conformité'!X11=""),"",'V3_ Risques&amp;Conformité'!X11)</f>
      </c>
      <c r="T27" s="75"/>
      <c r="U27" s="76">
        <f>IF(OR('V3_ Risques&amp;Conformité'!Z11="NE",'V3_ Risques&amp;Conformité'!Z11=""),"",'V3_ Risques&amp;Conformité'!Z11)</f>
        <v>0</v>
      </c>
      <c r="V27" s="77">
        <f>IF(OR('V3_ Risques&amp;Conformité'!AA11="NE",'V3_ Risques&amp;Conformité'!AA11=""),"",'V3_ Risques&amp;Conformité'!AA11)</f>
      </c>
      <c r="W27" s="133"/>
      <c r="X27" s="135"/>
      <c r="Y27" s="47"/>
      <c r="Z27" s="46"/>
    </row>
    <row r="28" ht="43.2" customHeight="1">
      <c r="A28" s="81"/>
      <c r="B28" s="82"/>
      <c r="C28" s="82"/>
      <c r="D28" s="47"/>
      <c r="E28" t="s" s="67">
        <f>RIGHT(F25,1)&amp;6&amp;1</f>
        <v>70</v>
      </c>
      <c r="F28" s="118"/>
      <c r="G28" t="s" s="84">
        <f>LEFT(RIGHT($E28,2),1)&amp;" : "&amp;_xlfn.IFERROR(VLOOKUP($E28,'BDD'!$A$1:$S$580,7,FALSE),"")</f>
        <v>71</v>
      </c>
      <c r="H28" s="70"/>
      <c r="I28" t="s" s="85">
        <f>IF('V3_ Risques&amp;Conformité'!O12="","",'V3_ Risques&amp;Conformité'!O12)</f>
        <v>57</v>
      </c>
      <c r="J28" t="s" s="85">
        <f>IF('V3_ Risques&amp;Conformité'!P12="","",'V3_ Risques&amp;Conformité'!P12)</f>
        <v>57</v>
      </c>
      <c r="K28" t="s" s="85">
        <f>IF('V3_ Risques&amp;Conformité'!Q12="","",'V3_ Risques&amp;Conformité'!Q12)</f>
        <v>57</v>
      </c>
      <c r="L28" t="s" s="85">
        <f>IF('V3_ Risques&amp;Conformité'!R12="","",'V3_ Risques&amp;Conformité'!R12)</f>
        <v>57</v>
      </c>
      <c r="M28" t="s" s="85">
        <f>IF('V3_ Risques&amp;Conformité'!S12="","",'V3_ Risques&amp;Conformité'!S12)</f>
        <v>57</v>
      </c>
      <c r="N28" t="s" s="85">
        <f>IF('V3_ Risques&amp;Conformité'!T12="","",'V3_ Risques&amp;Conformité'!T12)</f>
      </c>
      <c r="O28" t="s" s="85">
        <f>IF('V3_ Risques&amp;Conformité'!U12="","",'V3_ Risques&amp;Conformité'!U12)</f>
      </c>
      <c r="P28" t="s" s="85">
        <f>IF('V3_ Risques&amp;Conformité'!V12="","",'V3_ Risques&amp;Conformité'!V12)</f>
      </c>
      <c r="Q28" s="70"/>
      <c r="R28" t="s" s="87">
        <f>IF(OR('V3_ Risques&amp;Conformité'!W12="NE",'V3_ Risques&amp;Conformité'!W12=""),"",'V3_ Risques&amp;Conformité'!W12)</f>
        <v>58</v>
      </c>
      <c r="S28" t="s" s="136">
        <f>IF(OR('V3_ Risques&amp;Conformité'!X12="NE",'V3_ Risques&amp;Conformité'!X12=""),"",'V3_ Risques&amp;Conformité'!X12)</f>
      </c>
      <c r="T28" s="75"/>
      <c r="U28" s="89">
        <f>IF(OR('V3_ Risques&amp;Conformité'!Z12="NE",'V3_ Risques&amp;Conformité'!Z12=""),"",'V3_ Risques&amp;Conformité'!Z12)</f>
        <v>0</v>
      </c>
      <c r="V28" s="90">
        <f>IF(OR('V3_ Risques&amp;Conformité'!AA12="NE",'V3_ Risques&amp;Conformité'!AA12=""),"",'V3_ Risques&amp;Conformité'!AA12)</f>
      </c>
      <c r="W28" s="133"/>
      <c r="X28" s="135"/>
      <c r="Y28" s="47"/>
      <c r="Z28" s="46"/>
    </row>
    <row r="29" ht="43.2" customHeight="1">
      <c r="A29" s="81"/>
      <c r="B29" s="82"/>
      <c r="C29" s="82"/>
      <c r="D29" s="47"/>
      <c r="E29" t="s" s="67">
        <f>RIGHT(F25,1)&amp;7&amp;1</f>
        <v>72</v>
      </c>
      <c r="F29" s="94"/>
      <c r="G29" t="s" s="69">
        <f>LEFT(RIGHT($E29,2),1)&amp;" : "&amp;_xlfn.IFERROR(VLOOKUP($E29,'BDD'!$A$1:$S$580,7,FALSE),"")</f>
        <v>73</v>
      </c>
      <c r="H29" s="70"/>
      <c r="I29" t="s" s="71">
        <f>IF('V3_ Risques&amp;Conformité'!O13="","",'V3_ Risques&amp;Conformité'!O13)</f>
        <v>57</v>
      </c>
      <c r="J29" t="s" s="71">
        <f>IF('V3_ Risques&amp;Conformité'!P13="","",'V3_ Risques&amp;Conformité'!P13)</f>
        <v>57</v>
      </c>
      <c r="K29" t="s" s="71">
        <f>IF('V3_ Risques&amp;Conformité'!Q13="","",'V3_ Risques&amp;Conformité'!Q13)</f>
        <v>57</v>
      </c>
      <c r="L29" t="s" s="71">
        <f>IF('V3_ Risques&amp;Conformité'!R13="","",'V3_ Risques&amp;Conformité'!R13)</f>
        <v>57</v>
      </c>
      <c r="M29" t="s" s="71">
        <f>IF('V3_ Risques&amp;Conformité'!S13="","",'V3_ Risques&amp;Conformité'!S13)</f>
        <v>57</v>
      </c>
      <c r="N29" t="s" s="71">
        <f>IF('V3_ Risques&amp;Conformité'!T13="","",'V3_ Risques&amp;Conformité'!T13)</f>
      </c>
      <c r="O29" t="s" s="71">
        <f>IF('V3_ Risques&amp;Conformité'!U13="","",'V3_ Risques&amp;Conformité'!U13)</f>
      </c>
      <c r="P29" t="s" s="71">
        <f>IF('V3_ Risques&amp;Conformité'!V13="","",'V3_ Risques&amp;Conformité'!V13)</f>
      </c>
      <c r="Q29" s="70"/>
      <c r="R29" t="s" s="73">
        <f>IF(OR('V3_ Risques&amp;Conformité'!W13="NE",'V3_ Risques&amp;Conformité'!W13=""),"",'V3_ Risques&amp;Conformité'!W13)</f>
        <v>58</v>
      </c>
      <c r="S29" t="s" s="132">
        <f>IF(OR('V3_ Risques&amp;Conformité'!X13="NE",'V3_ Risques&amp;Conformité'!X13=""),"",'V3_ Risques&amp;Conformité'!X13)</f>
      </c>
      <c r="T29" s="75"/>
      <c r="U29" s="76">
        <f>IF(OR('V3_ Risques&amp;Conformité'!Z13="NE",'V3_ Risques&amp;Conformité'!Z13=""),"",'V3_ Risques&amp;Conformité'!Z13)</f>
        <v>0</v>
      </c>
      <c r="V29" s="77">
        <f>IF(OR('V3_ Risques&amp;Conformité'!AA13="NE",'V3_ Risques&amp;Conformité'!AA13=""),"",'V3_ Risques&amp;Conformité'!AA13)</f>
      </c>
      <c r="W29" s="133"/>
      <c r="X29" s="135"/>
      <c r="Y29" s="47"/>
      <c r="Z29" s="46"/>
    </row>
    <row r="30" ht="60" customHeight="1">
      <c r="A30" s="81"/>
      <c r="B30" s="82"/>
      <c r="C30" s="82"/>
      <c r="D30" s="47"/>
      <c r="E30" t="s" s="67">
        <f>RIGHT(F25,1)&amp;8&amp;1</f>
        <v>74</v>
      </c>
      <c r="F30" s="94"/>
      <c r="G30" t="s" s="84">
        <f>LEFT(RIGHT($E30,2),1)&amp;" : "&amp;_xlfn.IFERROR(VLOOKUP($E30,'BDD'!$A$1:$S$580,7,FALSE),"")</f>
        <v>75</v>
      </c>
      <c r="H30" s="70"/>
      <c r="I30" t="s" s="85">
        <f>IF('V3_ Risques&amp;Conformité'!O14="","",'V3_ Risques&amp;Conformité'!O14)</f>
        <v>57</v>
      </c>
      <c r="J30" t="s" s="85">
        <f>IF('V3_ Risques&amp;Conformité'!P14="","",'V3_ Risques&amp;Conformité'!P14)</f>
        <v>57</v>
      </c>
      <c r="K30" t="s" s="85">
        <f>IF('V3_ Risques&amp;Conformité'!Q14="","",'V3_ Risques&amp;Conformité'!Q14)</f>
        <v>57</v>
      </c>
      <c r="L30" t="s" s="85">
        <f>IF('V3_ Risques&amp;Conformité'!R14="","",'V3_ Risques&amp;Conformité'!R14)</f>
        <v>57</v>
      </c>
      <c r="M30" t="s" s="85">
        <f>IF('V3_ Risques&amp;Conformité'!S14="","",'V3_ Risques&amp;Conformité'!S14)</f>
        <v>57</v>
      </c>
      <c r="N30" t="s" s="85">
        <f>IF('V3_ Risques&amp;Conformité'!T14="","",'V3_ Risques&amp;Conformité'!T14)</f>
        <v>57</v>
      </c>
      <c r="O30" t="s" s="85">
        <f>IF('V3_ Risques&amp;Conformité'!U14="","",'V3_ Risques&amp;Conformité'!U14)</f>
        <v>57</v>
      </c>
      <c r="P30" t="s" s="85">
        <f>IF('V3_ Risques&amp;Conformité'!V14="","",'V3_ Risques&amp;Conformité'!V14)</f>
      </c>
      <c r="Q30" s="70"/>
      <c r="R30" t="s" s="123">
        <f>IF(OR('V3_ Risques&amp;Conformité'!W14="NE",'V3_ Risques&amp;Conformité'!W14=""),"",'V3_ Risques&amp;Conformité'!W14)</f>
        <v>58</v>
      </c>
      <c r="S30" t="s" s="140">
        <f>IF(OR('V3_ Risques&amp;Conformité'!X14="NE",'V3_ Risques&amp;Conformité'!X14=""),"",'V3_ Risques&amp;Conformité'!X14)</f>
      </c>
      <c r="T30" s="75"/>
      <c r="U30" s="125">
        <f>IF(OR('V3_ Risques&amp;Conformité'!Z14="NE",'V3_ Risques&amp;Conformité'!Z14=""),"",'V3_ Risques&amp;Conformité'!Z14)</f>
        <v>0</v>
      </c>
      <c r="V30" s="126">
        <f>IF(OR('V3_ Risques&amp;Conformité'!AA14="NE",'V3_ Risques&amp;Conformité'!AA14=""),"",'V3_ Risques&amp;Conformité'!AA14)</f>
      </c>
      <c r="W30" s="133"/>
      <c r="X30" s="141"/>
      <c r="Y30" s="47"/>
      <c r="Z30" s="46"/>
    </row>
    <row r="31" ht="34.95" customHeight="1">
      <c r="A31" s="81"/>
      <c r="B31" s="82"/>
      <c r="C31" s="82"/>
      <c r="D31" s="47"/>
      <c r="E31" s="47"/>
      <c r="F31" s="100"/>
      <c r="G31" s="128"/>
      <c r="H31" s="47"/>
      <c r="I31" s="101"/>
      <c r="J31" s="101"/>
      <c r="K31" s="101"/>
      <c r="L31" s="101"/>
      <c r="M31" s="101"/>
      <c r="N31" s="101"/>
      <c r="O31" s="101"/>
      <c r="P31" s="101"/>
      <c r="Q31" s="103"/>
      <c r="R31" t="s" s="104">
        <f>IF(OR('V3_ Risques&amp;Conformité'!W17="NE",'V3_ Risques&amp;Conformité'!W17=""),"",'V3_ Risques&amp;Conformité'!W17)</f>
        <v>58</v>
      </c>
      <c r="S31" t="s" s="142">
        <f>IF(OR('V3_ Risques&amp;Conformité'!X17="NE",'V3_ Risques&amp;Conformité'!X17=""),"",'V3_ Risques&amp;Conformité'!X17)</f>
      </c>
      <c r="T31" s="106"/>
      <c r="U31" s="107">
        <f>IF(OR('V3_ Risques&amp;Conformité'!Z17="NE",'V3_ Risques&amp;Conformité'!Z17=""),"",'V3_ Risques&amp;Conformité'!Z17)</f>
        <v>0</v>
      </c>
      <c r="V31" s="108">
        <f>IF(OR('V3_ Risques&amp;Conformité'!AA17="NE",'V3_ Risques&amp;Conformité'!AA17=""),"",'V3_ Risques&amp;Conformité'!AA17)</f>
      </c>
      <c r="W31" s="109"/>
      <c r="X31" s="143"/>
      <c r="Y31" s="47"/>
      <c r="Z31" s="46"/>
    </row>
    <row r="32" ht="25.05" customHeight="1">
      <c r="A32" s="81"/>
      <c r="B32" s="82"/>
      <c r="C32" s="82"/>
      <c r="D32" s="47"/>
      <c r="E32" s="47"/>
      <c r="F32" s="100"/>
      <c r="G32" s="130"/>
      <c r="H32" s="47"/>
      <c r="I32" t="s" s="112">
        <v>12</v>
      </c>
      <c r="J32" t="s" s="112">
        <v>13</v>
      </c>
      <c r="K32" t="s" s="112">
        <v>14</v>
      </c>
      <c r="L32" t="s" s="112">
        <v>15</v>
      </c>
      <c r="M32" t="s" s="112">
        <v>16</v>
      </c>
      <c r="N32" t="s" s="112">
        <v>17</v>
      </c>
      <c r="O32" t="s" s="112">
        <v>18</v>
      </c>
      <c r="P32" t="s" s="112">
        <v>19</v>
      </c>
      <c r="Q32" s="47"/>
      <c r="R32" s="113"/>
      <c r="S32" s="114"/>
      <c r="T32" s="47"/>
      <c r="U32" s="115"/>
      <c r="V32" s="115"/>
      <c r="W32" s="47"/>
      <c r="X32" s="144"/>
      <c r="Y32" s="47"/>
      <c r="Z32" s="46"/>
    </row>
    <row r="33" ht="28.8" customHeight="1">
      <c r="A33" s="81"/>
      <c r="B33" s="82"/>
      <c r="C33" s="82"/>
      <c r="D33" s="47"/>
      <c r="E33" t="s" s="67">
        <f>RIGHT(F34,1)&amp;1&amp;1</f>
        <v>76</v>
      </c>
      <c r="F33" s="68"/>
      <c r="G33" t="s" s="69">
        <f>LEFT(RIGHT($E33,2),1)&amp;" : "&amp;_xlfn.IFERROR(VLOOKUP($E33,'BDD'!$A$1:$S$580,7,FALSE),"")</f>
        <v>77</v>
      </c>
      <c r="H33" s="70"/>
      <c r="I33" t="s" s="71">
        <v>27</v>
      </c>
      <c r="J33" t="s" s="71">
        <v>27</v>
      </c>
      <c r="K33" t="s" s="71">
        <v>27</v>
      </c>
      <c r="L33" s="72"/>
      <c r="M33" s="72"/>
      <c r="N33" s="72"/>
      <c r="O33" s="72"/>
      <c r="P33" s="72"/>
      <c r="Q33" s="70"/>
      <c r="R33" t="s" s="73">
        <v>28</v>
      </c>
      <c r="S33" s="74"/>
      <c r="T33" s="75"/>
      <c r="U33" s="76">
        <v>0</v>
      </c>
      <c r="V33" s="77">
        <v>0</v>
      </c>
      <c r="W33" s="145"/>
      <c r="X33" t="s" s="146">
        <f>"Evaluation globale du "&amp;F34</f>
        <v>78</v>
      </c>
      <c r="Y33" s="147"/>
      <c r="Z33" s="46"/>
    </row>
    <row r="34" ht="43.2" customHeight="1">
      <c r="A34" s="81"/>
      <c r="B34" s="82"/>
      <c r="C34" s="82"/>
      <c r="D34" s="47"/>
      <c r="E34" t="s" s="67">
        <f>RIGHT(F34,1)&amp;2&amp;1</f>
        <v>79</v>
      </c>
      <c r="F34" t="s" s="138">
        <v>80</v>
      </c>
      <c r="G34" t="s" s="84">
        <f>LEFT(RIGHT($E34,2),1)&amp;" : "&amp;_xlfn.IFERROR(VLOOKUP($E34,'BDD'!$A$1:$S$580,7,FALSE),"")</f>
        <v>81</v>
      </c>
      <c r="H34" s="70"/>
      <c r="I34" t="s" s="85">
        <v>27</v>
      </c>
      <c r="J34" t="s" s="85">
        <v>27</v>
      </c>
      <c r="K34" t="s" s="85">
        <v>27</v>
      </c>
      <c r="L34" s="86"/>
      <c r="M34" s="86"/>
      <c r="N34" s="86"/>
      <c r="O34" s="86"/>
      <c r="P34" s="86"/>
      <c r="Q34" s="70"/>
      <c r="R34" t="s" s="87">
        <v>28</v>
      </c>
      <c r="S34" s="88"/>
      <c r="T34" s="75"/>
      <c r="U34" s="89">
        <v>0</v>
      </c>
      <c r="V34" s="90">
        <v>0</v>
      </c>
      <c r="W34" s="145"/>
      <c r="X34" s="148"/>
      <c r="Y34" s="147"/>
      <c r="Z34" s="46"/>
    </row>
    <row r="35" ht="28.8" customHeight="1">
      <c r="A35" s="81"/>
      <c r="B35" s="82"/>
      <c r="C35" s="82"/>
      <c r="D35" s="47"/>
      <c r="E35" t="s" s="67">
        <f>RIGHT(F34,1)&amp;3&amp;1</f>
        <v>82</v>
      </c>
      <c r="F35" t="s" s="149">
        <f>VLOOKUP(E36,'BDD'!$A$1:$C$667,3,FALSE)</f>
        <v>83</v>
      </c>
      <c r="G35" t="s" s="69">
        <f>LEFT(RIGHT($E35,2),1)&amp;" : "&amp;_xlfn.IFERROR(VLOOKUP($E35,'BDD'!$A$1:$S$580,7,FALSE),"")</f>
        <v>84</v>
      </c>
      <c r="H35" s="70"/>
      <c r="I35" t="s" s="71">
        <v>27</v>
      </c>
      <c r="J35" t="s" s="71">
        <v>27</v>
      </c>
      <c r="K35" t="s" s="71">
        <v>27</v>
      </c>
      <c r="L35" t="s" s="71">
        <v>27</v>
      </c>
      <c r="M35" t="s" s="71">
        <v>27</v>
      </c>
      <c r="N35" t="s" s="71">
        <v>27</v>
      </c>
      <c r="O35" t="s" s="71">
        <v>27</v>
      </c>
      <c r="P35" s="72"/>
      <c r="Q35" s="70"/>
      <c r="R35" t="s" s="73">
        <v>28</v>
      </c>
      <c r="S35" s="74"/>
      <c r="T35" s="75"/>
      <c r="U35" s="76">
        <v>0</v>
      </c>
      <c r="V35" s="77">
        <v>0</v>
      </c>
      <c r="W35" s="145"/>
      <c r="X35" s="147"/>
      <c r="Y35" s="47"/>
      <c r="Z35" s="46"/>
    </row>
    <row r="36" ht="21" customHeight="1">
      <c r="A36" s="81"/>
      <c r="B36" s="82"/>
      <c r="C36" s="82"/>
      <c r="D36" s="47"/>
      <c r="E36" t="s" s="67">
        <f>RIGHT(F34,1)&amp;4&amp;1</f>
        <v>85</v>
      </c>
      <c r="F36" s="118"/>
      <c r="G36" t="s" s="84">
        <f>LEFT(RIGHT($E36,2),1)&amp;" : "&amp;_xlfn.IFERROR(VLOOKUP($E36,'BDD'!$A$1:$S$580,7,FALSE),"")</f>
        <v>86</v>
      </c>
      <c r="H36" s="70"/>
      <c r="I36" t="s" s="85">
        <v>27</v>
      </c>
      <c r="J36" t="s" s="85">
        <v>27</v>
      </c>
      <c r="K36" s="86"/>
      <c r="L36" s="86"/>
      <c r="M36" s="86"/>
      <c r="N36" s="86"/>
      <c r="O36" s="86"/>
      <c r="P36" s="86"/>
      <c r="Q36" s="70"/>
      <c r="R36" t="s" s="87">
        <v>28</v>
      </c>
      <c r="S36" s="88"/>
      <c r="T36" s="75"/>
      <c r="U36" s="89">
        <v>0</v>
      </c>
      <c r="V36" s="90">
        <v>0</v>
      </c>
      <c r="W36" s="145"/>
      <c r="X36" s="147"/>
      <c r="Y36" s="47"/>
      <c r="Z36" s="46"/>
    </row>
    <row r="37" ht="29.4" customHeight="1">
      <c r="A37" s="150"/>
      <c r="B37" s="151"/>
      <c r="C37" s="151"/>
      <c r="D37" s="47"/>
      <c r="E37" t="s" s="67">
        <f>RIGHT(F34,1)&amp;5&amp;1</f>
        <v>87</v>
      </c>
      <c r="F37" s="94"/>
      <c r="G37" t="s" s="69">
        <f>LEFT(RIGHT($E37,2),1)&amp;" : "&amp;_xlfn.IFERROR(VLOOKUP($E37,'BDD'!$A$1:$S$580,7,FALSE),"")</f>
        <v>88</v>
      </c>
      <c r="H37" s="70"/>
      <c r="I37" t="s" s="71">
        <v>27</v>
      </c>
      <c r="J37" t="s" s="71">
        <v>27</v>
      </c>
      <c r="K37" t="s" s="71">
        <v>27</v>
      </c>
      <c r="L37" s="72"/>
      <c r="M37" s="72"/>
      <c r="N37" s="72"/>
      <c r="O37" s="72"/>
      <c r="P37" s="72"/>
      <c r="Q37" s="70"/>
      <c r="R37" t="s" s="95">
        <v>28</v>
      </c>
      <c r="S37" s="96"/>
      <c r="T37" s="75"/>
      <c r="U37" s="97">
        <v>0</v>
      </c>
      <c r="V37" s="98">
        <v>0</v>
      </c>
      <c r="W37" s="145"/>
      <c r="X37" s="152"/>
      <c r="Y37" s="47"/>
      <c r="Z37" s="46"/>
    </row>
    <row r="38" ht="34.95" customHeight="1">
      <c r="A38" s="153"/>
      <c r="B38" s="154"/>
      <c r="C38" s="155"/>
      <c r="D38" s="47"/>
      <c r="E38" s="47"/>
      <c r="F38" s="100"/>
      <c r="G38" s="128"/>
      <c r="H38" s="47"/>
      <c r="I38" s="101"/>
      <c r="J38" s="101"/>
      <c r="K38" s="101"/>
      <c r="L38" s="101"/>
      <c r="M38" s="101"/>
      <c r="N38" s="101"/>
      <c r="O38" s="101"/>
      <c r="P38" s="101"/>
      <c r="Q38" s="103"/>
      <c r="R38" t="s" s="104">
        <v>28</v>
      </c>
      <c r="S38" s="105"/>
      <c r="T38" s="106"/>
      <c r="U38" s="107">
        <v>0</v>
      </c>
      <c r="V38" s="108">
        <v>0</v>
      </c>
      <c r="W38" s="109"/>
      <c r="X38" s="156"/>
      <c r="Y38" s="47"/>
      <c r="Z38" s="46"/>
    </row>
    <row r="39" ht="25.05" customHeight="1">
      <c r="A39" s="157"/>
      <c r="B39" s="158"/>
      <c r="C39" s="159"/>
      <c r="D39" s="47"/>
      <c r="E39" s="47"/>
      <c r="F39" s="100"/>
      <c r="G39" s="130"/>
      <c r="H39" s="47"/>
      <c r="I39" t="s" s="112">
        <v>12</v>
      </c>
      <c r="J39" t="s" s="112">
        <v>13</v>
      </c>
      <c r="K39" t="s" s="112">
        <v>14</v>
      </c>
      <c r="L39" t="s" s="112">
        <v>15</v>
      </c>
      <c r="M39" t="s" s="112">
        <v>16</v>
      </c>
      <c r="N39" t="s" s="112">
        <v>17</v>
      </c>
      <c r="O39" t="s" s="112">
        <v>18</v>
      </c>
      <c r="P39" t="s" s="112">
        <v>19</v>
      </c>
      <c r="Q39" s="47"/>
      <c r="R39" s="113"/>
      <c r="S39" s="114"/>
      <c r="T39" s="47"/>
      <c r="U39" s="115"/>
      <c r="V39" s="115"/>
      <c r="W39" s="47"/>
      <c r="X39" s="116"/>
      <c r="Y39" s="47"/>
      <c r="Z39" s="46"/>
    </row>
    <row r="40" ht="43.2" customHeight="1">
      <c r="A40" t="s" s="160">
        <v>89</v>
      </c>
      <c r="B40" s="161"/>
      <c r="C40" s="161"/>
      <c r="D40" s="47"/>
      <c r="E40" t="s" s="67">
        <f>RIGHT(F41,1)&amp;1&amp;1</f>
        <v>90</v>
      </c>
      <c r="F40" s="162"/>
      <c r="G40" t="s" s="69">
        <f>LEFT(RIGHT($E40,2),1)&amp;" : "&amp;_xlfn.IFERROR(VLOOKUP($E40,'BDD'!$A$1:$S$580,7,FALSE),"")</f>
        <v>91</v>
      </c>
      <c r="H40" s="163"/>
      <c r="I40" t="s" s="71">
        <f>IF('V5_Données&amp;IA'!O8="","",'V5_Données&amp;IA'!O8)</f>
        <v>57</v>
      </c>
      <c r="J40" t="s" s="71">
        <f>IF('V5_Données&amp;IA'!P8="","",'V5_Données&amp;IA'!P8)</f>
        <v>57</v>
      </c>
      <c r="K40" t="s" s="71">
        <f>IF('V5_Données&amp;IA'!Q8="","",'V5_Données&amp;IA'!Q8)</f>
        <v>57</v>
      </c>
      <c r="L40" t="s" s="71">
        <f>IF('V5_Données&amp;IA'!R8="","",'V5_Données&amp;IA'!R8)</f>
        <v>57</v>
      </c>
      <c r="M40" t="s" s="71">
        <f>IF('V5_Données&amp;IA'!S8="","",'V5_Données&amp;IA'!S8)</f>
        <v>57</v>
      </c>
      <c r="N40" t="s" s="71">
        <f>IF('V5_Données&amp;IA'!T8="","",'V5_Données&amp;IA'!T8)</f>
      </c>
      <c r="O40" t="s" s="71">
        <f>IF('V5_Données&amp;IA'!U8="","",'V5_Données&amp;IA'!U8)</f>
      </c>
      <c r="P40" t="s" s="71">
        <f>IF('V5_Données&amp;IA'!V8="","",'V5_Données&amp;IA'!V8)</f>
      </c>
      <c r="Q40" s="163"/>
      <c r="R40" t="s" s="73">
        <f>IF(OR('V5_Données&amp;IA'!W8="NE",'V5_Données&amp;IA'!W8=""),"",'V5_Données&amp;IA'!W8)</f>
        <v>58</v>
      </c>
      <c r="S40" t="s" s="132">
        <f>IF(OR('V5_Données&amp;IA'!X8="NE",'V5_Données&amp;IA'!X8=""),"",'V5_Données&amp;IA'!X8)</f>
      </c>
      <c r="T40" s="164"/>
      <c r="U40" s="76">
        <f>IF(OR('V5_Données&amp;IA'!Z8="NE",'V5_Données&amp;IA'!Z8=""),"",'V5_Données&amp;IA'!Z8)</f>
        <v>0</v>
      </c>
      <c r="V40" s="77">
        <f>IF(OR('V5_Données&amp;IA'!AA8="NE",'V5_Données&amp;IA'!AA8=""),"",'V5_Données&amp;IA'!AA8)</f>
      </c>
      <c r="W40" s="165"/>
      <c r="X40" t="s" s="166">
        <f>"Evaluation globale du "&amp;F41</f>
        <v>92</v>
      </c>
      <c r="Y40" s="80"/>
      <c r="Z40" s="46"/>
    </row>
    <row r="41" ht="21" customHeight="1">
      <c r="A41" s="167"/>
      <c r="B41" s="168"/>
      <c r="C41" s="168"/>
      <c r="D41" s="47"/>
      <c r="E41" t="s" s="67">
        <f>RIGHT(F41,1)&amp;2&amp;1</f>
        <v>93</v>
      </c>
      <c r="F41" t="s" s="169">
        <v>94</v>
      </c>
      <c r="G41" t="s" s="84">
        <f>LEFT(RIGHT($E41,2),1)&amp;" : "&amp;_xlfn.IFERROR(VLOOKUP($E41,'BDD'!$A$1:$S$580,7,FALSE),"")</f>
        <v>95</v>
      </c>
      <c r="H41" s="163"/>
      <c r="I41" t="s" s="85">
        <f>IF('V5_Données&amp;IA'!O9="","",'V5_Données&amp;IA'!O9)</f>
        <v>57</v>
      </c>
      <c r="J41" t="s" s="85">
        <f>IF('V5_Données&amp;IA'!P9="","",'V5_Données&amp;IA'!P9)</f>
        <v>57</v>
      </c>
      <c r="K41" t="s" s="85">
        <f>IF('V5_Données&amp;IA'!Q9="","",'V5_Données&amp;IA'!Q9)</f>
        <v>57</v>
      </c>
      <c r="L41" t="s" s="85">
        <f>IF('V5_Données&amp;IA'!R9="","",'V5_Données&amp;IA'!R9)</f>
        <v>57</v>
      </c>
      <c r="M41" t="s" s="85">
        <f>IF('V5_Données&amp;IA'!S9="","",'V5_Données&amp;IA'!S9)</f>
        <v>57</v>
      </c>
      <c r="N41" t="s" s="85">
        <f>IF('V5_Données&amp;IA'!T9="","",'V5_Données&amp;IA'!T9)</f>
        <v>57</v>
      </c>
      <c r="O41" t="s" s="85">
        <f>IF('V5_Données&amp;IA'!U9="","",'V5_Données&amp;IA'!U9)</f>
        <v>57</v>
      </c>
      <c r="P41" t="s" s="85">
        <f>IF('V5_Données&amp;IA'!V9="","",'V5_Données&amp;IA'!V9)</f>
      </c>
      <c r="Q41" s="163"/>
      <c r="R41" t="s" s="87">
        <f>IF(OR('V5_Données&amp;IA'!W9="NE",'V5_Données&amp;IA'!W9=""),"",'V5_Données&amp;IA'!W9)</f>
        <v>58</v>
      </c>
      <c r="S41" t="s" s="136">
        <f>IF(OR('V5_Données&amp;IA'!X9="NE",'V5_Données&amp;IA'!X9=""),"",'V5_Données&amp;IA'!X9)</f>
      </c>
      <c r="T41" s="164"/>
      <c r="U41" s="89">
        <f>IF(OR('V5_Données&amp;IA'!Z9="NE",'V5_Données&amp;IA'!Z9=""),"",'V5_Données&amp;IA'!Z9)</f>
        <v>0</v>
      </c>
      <c r="V41" s="90">
        <f>IF(OR('V5_Données&amp;IA'!AA9="NE",'V5_Données&amp;IA'!AA9=""),"",'V5_Données&amp;IA'!AA9)</f>
      </c>
      <c r="W41" s="165"/>
      <c r="X41" t="s" s="170">
        <f>IF(OR('V5_Données&amp;IA'!N15="NE",'V5_Données&amp;IA'!N15=""),"",'V5_Données&amp;IA'!N15)</f>
      </c>
      <c r="Y41" s="80"/>
      <c r="Z41" s="46"/>
    </row>
    <row r="42" ht="43.2" customHeight="1">
      <c r="A42" s="167"/>
      <c r="B42" s="168"/>
      <c r="C42" s="168"/>
      <c r="D42" s="47"/>
      <c r="E42" t="s" s="67">
        <f>RIGHT(F41,1)&amp;3&amp;1</f>
        <v>96</v>
      </c>
      <c r="F42" t="s" s="171">
        <f>VLOOKUP(E43,'BDD'!$A$1:$C$667,3,FALSE)</f>
        <v>97</v>
      </c>
      <c r="G42" t="s" s="69">
        <f>LEFT(RIGHT($E42,2),1)&amp;" : "&amp;_xlfn.IFERROR(VLOOKUP($E42,'BDD'!$A$1:$S$580,7,FALSE),"")</f>
        <v>98</v>
      </c>
      <c r="H42" s="163"/>
      <c r="I42" t="s" s="71">
        <f>IF('V5_Données&amp;IA'!O10="","",'V5_Données&amp;IA'!O10)</f>
        <v>57</v>
      </c>
      <c r="J42" t="s" s="71">
        <f>IF('V5_Données&amp;IA'!P10="","",'V5_Données&amp;IA'!P10)</f>
        <v>57</v>
      </c>
      <c r="K42" t="s" s="71">
        <f>IF('V5_Données&amp;IA'!Q10="","",'V5_Données&amp;IA'!Q10)</f>
        <v>57</v>
      </c>
      <c r="L42" t="s" s="71">
        <f>IF('V5_Données&amp;IA'!R10="","",'V5_Données&amp;IA'!R10)</f>
        <v>57</v>
      </c>
      <c r="M42" t="s" s="71">
        <f>IF('V5_Données&amp;IA'!S10="","",'V5_Données&amp;IA'!S10)</f>
        <v>57</v>
      </c>
      <c r="N42" t="s" s="71">
        <f>IF('V5_Données&amp;IA'!T10="","",'V5_Données&amp;IA'!T10)</f>
      </c>
      <c r="O42" t="s" s="71">
        <f>IF('V5_Données&amp;IA'!U10="","",'V5_Données&amp;IA'!U10)</f>
      </c>
      <c r="P42" t="s" s="71">
        <f>IF('V5_Données&amp;IA'!V10="","",'V5_Données&amp;IA'!V10)</f>
      </c>
      <c r="Q42" s="163"/>
      <c r="R42" t="s" s="73">
        <f>IF(OR('V5_Données&amp;IA'!W10="NE",'V5_Données&amp;IA'!W10=""),"",'V5_Données&amp;IA'!W10)</f>
        <v>58</v>
      </c>
      <c r="S42" t="s" s="132">
        <f>IF(OR('V5_Données&amp;IA'!X10="NE",'V5_Données&amp;IA'!X10=""),"",'V5_Données&amp;IA'!X10)</f>
      </c>
      <c r="T42" s="164"/>
      <c r="U42" s="76">
        <f>IF(OR('V5_Données&amp;IA'!Z10="NE",'V5_Données&amp;IA'!Z10=""),"",'V5_Données&amp;IA'!Z10)</f>
        <v>0</v>
      </c>
      <c r="V42" s="77">
        <f>IF(OR('V5_Données&amp;IA'!AA10="NE",'V5_Données&amp;IA'!AA10=""),"",'V5_Données&amp;IA'!AA10)</f>
      </c>
      <c r="W42" s="165"/>
      <c r="X42" s="80"/>
      <c r="Y42" s="47"/>
      <c r="Z42" s="46"/>
    </row>
    <row r="43" ht="21" customHeight="1">
      <c r="A43" s="167"/>
      <c r="B43" s="168"/>
      <c r="C43" s="168"/>
      <c r="D43" s="47"/>
      <c r="E43" t="s" s="67">
        <f>RIGHT(F41,1)&amp;4&amp;1</f>
        <v>99</v>
      </c>
      <c r="F43" s="172"/>
      <c r="G43" t="s" s="84">
        <f>LEFT(RIGHT($E43,2),1)&amp;" : "&amp;_xlfn.IFERROR(VLOOKUP($E43,'BDD'!$A$1:$S$580,7,FALSE),"")</f>
        <v>100</v>
      </c>
      <c r="H43" s="163"/>
      <c r="I43" t="s" s="85">
        <f>IF('V5_Données&amp;IA'!O11="","",'V5_Données&amp;IA'!O11)</f>
        <v>57</v>
      </c>
      <c r="J43" t="s" s="85">
        <f>IF('V5_Données&amp;IA'!P11="","",'V5_Données&amp;IA'!P11)</f>
        <v>57</v>
      </c>
      <c r="K43" t="s" s="85">
        <f>IF('V5_Données&amp;IA'!Q11="","",'V5_Données&amp;IA'!Q11)</f>
        <v>57</v>
      </c>
      <c r="L43" t="s" s="85">
        <f>IF('V5_Données&amp;IA'!R11="","",'V5_Données&amp;IA'!R11)</f>
        <v>57</v>
      </c>
      <c r="M43" t="s" s="85">
        <f>IF('V5_Données&amp;IA'!S11="","",'V5_Données&amp;IA'!S11)</f>
        <v>57</v>
      </c>
      <c r="N43" t="s" s="85">
        <f>IF('V5_Données&amp;IA'!T11="","",'V5_Données&amp;IA'!T11)</f>
      </c>
      <c r="O43" t="s" s="85">
        <f>IF('V5_Données&amp;IA'!U11="","",'V5_Données&amp;IA'!U11)</f>
      </c>
      <c r="P43" t="s" s="85">
        <f>IF('V5_Données&amp;IA'!V11="","",'V5_Données&amp;IA'!V11)</f>
      </c>
      <c r="Q43" s="163"/>
      <c r="R43" t="s" s="87">
        <f>IF(OR('V5_Données&amp;IA'!W11="NE",'V5_Données&amp;IA'!W11=""),"",'V5_Données&amp;IA'!W11)</f>
        <v>58</v>
      </c>
      <c r="S43" t="s" s="136">
        <f>IF(OR('V5_Données&amp;IA'!X11="NE",'V5_Données&amp;IA'!X11=""),"",'V5_Données&amp;IA'!X11)</f>
      </c>
      <c r="T43" s="164"/>
      <c r="U43" s="89">
        <f>IF(OR('V5_Données&amp;IA'!Z11="NE",'V5_Données&amp;IA'!Z11=""),"",'V5_Données&amp;IA'!Z11)</f>
        <v>0</v>
      </c>
      <c r="V43" s="90">
        <f>IF(OR('V5_Données&amp;IA'!AA11="NE",'V5_Données&amp;IA'!AA11=""),"",'V5_Données&amp;IA'!AA11)</f>
      </c>
      <c r="W43" s="165"/>
      <c r="X43" s="80"/>
      <c r="Y43" s="47"/>
      <c r="Z43" s="46"/>
    </row>
    <row r="44" ht="29.4" customHeight="1">
      <c r="A44" s="167"/>
      <c r="B44" s="168"/>
      <c r="C44" s="168"/>
      <c r="D44" s="47"/>
      <c r="E44" t="s" s="67">
        <f>RIGHT(F41,1)&amp;5&amp;1</f>
        <v>101</v>
      </c>
      <c r="F44" s="172"/>
      <c r="G44" t="s" s="69">
        <f>LEFT(RIGHT($E44,2),1)&amp;" : "&amp;_xlfn.IFERROR(VLOOKUP($E44,'BDD'!$A$1:$S$580,7,FALSE),"")</f>
        <v>102</v>
      </c>
      <c r="H44" s="163"/>
      <c r="I44" t="s" s="71">
        <f>IF('V5_Données&amp;IA'!O12="","",'V5_Données&amp;IA'!O12)</f>
        <v>57</v>
      </c>
      <c r="J44" t="s" s="71">
        <f>IF('V5_Données&amp;IA'!P12="","",'V5_Données&amp;IA'!P12)</f>
        <v>57</v>
      </c>
      <c r="K44" t="s" s="71">
        <f>IF('V5_Données&amp;IA'!Q12="","",'V5_Données&amp;IA'!Q12)</f>
        <v>57</v>
      </c>
      <c r="L44" t="s" s="71">
        <f>IF('V5_Données&amp;IA'!R12="","",'V5_Données&amp;IA'!R12)</f>
        <v>57</v>
      </c>
      <c r="M44" t="s" s="71">
        <f>IF('V5_Données&amp;IA'!S12="","",'V5_Données&amp;IA'!S12)</f>
        <v>57</v>
      </c>
      <c r="N44" t="s" s="71">
        <f>IF('V5_Données&amp;IA'!T12="","",'V5_Données&amp;IA'!T12)</f>
        <v>57</v>
      </c>
      <c r="O44" t="s" s="71">
        <f>IF('V5_Données&amp;IA'!U12="","",'V5_Données&amp;IA'!U12)</f>
        <v>57</v>
      </c>
      <c r="P44" t="s" s="71">
        <f>IF('V5_Données&amp;IA'!V12="","",'V5_Données&amp;IA'!V12)</f>
      </c>
      <c r="Q44" s="163"/>
      <c r="R44" t="s" s="95">
        <f>IF(OR('V5_Données&amp;IA'!W12="NE",'V5_Données&amp;IA'!W12=""),"",'V5_Données&amp;IA'!W12)</f>
        <v>58</v>
      </c>
      <c r="S44" t="s" s="173">
        <f>IF(OR('V5_Données&amp;IA'!X12="NE",'V5_Données&amp;IA'!X12=""),"",'V5_Données&amp;IA'!X12)</f>
      </c>
      <c r="T44" s="164"/>
      <c r="U44" s="97">
        <f>IF(OR('V5_Données&amp;IA'!Z12="NE",'V5_Données&amp;IA'!Z12=""),"",'V5_Données&amp;IA'!Z12)</f>
        <v>0</v>
      </c>
      <c r="V44" s="98">
        <f>IF(OR('V5_Données&amp;IA'!AA12="NE",'V5_Données&amp;IA'!AA12=""),"",'V5_Données&amp;IA'!AA12)</f>
      </c>
      <c r="W44" s="165"/>
      <c r="X44" s="99"/>
      <c r="Y44" s="47"/>
      <c r="Z44" s="46"/>
    </row>
    <row r="45" ht="34.95" customHeight="1">
      <c r="A45" s="167"/>
      <c r="B45" s="168"/>
      <c r="C45" s="168"/>
      <c r="D45" s="47"/>
      <c r="E45" s="47"/>
      <c r="F45" s="100"/>
      <c r="G45" s="128"/>
      <c r="H45" s="47"/>
      <c r="I45" s="101"/>
      <c r="J45" s="101"/>
      <c r="K45" s="101"/>
      <c r="L45" s="101"/>
      <c r="M45" s="101"/>
      <c r="N45" s="101"/>
      <c r="O45" s="101"/>
      <c r="P45" s="101"/>
      <c r="Q45" s="103"/>
      <c r="R45" t="s" s="174">
        <f>IF(OR('V5_Données&amp;IA'!W15="NE",'V5_Données&amp;IA'!W15=""),"",'V5_Données&amp;IA'!W15)</f>
        <v>58</v>
      </c>
      <c r="S45" t="s" s="175">
        <f>IF(OR('V5_Données&amp;IA'!X15="NE",'V5_Données&amp;IA'!X15=""),"",'V5_Données&amp;IA'!X15)</f>
      </c>
      <c r="T45" s="106"/>
      <c r="U45" s="176">
        <f>IF(OR('V5_Données&amp;IA'!Z15="NE",'V5_Données&amp;IA'!Z15=""),"",'V5_Données&amp;IA'!Z15)</f>
        <v>0</v>
      </c>
      <c r="V45" s="177">
        <f>IF(OR('V5_Données&amp;IA'!AA15="NE",'V5_Données&amp;IA'!AA15=""),"",'V5_Données&amp;IA'!AA15)</f>
      </c>
      <c r="W45" s="109"/>
      <c r="X45" s="110"/>
      <c r="Y45" s="47"/>
      <c r="Z45" s="46"/>
    </row>
    <row r="46" ht="25.05" customHeight="1">
      <c r="A46" s="167"/>
      <c r="B46" s="168"/>
      <c r="C46" s="168"/>
      <c r="D46" s="47"/>
      <c r="E46" s="47"/>
      <c r="F46" s="100"/>
      <c r="G46" s="130"/>
      <c r="H46" s="47"/>
      <c r="I46" t="s" s="112">
        <v>12</v>
      </c>
      <c r="J46" t="s" s="112">
        <v>13</v>
      </c>
      <c r="K46" t="s" s="112">
        <v>14</v>
      </c>
      <c r="L46" t="s" s="112">
        <v>15</v>
      </c>
      <c r="M46" t="s" s="112">
        <v>16</v>
      </c>
      <c r="N46" t="s" s="112">
        <v>17</v>
      </c>
      <c r="O46" t="s" s="112">
        <v>18</v>
      </c>
      <c r="P46" t="s" s="112">
        <v>19</v>
      </c>
      <c r="Q46" s="47"/>
      <c r="R46" s="113"/>
      <c r="S46" s="114"/>
      <c r="T46" s="47"/>
      <c r="U46" s="115"/>
      <c r="V46" s="115"/>
      <c r="W46" s="47"/>
      <c r="X46" s="116"/>
      <c r="Y46" s="47"/>
      <c r="Z46" s="46"/>
    </row>
    <row r="47" ht="21" customHeight="1">
      <c r="A47" s="167"/>
      <c r="B47" s="168"/>
      <c r="C47" s="168"/>
      <c r="D47" s="47"/>
      <c r="E47" t="s" s="67">
        <f>RIGHT(F49,1)&amp;1&amp;1</f>
        <v>103</v>
      </c>
      <c r="F47" s="162"/>
      <c r="G47" s="178"/>
      <c r="H47" s="163"/>
      <c r="I47" t="s" s="71">
        <v>27</v>
      </c>
      <c r="J47" t="s" s="71">
        <v>27</v>
      </c>
      <c r="K47" t="s" s="71">
        <v>27</v>
      </c>
      <c r="L47" t="s" s="71">
        <v>27</v>
      </c>
      <c r="M47" s="72"/>
      <c r="N47" s="72"/>
      <c r="O47" s="72"/>
      <c r="P47" s="72"/>
      <c r="Q47" s="163"/>
      <c r="R47" t="s" s="73">
        <v>28</v>
      </c>
      <c r="S47" s="74"/>
      <c r="T47" s="164"/>
      <c r="U47" s="76">
        <v>0</v>
      </c>
      <c r="V47" s="77">
        <v>0</v>
      </c>
      <c r="W47" s="165"/>
      <c r="X47" t="s" s="179">
        <f>"Evaluation globale du "&amp;F49</f>
        <v>104</v>
      </c>
      <c r="Y47" s="80"/>
      <c r="Z47" s="46"/>
    </row>
    <row r="48" ht="57.6" customHeight="1">
      <c r="A48" s="167"/>
      <c r="B48" s="168"/>
      <c r="C48" s="168"/>
      <c r="D48" s="47"/>
      <c r="E48" t="s" s="67">
        <f>RIGHT(F49,1)&amp;2&amp;1</f>
        <v>105</v>
      </c>
      <c r="F48" s="172"/>
      <c r="G48" t="s" s="84">
        <f>LEFT(RIGHT($E48,2),1)&amp;" : "&amp;_xlfn.IFERROR(VLOOKUP($E48,'BDD'!$A$1:$S$580,7,FALSE),"")</f>
        <v>106</v>
      </c>
      <c r="H48" s="163"/>
      <c r="I48" t="s" s="85">
        <v>27</v>
      </c>
      <c r="J48" t="s" s="85">
        <v>27</v>
      </c>
      <c r="K48" t="s" s="85">
        <v>27</v>
      </c>
      <c r="L48" t="s" s="85">
        <v>27</v>
      </c>
      <c r="M48" s="86"/>
      <c r="N48" s="86"/>
      <c r="O48" s="86"/>
      <c r="P48" s="86"/>
      <c r="Q48" s="163"/>
      <c r="R48" t="s" s="87">
        <v>28</v>
      </c>
      <c r="S48" s="88"/>
      <c r="T48" s="164"/>
      <c r="U48" s="89">
        <v>0</v>
      </c>
      <c r="V48" s="90">
        <v>0</v>
      </c>
      <c r="W48" s="180"/>
      <c r="X48" s="120"/>
      <c r="Y48" s="121"/>
      <c r="Z48" s="46"/>
    </row>
    <row r="49" ht="43.2" customHeight="1">
      <c r="A49" s="167"/>
      <c r="B49" s="168"/>
      <c r="C49" s="168"/>
      <c r="D49" s="47"/>
      <c r="E49" t="s" s="67">
        <f>RIGHT(F49,1)&amp;3&amp;1</f>
        <v>107</v>
      </c>
      <c r="F49" t="s" s="181">
        <v>108</v>
      </c>
      <c r="G49" t="s" s="69">
        <f>LEFT(RIGHT($E49,2),1)&amp;" : "&amp;_xlfn.IFERROR(VLOOKUP($E49,'BDD'!$A$1:$S$580,7,FALSE),"")</f>
        <v>109</v>
      </c>
      <c r="H49" s="163"/>
      <c r="I49" t="s" s="71">
        <v>27</v>
      </c>
      <c r="J49" t="s" s="71">
        <v>27</v>
      </c>
      <c r="K49" t="s" s="71">
        <v>27</v>
      </c>
      <c r="L49" t="s" s="71">
        <v>27</v>
      </c>
      <c r="M49" t="s" s="71">
        <v>27</v>
      </c>
      <c r="N49" s="72"/>
      <c r="O49" s="72"/>
      <c r="P49" s="72"/>
      <c r="Q49" s="163"/>
      <c r="R49" t="s" s="73">
        <v>28</v>
      </c>
      <c r="S49" s="74"/>
      <c r="T49" s="164"/>
      <c r="U49" s="76">
        <v>0</v>
      </c>
      <c r="V49" s="77">
        <v>0</v>
      </c>
      <c r="W49" s="180"/>
      <c r="X49" s="121"/>
      <c r="Y49" s="47"/>
      <c r="Z49" s="46"/>
    </row>
    <row r="50" ht="57.6" customHeight="1">
      <c r="A50" s="167"/>
      <c r="B50" s="168"/>
      <c r="C50" s="168"/>
      <c r="D50" s="47"/>
      <c r="E50" t="s" s="67">
        <f>RIGHT(F49,1)&amp;4&amp;1</f>
        <v>110</v>
      </c>
      <c r="F50" t="s" s="182">
        <f>VLOOKUP(E50,'BDD'!$A$1:$C$667,3,FALSE)</f>
        <v>111</v>
      </c>
      <c r="G50" t="s" s="84">
        <f>LEFT(RIGHT($E50,2),1)&amp;" : "&amp;_xlfn.IFERROR(VLOOKUP($E50,'BDD'!$A$1:$S$580,7,FALSE),"")</f>
        <v>112</v>
      </c>
      <c r="H50" s="163"/>
      <c r="I50" t="s" s="85">
        <v>27</v>
      </c>
      <c r="J50" t="s" s="85">
        <v>27</v>
      </c>
      <c r="K50" t="s" s="85">
        <v>27</v>
      </c>
      <c r="L50" t="s" s="85">
        <v>27</v>
      </c>
      <c r="M50" s="86"/>
      <c r="N50" s="86"/>
      <c r="O50" s="86"/>
      <c r="P50" s="86"/>
      <c r="Q50" s="163"/>
      <c r="R50" t="s" s="87">
        <v>28</v>
      </c>
      <c r="S50" s="88"/>
      <c r="T50" s="164"/>
      <c r="U50" s="89">
        <v>0</v>
      </c>
      <c r="V50" s="90">
        <v>0</v>
      </c>
      <c r="W50" s="180"/>
      <c r="X50" s="121"/>
      <c r="Y50" s="47"/>
      <c r="Z50" s="46"/>
    </row>
    <row r="51" ht="57.6" customHeight="1">
      <c r="A51" s="167"/>
      <c r="B51" s="168"/>
      <c r="C51" s="168"/>
      <c r="D51" s="47"/>
      <c r="E51" t="s" s="67">
        <f>RIGHT(F49,1)&amp;5&amp;1</f>
        <v>113</v>
      </c>
      <c r="F51" s="172"/>
      <c r="G51" t="s" s="69">
        <f>LEFT(RIGHT($E51,2),1)&amp;" : "&amp;_xlfn.IFERROR(VLOOKUP($E51,'BDD'!$A$1:$S$580,7,FALSE),"")</f>
        <v>114</v>
      </c>
      <c r="H51" s="163"/>
      <c r="I51" t="s" s="71">
        <v>27</v>
      </c>
      <c r="J51" t="s" s="71">
        <v>27</v>
      </c>
      <c r="K51" t="s" s="71">
        <v>27</v>
      </c>
      <c r="L51" t="s" s="71">
        <v>27</v>
      </c>
      <c r="M51" t="s" s="71">
        <v>27</v>
      </c>
      <c r="N51" t="s" s="71">
        <v>27</v>
      </c>
      <c r="O51" s="72"/>
      <c r="P51" s="72"/>
      <c r="Q51" s="163"/>
      <c r="R51" t="s" s="73">
        <v>28</v>
      </c>
      <c r="S51" s="74"/>
      <c r="T51" s="164"/>
      <c r="U51" s="76">
        <v>0</v>
      </c>
      <c r="V51" s="77">
        <v>0</v>
      </c>
      <c r="W51" s="180"/>
      <c r="X51" s="121"/>
      <c r="Y51" s="47"/>
      <c r="Z51" s="46"/>
    </row>
    <row r="52" ht="58.2" customHeight="1">
      <c r="A52" s="167"/>
      <c r="B52" s="168"/>
      <c r="C52" s="168"/>
      <c r="D52" s="47"/>
      <c r="E52" t="s" s="67">
        <f>RIGHT(F49,1)&amp;6&amp;1</f>
        <v>115</v>
      </c>
      <c r="F52" s="172"/>
      <c r="G52" t="s" s="84">
        <f>LEFT(RIGHT($E52,2),1)&amp;" : "&amp;_xlfn.IFERROR(VLOOKUP($E52,'BDD'!$A$1:$S$580,7,FALSE),"")</f>
        <v>116</v>
      </c>
      <c r="H52" s="163"/>
      <c r="I52" t="s" s="85">
        <v>27</v>
      </c>
      <c r="J52" t="s" s="85">
        <v>27</v>
      </c>
      <c r="K52" t="s" s="85">
        <v>27</v>
      </c>
      <c r="L52" t="s" s="85">
        <v>27</v>
      </c>
      <c r="M52" t="s" s="85">
        <v>27</v>
      </c>
      <c r="N52" t="s" s="85">
        <v>27</v>
      </c>
      <c r="O52" t="s" s="85">
        <v>27</v>
      </c>
      <c r="P52" s="86"/>
      <c r="Q52" s="163"/>
      <c r="R52" t="s" s="123">
        <v>28</v>
      </c>
      <c r="S52" s="124"/>
      <c r="T52" s="164"/>
      <c r="U52" s="125">
        <v>0</v>
      </c>
      <c r="V52" s="126">
        <v>0</v>
      </c>
      <c r="W52" s="180"/>
      <c r="X52" s="127"/>
      <c r="Y52" s="47"/>
      <c r="Z52" s="46"/>
    </row>
    <row r="53" ht="34.95" customHeight="1">
      <c r="A53" s="167"/>
      <c r="B53" s="168"/>
      <c r="C53" s="168"/>
      <c r="D53" s="47"/>
      <c r="E53" s="47"/>
      <c r="F53" s="100"/>
      <c r="G53" s="128"/>
      <c r="H53" s="47"/>
      <c r="I53" s="101"/>
      <c r="J53" s="101"/>
      <c r="K53" s="101"/>
      <c r="L53" s="101"/>
      <c r="M53" s="101"/>
      <c r="N53" s="101"/>
      <c r="O53" s="101"/>
      <c r="P53" s="101"/>
      <c r="Q53" s="103"/>
      <c r="R53" t="s" s="174">
        <v>28</v>
      </c>
      <c r="S53" s="183"/>
      <c r="T53" s="106"/>
      <c r="U53" s="176">
        <v>0</v>
      </c>
      <c r="V53" s="177">
        <v>0</v>
      </c>
      <c r="W53" s="109"/>
      <c r="X53" s="129"/>
      <c r="Y53" s="47"/>
      <c r="Z53" s="46"/>
    </row>
    <row r="54" ht="25.05" customHeight="1">
      <c r="A54" s="167"/>
      <c r="B54" s="168"/>
      <c r="C54" s="168"/>
      <c r="D54" s="47"/>
      <c r="E54" s="47"/>
      <c r="F54" s="100"/>
      <c r="G54" s="130"/>
      <c r="H54" s="47"/>
      <c r="I54" t="s" s="112">
        <v>12</v>
      </c>
      <c r="J54" t="s" s="112">
        <v>13</v>
      </c>
      <c r="K54" t="s" s="112">
        <v>14</v>
      </c>
      <c r="L54" t="s" s="112">
        <v>15</v>
      </c>
      <c r="M54" t="s" s="112">
        <v>16</v>
      </c>
      <c r="N54" t="s" s="112">
        <v>17</v>
      </c>
      <c r="O54" t="s" s="112">
        <v>18</v>
      </c>
      <c r="P54" t="s" s="112">
        <v>19</v>
      </c>
      <c r="Q54" s="47"/>
      <c r="R54" s="113"/>
      <c r="S54" s="114"/>
      <c r="T54" s="47"/>
      <c r="U54" s="115"/>
      <c r="V54" s="115"/>
      <c r="W54" s="47"/>
      <c r="X54" s="131"/>
      <c r="Y54" s="47"/>
      <c r="Z54" s="46"/>
    </row>
    <row r="55" ht="28.8" customHeight="1">
      <c r="A55" s="167"/>
      <c r="B55" s="168"/>
      <c r="C55" s="168"/>
      <c r="D55" s="47"/>
      <c r="E55" t="s" s="67">
        <f>RIGHT(F57,1)&amp;1&amp;1</f>
        <v>117</v>
      </c>
      <c r="F55" s="162"/>
      <c r="G55" t="s" s="69">
        <f>LEFT(RIGHT($E55,2),1)&amp;" : "&amp;_xlfn.IFERROR(VLOOKUP($E55,'BDD'!$A$1:$S$580,7,FALSE),"")</f>
        <v>118</v>
      </c>
      <c r="H55" s="163"/>
      <c r="I55" t="s" s="71">
        <v>27</v>
      </c>
      <c r="J55" t="s" s="71">
        <v>27</v>
      </c>
      <c r="K55" t="s" s="71">
        <v>27</v>
      </c>
      <c r="L55" t="s" s="71">
        <v>27</v>
      </c>
      <c r="M55" s="72"/>
      <c r="N55" s="72"/>
      <c r="O55" s="72"/>
      <c r="P55" s="72"/>
      <c r="Q55" s="163"/>
      <c r="R55" t="s" s="73">
        <v>28</v>
      </c>
      <c r="S55" s="74"/>
      <c r="T55" s="164"/>
      <c r="U55" s="76">
        <v>0</v>
      </c>
      <c r="V55" s="77">
        <v>0</v>
      </c>
      <c r="W55" s="184"/>
      <c r="X55" t="s" s="185">
        <f>"Evaluation globale du "&amp;F57</f>
        <v>119</v>
      </c>
      <c r="Y55" s="135"/>
      <c r="Z55" s="46"/>
    </row>
    <row r="56" ht="28.8" customHeight="1">
      <c r="A56" s="167"/>
      <c r="B56" s="168"/>
      <c r="C56" s="168"/>
      <c r="D56" s="47"/>
      <c r="E56" t="s" s="67">
        <f>RIGHT(F57,1)&amp;2&amp;1</f>
        <v>120</v>
      </c>
      <c r="F56" s="172"/>
      <c r="G56" t="s" s="84">
        <f>LEFT(RIGHT($E56,2),1)&amp;" : "&amp;_xlfn.IFERROR(VLOOKUP($E56,'BDD'!$A$1:$S$580,7,FALSE),"")</f>
        <v>121</v>
      </c>
      <c r="H56" s="163"/>
      <c r="I56" t="s" s="85">
        <v>27</v>
      </c>
      <c r="J56" t="s" s="85">
        <v>27</v>
      </c>
      <c r="K56" t="s" s="85">
        <v>27</v>
      </c>
      <c r="L56" t="s" s="85">
        <v>27</v>
      </c>
      <c r="M56" t="s" s="85">
        <v>27</v>
      </c>
      <c r="N56" t="s" s="85">
        <v>27</v>
      </c>
      <c r="O56" s="86"/>
      <c r="P56" s="86"/>
      <c r="Q56" s="163"/>
      <c r="R56" t="s" s="87">
        <v>28</v>
      </c>
      <c r="S56" s="88"/>
      <c r="T56" s="164"/>
      <c r="U56" s="89">
        <v>0</v>
      </c>
      <c r="V56" s="90">
        <v>0</v>
      </c>
      <c r="W56" s="184"/>
      <c r="X56" s="186"/>
      <c r="Y56" s="135"/>
      <c r="Z56" s="46"/>
    </row>
    <row r="57" ht="28.8" customHeight="1">
      <c r="A57" s="167"/>
      <c r="B57" s="168"/>
      <c r="C57" s="168"/>
      <c r="D57" s="47"/>
      <c r="E57" t="s" s="67">
        <f>RIGHT(F57,1)&amp;3&amp;1</f>
        <v>122</v>
      </c>
      <c r="F57" t="s" s="181">
        <v>123</v>
      </c>
      <c r="G57" t="s" s="69">
        <f>LEFT(RIGHT($E57,2),1)&amp;" : "&amp;_xlfn.IFERROR(VLOOKUP($E57,'BDD'!$A$1:$S$580,7,FALSE),"")</f>
        <v>124</v>
      </c>
      <c r="H57" s="163"/>
      <c r="I57" t="s" s="71">
        <v>27</v>
      </c>
      <c r="J57" t="s" s="71">
        <v>27</v>
      </c>
      <c r="K57" s="72"/>
      <c r="L57" s="72"/>
      <c r="M57" s="72"/>
      <c r="N57" s="72"/>
      <c r="O57" s="72"/>
      <c r="P57" s="72"/>
      <c r="Q57" s="163"/>
      <c r="R57" t="s" s="73">
        <v>28</v>
      </c>
      <c r="S57" s="74"/>
      <c r="T57" s="164"/>
      <c r="U57" s="76">
        <v>0</v>
      </c>
      <c r="V57" s="77">
        <v>0</v>
      </c>
      <c r="W57" s="184"/>
      <c r="X57" s="135"/>
      <c r="Y57" s="47"/>
      <c r="Z57" s="46"/>
    </row>
    <row r="58" ht="43.2" customHeight="1">
      <c r="A58" s="167"/>
      <c r="B58" s="168"/>
      <c r="C58" s="168"/>
      <c r="D58" s="47"/>
      <c r="E58" t="s" s="67">
        <f>RIGHT(F57,1)&amp;4&amp;1</f>
        <v>125</v>
      </c>
      <c r="F58" t="s" s="182">
        <f>VLOOKUP(E58,'BDD'!$A$1:$C$667,3,FALSE)</f>
        <v>126</v>
      </c>
      <c r="G58" t="s" s="84">
        <f>LEFT(RIGHT($E58,2),1)&amp;" : "&amp;_xlfn.IFERROR(VLOOKUP($E58,'BDD'!$A$1:$S$580,7,FALSE),"")</f>
        <v>127</v>
      </c>
      <c r="H58" s="163"/>
      <c r="I58" t="s" s="85">
        <v>27</v>
      </c>
      <c r="J58" t="s" s="85">
        <v>27</v>
      </c>
      <c r="K58" t="s" s="85">
        <v>27</v>
      </c>
      <c r="L58" t="s" s="85">
        <v>27</v>
      </c>
      <c r="M58" t="s" s="85">
        <v>27</v>
      </c>
      <c r="N58" s="86"/>
      <c r="O58" s="86"/>
      <c r="P58" s="86"/>
      <c r="Q58" s="163"/>
      <c r="R58" t="s" s="87">
        <v>28</v>
      </c>
      <c r="S58" s="88"/>
      <c r="T58" s="164"/>
      <c r="U58" s="89">
        <v>0</v>
      </c>
      <c r="V58" s="90">
        <v>0</v>
      </c>
      <c r="W58" s="184"/>
      <c r="X58" s="135"/>
      <c r="Y58" s="47"/>
      <c r="Z58" s="46"/>
    </row>
    <row r="59" ht="43.2" customHeight="1">
      <c r="A59" s="167"/>
      <c r="B59" s="168"/>
      <c r="C59" s="168"/>
      <c r="D59" s="47"/>
      <c r="E59" t="s" s="67">
        <f>RIGHT(F57,1)&amp;5&amp;1</f>
        <v>128</v>
      </c>
      <c r="F59" s="187"/>
      <c r="G59" t="s" s="69">
        <f>LEFT(RIGHT($E59,2),1)&amp;" : "&amp;_xlfn.IFERROR(VLOOKUP($E59,'BDD'!$A$1:$S$580,7,FALSE),"")</f>
        <v>129</v>
      </c>
      <c r="H59" s="163"/>
      <c r="I59" t="s" s="71">
        <v>27</v>
      </c>
      <c r="J59" t="s" s="71">
        <v>27</v>
      </c>
      <c r="K59" t="s" s="71">
        <v>27</v>
      </c>
      <c r="L59" t="s" s="71">
        <v>27</v>
      </c>
      <c r="M59" s="72"/>
      <c r="N59" s="72"/>
      <c r="O59" s="72"/>
      <c r="P59" s="72"/>
      <c r="Q59" s="163"/>
      <c r="R59" t="s" s="73">
        <v>28</v>
      </c>
      <c r="S59" s="74"/>
      <c r="T59" s="164"/>
      <c r="U59" s="76">
        <v>0</v>
      </c>
      <c r="V59" s="77">
        <v>0</v>
      </c>
      <c r="W59" s="184"/>
      <c r="X59" s="135"/>
      <c r="Y59" s="47"/>
      <c r="Z59" s="46"/>
    </row>
    <row r="60" ht="43.8" customHeight="1">
      <c r="A60" s="167"/>
      <c r="B60" s="168"/>
      <c r="C60" s="168"/>
      <c r="D60" s="47"/>
      <c r="E60" t="s" s="67">
        <f>RIGHT(F57,1)&amp;6&amp;1</f>
        <v>130</v>
      </c>
      <c r="F60" s="172"/>
      <c r="G60" t="s" s="84">
        <f>LEFT(RIGHT($E60,2),1)&amp;" : "&amp;_xlfn.IFERROR(VLOOKUP($E60,'BDD'!$A$1:$S$580,7,FALSE),"")</f>
        <v>131</v>
      </c>
      <c r="H60" s="163"/>
      <c r="I60" t="s" s="85">
        <v>27</v>
      </c>
      <c r="J60" t="s" s="85">
        <v>27</v>
      </c>
      <c r="K60" t="s" s="85">
        <v>27</v>
      </c>
      <c r="L60" t="s" s="85">
        <v>27</v>
      </c>
      <c r="M60" t="s" s="85">
        <v>27</v>
      </c>
      <c r="N60" s="86"/>
      <c r="O60" s="86"/>
      <c r="P60" s="86"/>
      <c r="Q60" s="163"/>
      <c r="R60" t="s" s="123">
        <v>28</v>
      </c>
      <c r="S60" s="124"/>
      <c r="T60" s="164"/>
      <c r="U60" s="125">
        <v>0</v>
      </c>
      <c r="V60" s="126">
        <v>0</v>
      </c>
      <c r="W60" s="184"/>
      <c r="X60" s="141"/>
      <c r="Y60" s="47"/>
      <c r="Z60" s="46"/>
    </row>
    <row r="61" ht="34.95" customHeight="1">
      <c r="A61" s="167"/>
      <c r="B61" s="168"/>
      <c r="C61" s="168"/>
      <c r="D61" s="47"/>
      <c r="E61" s="47"/>
      <c r="F61" s="100"/>
      <c r="G61" s="128"/>
      <c r="H61" s="47"/>
      <c r="I61" s="101"/>
      <c r="J61" s="101"/>
      <c r="K61" s="101"/>
      <c r="L61" s="101"/>
      <c r="M61" s="101"/>
      <c r="N61" s="101"/>
      <c r="O61" s="101"/>
      <c r="P61" s="101"/>
      <c r="Q61" s="103"/>
      <c r="R61" t="s" s="174">
        <v>28</v>
      </c>
      <c r="S61" s="183"/>
      <c r="T61" s="106"/>
      <c r="U61" s="176">
        <v>0</v>
      </c>
      <c r="V61" s="177">
        <v>0</v>
      </c>
      <c r="W61" s="109"/>
      <c r="X61" s="143"/>
      <c r="Y61" s="47"/>
      <c r="Z61" s="46"/>
    </row>
    <row r="62" ht="25.05" customHeight="1">
      <c r="A62" s="167"/>
      <c r="B62" s="168"/>
      <c r="C62" s="168"/>
      <c r="D62" s="47"/>
      <c r="E62" s="47"/>
      <c r="F62" s="100"/>
      <c r="G62" s="130"/>
      <c r="H62" s="47"/>
      <c r="I62" t="s" s="112">
        <v>12</v>
      </c>
      <c r="J62" t="s" s="112">
        <v>13</v>
      </c>
      <c r="K62" t="s" s="112">
        <v>14</v>
      </c>
      <c r="L62" t="s" s="112">
        <v>15</v>
      </c>
      <c r="M62" t="s" s="112">
        <v>16</v>
      </c>
      <c r="N62" t="s" s="112">
        <v>17</v>
      </c>
      <c r="O62" t="s" s="112">
        <v>18</v>
      </c>
      <c r="P62" t="s" s="112">
        <v>19</v>
      </c>
      <c r="Q62" s="47"/>
      <c r="R62" s="113"/>
      <c r="S62" s="114"/>
      <c r="T62" s="47"/>
      <c r="U62" s="115"/>
      <c r="V62" s="115"/>
      <c r="W62" s="47"/>
      <c r="X62" s="144"/>
      <c r="Y62" s="47"/>
      <c r="Z62" s="46"/>
    </row>
    <row r="63" ht="28.8" customHeight="1">
      <c r="A63" s="167"/>
      <c r="B63" s="168"/>
      <c r="C63" s="168"/>
      <c r="D63" s="47"/>
      <c r="E63" t="s" s="67">
        <f>RIGHT(F66,1)&amp;1&amp;1</f>
        <v>132</v>
      </c>
      <c r="F63" s="162"/>
      <c r="G63" t="s" s="69">
        <f>LEFT(RIGHT($E63,2),1)&amp;" : "&amp;_xlfn.IFERROR(VLOOKUP($E63,'BDD'!$A$1:$S$580,7,FALSE),"")</f>
        <v>133</v>
      </c>
      <c r="H63" s="163"/>
      <c r="I63" t="s" s="71">
        <v>27</v>
      </c>
      <c r="J63" t="s" s="71">
        <v>27</v>
      </c>
      <c r="K63" s="72"/>
      <c r="L63" s="72"/>
      <c r="M63" s="72"/>
      <c r="N63" s="72"/>
      <c r="O63" s="72"/>
      <c r="P63" s="72"/>
      <c r="Q63" s="163"/>
      <c r="R63" t="s" s="73">
        <v>28</v>
      </c>
      <c r="S63" s="74"/>
      <c r="T63" s="164"/>
      <c r="U63" s="76">
        <v>0</v>
      </c>
      <c r="V63" s="77">
        <v>0</v>
      </c>
      <c r="W63" s="188"/>
      <c r="X63" t="s" s="189">
        <f>"Evaluation globale du "&amp;F66</f>
        <v>134</v>
      </c>
      <c r="Y63" s="147"/>
      <c r="Z63" s="46"/>
    </row>
    <row r="64" ht="21" customHeight="1">
      <c r="A64" s="167"/>
      <c r="B64" s="168"/>
      <c r="C64" s="168"/>
      <c r="D64" s="47"/>
      <c r="E64" t="s" s="67">
        <f>RIGHT(F66,1)&amp;2&amp;1</f>
        <v>135</v>
      </c>
      <c r="F64" s="172"/>
      <c r="G64" t="s" s="84">
        <f>LEFT(RIGHT($E64,2),1)&amp;" : "&amp;_xlfn.IFERROR(VLOOKUP($E64,'BDD'!$A$1:$S$580,7,FALSE),"")</f>
        <v>136</v>
      </c>
      <c r="H64" s="163"/>
      <c r="I64" t="s" s="85">
        <v>27</v>
      </c>
      <c r="J64" t="s" s="85">
        <v>27</v>
      </c>
      <c r="K64" t="s" s="85">
        <v>27</v>
      </c>
      <c r="L64" t="s" s="85">
        <v>27</v>
      </c>
      <c r="M64" t="s" s="85">
        <v>27</v>
      </c>
      <c r="N64" t="s" s="85">
        <v>27</v>
      </c>
      <c r="O64" s="86"/>
      <c r="P64" s="86"/>
      <c r="Q64" s="163"/>
      <c r="R64" t="s" s="87">
        <v>28</v>
      </c>
      <c r="S64" s="88"/>
      <c r="T64" s="164"/>
      <c r="U64" s="89">
        <v>0</v>
      </c>
      <c r="V64" s="90">
        <v>0</v>
      </c>
      <c r="W64" s="188"/>
      <c r="X64" s="148"/>
      <c r="Y64" s="147"/>
      <c r="Z64" s="46"/>
    </row>
    <row r="65" ht="28.8" customHeight="1">
      <c r="A65" s="167"/>
      <c r="B65" s="168"/>
      <c r="C65" s="168"/>
      <c r="D65" s="47"/>
      <c r="E65" t="s" s="67">
        <f>RIGHT(F66,1)&amp;3&amp;1</f>
        <v>137</v>
      </c>
      <c r="F65" s="172"/>
      <c r="G65" t="s" s="69">
        <f>LEFT(RIGHT($E65,2),1)&amp;" : "&amp;_xlfn.IFERROR(VLOOKUP($E65,'BDD'!$A$1:$S$580,7,FALSE),"")</f>
        <v>138</v>
      </c>
      <c r="H65" s="163"/>
      <c r="I65" t="s" s="71">
        <v>27</v>
      </c>
      <c r="J65" t="s" s="71">
        <v>27</v>
      </c>
      <c r="K65" t="s" s="71">
        <v>27</v>
      </c>
      <c r="L65" t="s" s="71">
        <v>27</v>
      </c>
      <c r="M65" t="s" s="71">
        <v>27</v>
      </c>
      <c r="N65" s="72"/>
      <c r="O65" s="72"/>
      <c r="P65" s="72"/>
      <c r="Q65" s="163"/>
      <c r="R65" t="s" s="73">
        <v>28</v>
      </c>
      <c r="S65" s="74"/>
      <c r="T65" s="164"/>
      <c r="U65" s="76">
        <v>0</v>
      </c>
      <c r="V65" s="77">
        <v>0</v>
      </c>
      <c r="W65" s="188"/>
      <c r="X65" s="147"/>
      <c r="Y65" s="47"/>
      <c r="Z65" s="46"/>
    </row>
    <row r="66" ht="43.2" customHeight="1">
      <c r="A66" s="167"/>
      <c r="B66" s="168"/>
      <c r="C66" s="168"/>
      <c r="D66" s="47"/>
      <c r="E66" t="s" s="67">
        <f>RIGHT(F66,1)&amp;4&amp;1</f>
        <v>139</v>
      </c>
      <c r="F66" t="s" s="190">
        <v>140</v>
      </c>
      <c r="G66" t="s" s="84">
        <f>LEFT(RIGHT($E66,2),1)&amp;" : "&amp;_xlfn.IFERROR(VLOOKUP($E66,'BDD'!$A$1:$S$580,7,FALSE),"")</f>
        <v>141</v>
      </c>
      <c r="H66" s="163"/>
      <c r="I66" t="s" s="85">
        <v>27</v>
      </c>
      <c r="J66" t="s" s="85">
        <v>27</v>
      </c>
      <c r="K66" t="s" s="85">
        <v>27</v>
      </c>
      <c r="L66" t="s" s="85">
        <v>27</v>
      </c>
      <c r="M66" s="86"/>
      <c r="N66" s="86"/>
      <c r="O66" s="86"/>
      <c r="P66" s="86"/>
      <c r="Q66" s="163"/>
      <c r="R66" t="s" s="87">
        <v>28</v>
      </c>
      <c r="S66" s="88"/>
      <c r="T66" s="164"/>
      <c r="U66" s="89">
        <v>0</v>
      </c>
      <c r="V66" s="90">
        <v>0</v>
      </c>
      <c r="W66" s="188"/>
      <c r="X66" s="147"/>
      <c r="Y66" s="47"/>
      <c r="Z66" s="46"/>
    </row>
    <row r="67" ht="43.2" customHeight="1">
      <c r="A67" s="167"/>
      <c r="B67" s="168"/>
      <c r="C67" s="168"/>
      <c r="D67" s="47"/>
      <c r="E67" t="s" s="67">
        <f>RIGHT(F66,1)&amp;5&amp;1</f>
        <v>142</v>
      </c>
      <c r="F67" t="s" s="191">
        <f>VLOOKUP(E66,'BDD'!$A$1:$C$667,3,FALSE)</f>
        <v>143</v>
      </c>
      <c r="G67" t="s" s="69">
        <f>LEFT(RIGHT($E67,2),1)&amp;" : "&amp;_xlfn.IFERROR(VLOOKUP($E67,'BDD'!$A$1:$S$580,7,FALSE),"")</f>
        <v>144</v>
      </c>
      <c r="H67" s="163"/>
      <c r="I67" t="s" s="71">
        <v>27</v>
      </c>
      <c r="J67" t="s" s="71">
        <v>27</v>
      </c>
      <c r="K67" t="s" s="71">
        <v>27</v>
      </c>
      <c r="L67" t="s" s="71">
        <v>27</v>
      </c>
      <c r="M67" t="s" s="71">
        <v>27</v>
      </c>
      <c r="N67" s="72"/>
      <c r="O67" s="72"/>
      <c r="P67" s="72"/>
      <c r="Q67" s="163"/>
      <c r="R67" t="s" s="73">
        <v>28</v>
      </c>
      <c r="S67" s="74"/>
      <c r="T67" s="164"/>
      <c r="U67" s="76">
        <v>0</v>
      </c>
      <c r="V67" s="77">
        <v>0</v>
      </c>
      <c r="W67" s="188"/>
      <c r="X67" s="147"/>
      <c r="Y67" s="47"/>
      <c r="Z67" s="46"/>
    </row>
    <row r="68" ht="28.8" customHeight="1">
      <c r="A68" s="167"/>
      <c r="B68" s="168"/>
      <c r="C68" s="168"/>
      <c r="D68" s="47"/>
      <c r="E68" t="s" s="67">
        <f>RIGHT(F66,1)&amp;6&amp;1</f>
        <v>145</v>
      </c>
      <c r="F68" s="172"/>
      <c r="G68" t="s" s="84">
        <f>LEFT(RIGHT($E68,2),1)&amp;" : "&amp;_xlfn.IFERROR(VLOOKUP($E68,'BDD'!$A$1:$S$580,7,FALSE),"")</f>
        <v>146</v>
      </c>
      <c r="H68" s="163"/>
      <c r="I68" t="s" s="85">
        <v>27</v>
      </c>
      <c r="J68" t="s" s="85">
        <v>27</v>
      </c>
      <c r="K68" t="s" s="85">
        <v>27</v>
      </c>
      <c r="L68" t="s" s="85">
        <v>27</v>
      </c>
      <c r="M68" t="s" s="85">
        <v>27</v>
      </c>
      <c r="N68" s="86"/>
      <c r="O68" s="86"/>
      <c r="P68" s="86"/>
      <c r="Q68" s="163"/>
      <c r="R68" t="s" s="87">
        <v>28</v>
      </c>
      <c r="S68" s="88"/>
      <c r="T68" s="164"/>
      <c r="U68" s="89">
        <v>0</v>
      </c>
      <c r="V68" s="90">
        <v>0</v>
      </c>
      <c r="W68" s="188"/>
      <c r="X68" s="147"/>
      <c r="Y68" s="47"/>
      <c r="Z68" s="46"/>
    </row>
    <row r="69" ht="21.6" customHeight="1">
      <c r="A69" s="167"/>
      <c r="B69" s="168"/>
      <c r="C69" s="168"/>
      <c r="D69" s="47"/>
      <c r="E69" t="s" s="67">
        <f>RIGHT(F66,1)&amp;7&amp;1</f>
        <v>147</v>
      </c>
      <c r="F69" s="172"/>
      <c r="G69" t="s" s="69">
        <f>LEFT(RIGHT($E69,2),1)&amp;" : "&amp;_xlfn.IFERROR(VLOOKUP($E69,'BDD'!$A$1:$S$580,7,FALSE),"")</f>
        <v>148</v>
      </c>
      <c r="H69" s="163"/>
      <c r="I69" t="s" s="71">
        <v>27</v>
      </c>
      <c r="J69" t="s" s="71">
        <v>27</v>
      </c>
      <c r="K69" t="s" s="71">
        <v>27</v>
      </c>
      <c r="L69" s="72"/>
      <c r="M69" s="72"/>
      <c r="N69" s="72"/>
      <c r="O69" s="72"/>
      <c r="P69" s="72"/>
      <c r="Q69" s="163"/>
      <c r="R69" t="s" s="95">
        <v>28</v>
      </c>
      <c r="S69" s="96"/>
      <c r="T69" s="164"/>
      <c r="U69" s="97">
        <v>0</v>
      </c>
      <c r="V69" s="98">
        <v>0</v>
      </c>
      <c r="W69" s="188"/>
      <c r="X69" s="152"/>
      <c r="Y69" s="47"/>
      <c r="Z69" s="46"/>
    </row>
    <row r="70" ht="34.95" customHeight="1">
      <c r="A70" s="167"/>
      <c r="B70" s="168"/>
      <c r="C70" s="168"/>
      <c r="D70" s="47"/>
      <c r="E70" s="47"/>
      <c r="F70" s="100"/>
      <c r="G70" s="128"/>
      <c r="H70" s="47"/>
      <c r="I70" s="101"/>
      <c r="J70" s="101"/>
      <c r="K70" s="101"/>
      <c r="L70" s="101"/>
      <c r="M70" s="101"/>
      <c r="N70" s="101"/>
      <c r="O70" s="101"/>
      <c r="P70" s="101"/>
      <c r="Q70" s="103"/>
      <c r="R70" t="s" s="174">
        <v>28</v>
      </c>
      <c r="S70" s="183"/>
      <c r="T70" s="106"/>
      <c r="U70" s="176">
        <v>0</v>
      </c>
      <c r="V70" s="177">
        <v>0</v>
      </c>
      <c r="W70" s="109"/>
      <c r="X70" s="156"/>
      <c r="Y70" s="47"/>
      <c r="Z70" s="46"/>
    </row>
    <row r="71" ht="25.05" customHeight="1">
      <c r="A71" s="167"/>
      <c r="B71" s="168"/>
      <c r="C71" s="168"/>
      <c r="D71" s="47"/>
      <c r="E71" s="47"/>
      <c r="F71" s="100"/>
      <c r="G71" s="130"/>
      <c r="H71" s="47"/>
      <c r="I71" t="s" s="112">
        <v>12</v>
      </c>
      <c r="J71" t="s" s="112">
        <v>13</v>
      </c>
      <c r="K71" t="s" s="112">
        <v>14</v>
      </c>
      <c r="L71" t="s" s="112">
        <v>15</v>
      </c>
      <c r="M71" t="s" s="112">
        <v>16</v>
      </c>
      <c r="N71" t="s" s="112">
        <v>17</v>
      </c>
      <c r="O71" t="s" s="112">
        <v>18</v>
      </c>
      <c r="P71" t="s" s="112">
        <v>19</v>
      </c>
      <c r="Q71" s="47"/>
      <c r="R71" s="113"/>
      <c r="S71" s="114"/>
      <c r="T71" s="47"/>
      <c r="U71" s="115"/>
      <c r="V71" s="115"/>
      <c r="W71" s="47"/>
      <c r="X71" s="116"/>
      <c r="Y71" s="47"/>
      <c r="Z71" s="46"/>
    </row>
    <row r="72" ht="21" customHeight="1">
      <c r="A72" s="167"/>
      <c r="B72" s="168"/>
      <c r="C72" s="168"/>
      <c r="D72" s="47"/>
      <c r="E72" t="s" s="67">
        <f>RIGHT(F73,1)&amp;1&amp;1</f>
        <v>149</v>
      </c>
      <c r="F72" s="162"/>
      <c r="G72" t="s" s="69">
        <f>LEFT(RIGHT($E72,2),1)&amp;" : "&amp;_xlfn.IFERROR(VLOOKUP($E72,'BDD'!$A$1:$S$580,7,FALSE),"")</f>
        <v>150</v>
      </c>
      <c r="H72" s="163"/>
      <c r="I72" t="s" s="71">
        <f>IF('V9_ Services'!O8="","",'V9_ Services'!O8)</f>
        <v>57</v>
      </c>
      <c r="J72" t="s" s="71">
        <f>IF('V9_ Services'!P8="","",'V9_ Services'!P8)</f>
        <v>57</v>
      </c>
      <c r="K72" t="s" s="71">
        <f>IF('V9_ Services'!Q8="","",'V9_ Services'!Q8)</f>
        <v>57</v>
      </c>
      <c r="L72" t="s" s="71">
        <f>IF('V9_ Services'!R8="","",'V9_ Services'!R8)</f>
        <v>57</v>
      </c>
      <c r="M72" t="s" s="71">
        <f>IF('V9_ Services'!S8="","",'V9_ Services'!S8)</f>
        <v>57</v>
      </c>
      <c r="N72" t="s" s="71">
        <f>IF('V9_ Services'!T8="","",'V9_ Services'!T8)</f>
        <v>57</v>
      </c>
      <c r="O72" t="s" s="71">
        <f>IF('V9_ Services'!U8="","",'V9_ Services'!U8)</f>
      </c>
      <c r="P72" t="s" s="71">
        <f>IF('V9_ Services'!V8="","",'V9_ Services'!V8)</f>
      </c>
      <c r="Q72" s="163"/>
      <c r="R72" t="s" s="73">
        <f>IF(OR('V9_ Services'!W8="NE",'V9_ Services'!W8=""),"",'V9_ Services'!W8)</f>
        <v>58</v>
      </c>
      <c r="S72" t="s" s="132">
        <f>IF(OR('V9_ Services'!X8="NE",'V9_ Services'!X8=""),"",'V9_ Services'!X8)</f>
      </c>
      <c r="T72" s="164"/>
      <c r="U72" s="76">
        <f>IF(OR('V9_ Services'!Z8="NE",'V9_ Services'!Z8=""),"",'V9_ Services'!Z8)</f>
        <v>0</v>
      </c>
      <c r="V72" s="77">
        <f>IF(OR('V9_ Services'!AA8="NE",'V9_ Services'!AA8=""),"",'V9_ Services'!AA8)</f>
      </c>
      <c r="W72" s="165"/>
      <c r="X72" t="s" s="166">
        <f>"Evaluation globale du "&amp;F73</f>
        <v>151</v>
      </c>
      <c r="Y72" s="80"/>
      <c r="Z72" s="46"/>
    </row>
    <row r="73" ht="28.8" customHeight="1">
      <c r="A73" s="167"/>
      <c r="B73" s="168"/>
      <c r="C73" s="168"/>
      <c r="D73" s="47"/>
      <c r="E73" t="s" s="67">
        <f>RIGHT(F73,1)&amp;2&amp;1</f>
        <v>152</v>
      </c>
      <c r="F73" t="s" s="181">
        <v>153</v>
      </c>
      <c r="G73" t="s" s="84">
        <f>LEFT(RIGHT($E73,2),1)&amp;" : "&amp;_xlfn.IFERROR(VLOOKUP($E73,'BDD'!$A$1:$S$580,7,FALSE),"")</f>
        <v>154</v>
      </c>
      <c r="H73" s="163"/>
      <c r="I73" t="s" s="85">
        <f>IF('V9_ Services'!O9="","",'V9_ Services'!O9)</f>
        <v>57</v>
      </c>
      <c r="J73" t="s" s="85">
        <f>IF('V9_ Services'!P9="","",'V9_ Services'!P9)</f>
        <v>57</v>
      </c>
      <c r="K73" t="s" s="85">
        <f>IF('V9_ Services'!Q9="","",'V9_ Services'!Q9)</f>
        <v>57</v>
      </c>
      <c r="L73" t="s" s="85">
        <f>IF('V9_ Services'!R9="","",'V9_ Services'!R9)</f>
      </c>
      <c r="M73" t="s" s="85">
        <f>IF('V9_ Services'!S9="","",'V9_ Services'!S9)</f>
      </c>
      <c r="N73" t="s" s="85">
        <f>IF('V9_ Services'!T9="","",'V9_ Services'!T9)</f>
      </c>
      <c r="O73" t="s" s="85">
        <f>IF('V9_ Services'!U9="","",'V9_ Services'!U9)</f>
      </c>
      <c r="P73" t="s" s="85">
        <f>IF('V9_ Services'!V9="","",'V9_ Services'!V9)</f>
      </c>
      <c r="Q73" s="163"/>
      <c r="R73" t="s" s="87">
        <f>IF(OR('V9_ Services'!W9="NE",'V9_ Services'!W9=""),"",'V9_ Services'!W9)</f>
        <v>58</v>
      </c>
      <c r="S73" t="s" s="136">
        <f>IF(OR('V9_ Services'!X9="NE",'V9_ Services'!X9=""),"",'V9_ Services'!X9)</f>
      </c>
      <c r="T73" s="164"/>
      <c r="U73" s="89">
        <f>IF(OR('V9_ Services'!Z9="NE",'V9_ Services'!Z9=""),"",'V9_ Services'!Z9)</f>
        <v>0</v>
      </c>
      <c r="V73" s="90">
        <f>IF(OR('V9_ Services'!AA9="NE",'V9_ Services'!AA9=""),"",'V9_ Services'!AA9)</f>
      </c>
      <c r="W73" s="165"/>
      <c r="X73" t="s" s="170">
        <f>IF(OR('V9_ Services'!N15="NE",'V9_ Services'!N15=""),"",'V9_ Services'!N15)</f>
      </c>
      <c r="Y73" s="80"/>
      <c r="Z73" s="46"/>
    </row>
    <row r="74" ht="21" customHeight="1">
      <c r="A74" s="167"/>
      <c r="B74" s="168"/>
      <c r="C74" s="168"/>
      <c r="D74" s="47"/>
      <c r="E74" t="s" s="67">
        <f>RIGHT(F73,1)&amp;3&amp;1</f>
        <v>155</v>
      </c>
      <c r="F74" s="192"/>
      <c r="G74" t="s" s="69">
        <f>LEFT(RIGHT($E74,2),1)&amp;" : "&amp;_xlfn.IFERROR(VLOOKUP($E74,'BDD'!$A$1:$S$580,7,FALSE),"")</f>
        <v>156</v>
      </c>
      <c r="H74" s="163"/>
      <c r="I74" t="s" s="71">
        <f>IF('V9_ Services'!O10="","",'V9_ Services'!O10)</f>
        <v>57</v>
      </c>
      <c r="J74" t="s" s="71">
        <f>IF('V9_ Services'!P10="","",'V9_ Services'!P10)</f>
        <v>57</v>
      </c>
      <c r="K74" t="s" s="71">
        <f>IF('V9_ Services'!Q10="","",'V9_ Services'!Q10)</f>
        <v>57</v>
      </c>
      <c r="L74" t="s" s="71">
        <f>IF('V9_ Services'!R10="","",'V9_ Services'!R10)</f>
        <v>57</v>
      </c>
      <c r="M74" t="s" s="71">
        <f>IF('V9_ Services'!S10="","",'V9_ Services'!S10)</f>
        <v>57</v>
      </c>
      <c r="N74" t="s" s="71">
        <f>IF('V9_ Services'!T10="","",'V9_ Services'!T10)</f>
        <v>57</v>
      </c>
      <c r="O74" t="s" s="71">
        <f>IF('V9_ Services'!U10="","",'V9_ Services'!U10)</f>
      </c>
      <c r="P74" t="s" s="71">
        <f>IF('V9_ Services'!V10="","",'V9_ Services'!V10)</f>
      </c>
      <c r="Q74" s="163"/>
      <c r="R74" t="s" s="73">
        <f>IF(OR('V9_ Services'!W10="NE",'V9_ Services'!W10=""),"",'V9_ Services'!W10)</f>
        <v>58</v>
      </c>
      <c r="S74" t="s" s="132">
        <f>IF(OR('V9_ Services'!X10="NE",'V9_ Services'!X10=""),"",'V9_ Services'!X10)</f>
      </c>
      <c r="T74" s="164"/>
      <c r="U74" s="76">
        <f>IF(OR('V9_ Services'!Z10="NE",'V9_ Services'!Z10=""),"",'V9_ Services'!Z10)</f>
        <v>0</v>
      </c>
      <c r="V74" s="77">
        <f>IF(OR('V9_ Services'!AA10="NE",'V9_ Services'!AA10=""),"",'V9_ Services'!AA10)</f>
      </c>
      <c r="W74" s="165"/>
      <c r="X74" s="80"/>
      <c r="Y74" s="47"/>
      <c r="Z74" s="46"/>
    </row>
    <row r="75" ht="28.8" customHeight="1">
      <c r="A75" s="167"/>
      <c r="B75" s="168"/>
      <c r="C75" s="168"/>
      <c r="D75" s="47"/>
      <c r="E75" t="s" s="67">
        <f>RIGHT(F73,1)&amp;4&amp;1</f>
        <v>157</v>
      </c>
      <c r="F75" t="s" s="191">
        <f>VLOOKUP(E75,'BDD'!$A$1:$C$667,3,FALSE)</f>
        <v>158</v>
      </c>
      <c r="G75" t="s" s="84">
        <f>LEFT(RIGHT($E75,2),1)&amp;" : "&amp;_xlfn.IFERROR(VLOOKUP($E75,'BDD'!$A$1:$S$580,7,FALSE),"")</f>
        <v>159</v>
      </c>
      <c r="H75" s="163"/>
      <c r="I75" t="s" s="85">
        <f>IF('V9_ Services'!O11="","",'V9_ Services'!O11)</f>
        <v>57</v>
      </c>
      <c r="J75" t="s" s="85">
        <f>IF('V9_ Services'!P11="","",'V9_ Services'!P11)</f>
        <v>57</v>
      </c>
      <c r="K75" t="s" s="85">
        <f>IF('V9_ Services'!Q11="","",'V9_ Services'!Q11)</f>
        <v>57</v>
      </c>
      <c r="L75" t="s" s="85">
        <f>IF('V9_ Services'!R11="","",'V9_ Services'!R11)</f>
      </c>
      <c r="M75" t="s" s="85">
        <f>IF('V9_ Services'!S11="","",'V9_ Services'!S11)</f>
      </c>
      <c r="N75" t="s" s="85">
        <f>IF('V9_ Services'!T11="","",'V9_ Services'!T11)</f>
      </c>
      <c r="O75" t="s" s="85">
        <f>IF('V9_ Services'!U11="","",'V9_ Services'!U11)</f>
      </c>
      <c r="P75" t="s" s="85">
        <f>IF('V9_ Services'!V11="","",'V9_ Services'!V11)</f>
      </c>
      <c r="Q75" s="163"/>
      <c r="R75" t="s" s="87">
        <f>IF(OR('V9_ Services'!W11="NE",'V9_ Services'!W11=""),"",'V9_ Services'!W11)</f>
        <v>58</v>
      </c>
      <c r="S75" t="s" s="136">
        <f>IF(OR('V9_ Services'!X11="NE",'V9_ Services'!X11=""),"",'V9_ Services'!X11)</f>
      </c>
      <c r="T75" s="164"/>
      <c r="U75" s="89">
        <f>IF(OR('V9_ Services'!Z11="NE",'V9_ Services'!Z11=""),"",'V9_ Services'!Z11)</f>
        <v>0</v>
      </c>
      <c r="V75" s="90">
        <f>IF(OR('V9_ Services'!AA11="NE",'V9_ Services'!AA11=""),"",'V9_ Services'!AA11)</f>
      </c>
      <c r="W75" s="165"/>
      <c r="X75" s="80"/>
      <c r="Y75" s="47"/>
      <c r="Z75" s="46"/>
    </row>
    <row r="76" ht="29.4" customHeight="1">
      <c r="A76" s="193"/>
      <c r="B76" s="194"/>
      <c r="C76" s="194"/>
      <c r="D76" s="47"/>
      <c r="E76" t="s" s="67">
        <f>RIGHT(F73,1)&amp;5&amp;1</f>
        <v>160</v>
      </c>
      <c r="F76" s="172"/>
      <c r="G76" t="s" s="69">
        <f>LEFT(RIGHT($E76,2),1)&amp;" : "&amp;_xlfn.IFERROR(VLOOKUP($E76,'BDD'!$A$1:$S$580,7,FALSE),"")</f>
        <v>161</v>
      </c>
      <c r="H76" s="163"/>
      <c r="I76" t="s" s="71">
        <f>IF('V9_ Services'!O12="","",'V9_ Services'!O12)</f>
        <v>57</v>
      </c>
      <c r="J76" t="s" s="71">
        <f>IF('V9_ Services'!P12="","",'V9_ Services'!P12)</f>
        <v>57</v>
      </c>
      <c r="K76" t="s" s="71">
        <f>IF('V9_ Services'!Q12="","",'V9_ Services'!Q12)</f>
        <v>57</v>
      </c>
      <c r="L76" t="s" s="71">
        <f>IF('V9_ Services'!R12="","",'V9_ Services'!R12)</f>
        <v>57</v>
      </c>
      <c r="M76" t="s" s="71">
        <f>IF('V9_ Services'!S12="","",'V9_ Services'!S12)</f>
        <v>57</v>
      </c>
      <c r="N76" t="s" s="71">
        <f>IF('V9_ Services'!T12="","",'V9_ Services'!T12)</f>
        <v>57</v>
      </c>
      <c r="O76" t="s" s="71">
        <f>IF('V9_ Services'!U12="","",'V9_ Services'!U12)</f>
        <v>57</v>
      </c>
      <c r="P76" t="s" s="71">
        <f>IF('V9_ Services'!V12="","",'V9_ Services'!V12)</f>
      </c>
      <c r="Q76" s="163"/>
      <c r="R76" t="s" s="95">
        <f>IF(OR('V9_ Services'!W12="NE",'V9_ Services'!W12=""),"",'V9_ Services'!W12)</f>
        <v>58</v>
      </c>
      <c r="S76" t="s" s="173">
        <f>IF(OR('V9_ Services'!X12="NE",'V9_ Services'!X12=""),"",'V9_ Services'!X12)</f>
      </c>
      <c r="T76" s="164"/>
      <c r="U76" s="97">
        <f>IF(OR('V9_ Services'!Z12="NE",'V9_ Services'!Z12=""),"",'V9_ Services'!Z12)</f>
        <v>0</v>
      </c>
      <c r="V76" s="98">
        <f>IF(OR('V9_ Services'!AA12="NE",'V9_ Services'!AA12=""),"",'V9_ Services'!AA12)</f>
      </c>
      <c r="W76" s="165"/>
      <c r="X76" s="195"/>
      <c r="Y76" s="47"/>
      <c r="Z76" s="46"/>
    </row>
    <row r="77" ht="34.95" customHeight="1">
      <c r="A77" s="196"/>
      <c r="B77" s="197"/>
      <c r="C77" s="198"/>
      <c r="D77" s="47"/>
      <c r="E77" s="47"/>
      <c r="F77" s="100"/>
      <c r="G77" s="128"/>
      <c r="H77" s="47"/>
      <c r="I77" s="101"/>
      <c r="J77" s="101"/>
      <c r="K77" s="101"/>
      <c r="L77" s="101"/>
      <c r="M77" s="101"/>
      <c r="N77" s="101"/>
      <c r="O77" s="101"/>
      <c r="P77" s="101"/>
      <c r="Q77" s="103"/>
      <c r="R77" t="s" s="174">
        <f>IF(OR('V9_ Services'!W15="NE",'V9_ Services'!W15=""),"",'V9_ Services'!W15)</f>
        <v>58</v>
      </c>
      <c r="S77" t="s" s="175">
        <f>IF(OR('V9_ Services'!X15="NE",'V9_ Services'!X15=""),"",'V9_ Services'!X15)</f>
      </c>
      <c r="T77" s="106"/>
      <c r="U77" s="176">
        <f>IF(OR('V9_ Services'!Z15="NE",'V9_ Services'!Z15=""),"",'V9_ Services'!Z15)</f>
        <v>0</v>
      </c>
      <c r="V77" s="177">
        <f>IF(OR('V9_ Services'!AA15="NE",'V9_ Services'!AA15=""),"",'V9_ Services'!AA15)</f>
      </c>
      <c r="W77" s="109"/>
      <c r="X77" s="199"/>
      <c r="Y77" s="47"/>
      <c r="Z77" s="46"/>
    </row>
    <row r="78" ht="25.05" customHeight="1">
      <c r="A78" s="200"/>
      <c r="B78" s="201"/>
      <c r="C78" s="202"/>
      <c r="D78" s="47"/>
      <c r="E78" s="47"/>
      <c r="F78" s="100"/>
      <c r="G78" s="130"/>
      <c r="H78" s="47"/>
      <c r="I78" t="s" s="112">
        <v>12</v>
      </c>
      <c r="J78" t="s" s="112">
        <v>13</v>
      </c>
      <c r="K78" t="s" s="112">
        <v>14</v>
      </c>
      <c r="L78" t="s" s="112">
        <v>15</v>
      </c>
      <c r="M78" t="s" s="112">
        <v>16</v>
      </c>
      <c r="N78" t="s" s="112">
        <v>17</v>
      </c>
      <c r="O78" t="s" s="112">
        <v>18</v>
      </c>
      <c r="P78" t="s" s="112">
        <v>19</v>
      </c>
      <c r="Q78" s="47"/>
      <c r="R78" s="113"/>
      <c r="S78" s="114"/>
      <c r="T78" s="47"/>
      <c r="U78" s="115"/>
      <c r="V78" s="115"/>
      <c r="W78" s="47"/>
      <c r="X78" s="116"/>
      <c r="Y78" s="47"/>
      <c r="Z78" s="46"/>
    </row>
    <row r="79" ht="43.2" customHeight="1">
      <c r="A79" t="s" s="203">
        <v>162</v>
      </c>
      <c r="B79" s="204"/>
      <c r="C79" s="204"/>
      <c r="D79" s="47"/>
      <c r="E79" t="s" s="67">
        <f>RIGHT(F81,2)&amp;1&amp;1</f>
        <v>163</v>
      </c>
      <c r="F79" s="205"/>
      <c r="G79" t="s" s="69">
        <f>LEFT(RIGHT($E79,2),1)&amp;" : "&amp;_xlfn.IFERROR(VLOOKUP($E79,'BDD'!$A$1:$S$580,7,FALSE),"")</f>
        <v>164</v>
      </c>
      <c r="H79" s="206"/>
      <c r="I79" t="s" s="71">
        <v>27</v>
      </c>
      <c r="J79" t="s" s="71">
        <v>27</v>
      </c>
      <c r="K79" t="s" s="71">
        <v>27</v>
      </c>
      <c r="L79" t="s" s="71">
        <v>27</v>
      </c>
      <c r="M79" t="s" s="71">
        <v>27</v>
      </c>
      <c r="N79" t="s" s="71">
        <v>27</v>
      </c>
      <c r="O79" s="72"/>
      <c r="P79" s="72"/>
      <c r="Q79" s="206"/>
      <c r="R79" t="s" s="73">
        <v>28</v>
      </c>
      <c r="S79" s="74"/>
      <c r="T79" s="207"/>
      <c r="U79" s="76">
        <v>0</v>
      </c>
      <c r="V79" s="77">
        <v>0</v>
      </c>
      <c r="W79" s="208"/>
      <c r="X79" t="s" s="209">
        <f>"Evaluation globale du "&amp;F81</f>
        <v>165</v>
      </c>
      <c r="Y79" s="80"/>
      <c r="Z79" s="46"/>
    </row>
    <row r="80" ht="21" customHeight="1">
      <c r="A80" s="210"/>
      <c r="B80" s="211"/>
      <c r="C80" s="211"/>
      <c r="D80" s="47"/>
      <c r="E80" t="s" s="67">
        <f>RIGHT(F81,2)&amp;2&amp;1</f>
        <v>166</v>
      </c>
      <c r="F80" s="212"/>
      <c r="G80" t="s" s="84">
        <f>LEFT(RIGHT($E80,2),1)&amp;" : "&amp;_xlfn.IFERROR(VLOOKUP($E80,'BDD'!$A$1:$S$580,7,FALSE),"")</f>
        <v>167</v>
      </c>
      <c r="H80" s="206"/>
      <c r="I80" t="s" s="85">
        <v>27</v>
      </c>
      <c r="J80" t="s" s="85">
        <v>27</v>
      </c>
      <c r="K80" t="s" s="85">
        <v>27</v>
      </c>
      <c r="L80" s="86"/>
      <c r="M80" s="86"/>
      <c r="N80" s="86"/>
      <c r="O80" s="86"/>
      <c r="P80" s="86"/>
      <c r="Q80" s="206"/>
      <c r="R80" t="s" s="87">
        <v>28</v>
      </c>
      <c r="S80" s="88"/>
      <c r="T80" s="207"/>
      <c r="U80" s="89">
        <v>0</v>
      </c>
      <c r="V80" s="90">
        <v>0</v>
      </c>
      <c r="W80" s="213"/>
      <c r="X80" s="120"/>
      <c r="Y80" s="121"/>
      <c r="Z80" s="46"/>
    </row>
    <row r="81" ht="43.2" customHeight="1">
      <c r="A81" s="210"/>
      <c r="B81" s="211"/>
      <c r="C81" s="211"/>
      <c r="D81" s="47"/>
      <c r="E81" t="s" s="67">
        <f>RIGHT(F81,2)&amp;3&amp;1</f>
        <v>168</v>
      </c>
      <c r="F81" t="s" s="214">
        <v>169</v>
      </c>
      <c r="G81" t="s" s="69">
        <f>LEFT(RIGHT($E81,2),1)&amp;" : "&amp;_xlfn.IFERROR(VLOOKUP($E81,'BDD'!$A$1:$S$580,7,FALSE),"")</f>
        <v>170</v>
      </c>
      <c r="H81" t="s" s="215">
        <v>171</v>
      </c>
      <c r="I81" t="s" s="71">
        <v>27</v>
      </c>
      <c r="J81" t="s" s="71">
        <v>27</v>
      </c>
      <c r="K81" t="s" s="71">
        <v>27</v>
      </c>
      <c r="L81" s="72"/>
      <c r="M81" s="72"/>
      <c r="N81" s="72"/>
      <c r="O81" s="72"/>
      <c r="P81" s="72"/>
      <c r="Q81" s="206"/>
      <c r="R81" t="s" s="73">
        <v>28</v>
      </c>
      <c r="S81" s="74"/>
      <c r="T81" s="207"/>
      <c r="U81" s="76">
        <v>0</v>
      </c>
      <c r="V81" s="77">
        <v>0</v>
      </c>
      <c r="W81" s="213"/>
      <c r="X81" s="121"/>
      <c r="Y81" s="47"/>
      <c r="Z81" s="46"/>
    </row>
    <row r="82" ht="21" customHeight="1">
      <c r="A82" s="210"/>
      <c r="B82" s="211"/>
      <c r="C82" s="211"/>
      <c r="D82" s="47"/>
      <c r="E82" t="s" s="67">
        <f>RIGHT(F81,2)&amp;4&amp;1</f>
        <v>172</v>
      </c>
      <c r="F82" t="s" s="216">
        <f>VLOOKUP(E82,'BDD'!$A$1:$C$667,3,FALSE)</f>
        <v>173</v>
      </c>
      <c r="G82" t="s" s="84">
        <f>LEFT(RIGHT($E82,2),1)&amp;" : "&amp;_xlfn.IFERROR(VLOOKUP($E82,'BDD'!$A$1:$S$580,7,FALSE),"")</f>
        <v>174</v>
      </c>
      <c r="H82" s="206"/>
      <c r="I82" t="s" s="85">
        <v>27</v>
      </c>
      <c r="J82" t="s" s="85">
        <v>27</v>
      </c>
      <c r="K82" t="s" s="85">
        <v>27</v>
      </c>
      <c r="L82" t="s" s="85">
        <v>27</v>
      </c>
      <c r="M82" t="s" s="85">
        <v>27</v>
      </c>
      <c r="N82" t="s" s="85">
        <v>27</v>
      </c>
      <c r="O82" s="86"/>
      <c r="P82" s="86"/>
      <c r="Q82" s="206"/>
      <c r="R82" t="s" s="87">
        <v>28</v>
      </c>
      <c r="S82" s="88"/>
      <c r="T82" s="207"/>
      <c r="U82" s="89">
        <v>0</v>
      </c>
      <c r="V82" s="90">
        <v>0</v>
      </c>
      <c r="W82" s="213"/>
      <c r="X82" s="121"/>
      <c r="Y82" s="47"/>
      <c r="Z82" s="46"/>
    </row>
    <row r="83" ht="28.8" customHeight="1">
      <c r="A83" s="210"/>
      <c r="B83" s="211"/>
      <c r="C83" s="211"/>
      <c r="D83" s="47"/>
      <c r="E83" t="s" s="67">
        <f>RIGHT(F81,2)&amp;5&amp;1</f>
        <v>175</v>
      </c>
      <c r="F83" s="217"/>
      <c r="G83" t="s" s="69">
        <f>LEFT(RIGHT($E83,2),1)&amp;" : "&amp;_xlfn.IFERROR(VLOOKUP($E83,'BDD'!$A$1:$S$580,7,FALSE),"")</f>
        <v>176</v>
      </c>
      <c r="H83" s="206"/>
      <c r="I83" t="s" s="71">
        <v>27</v>
      </c>
      <c r="J83" t="s" s="71">
        <v>27</v>
      </c>
      <c r="K83" t="s" s="71">
        <v>27</v>
      </c>
      <c r="L83" s="72"/>
      <c r="M83" s="72"/>
      <c r="N83" s="72"/>
      <c r="O83" s="72"/>
      <c r="P83" s="72"/>
      <c r="Q83" s="206"/>
      <c r="R83" t="s" s="73">
        <v>28</v>
      </c>
      <c r="S83" s="74"/>
      <c r="T83" s="207"/>
      <c r="U83" s="76">
        <v>0</v>
      </c>
      <c r="V83" s="77">
        <v>0</v>
      </c>
      <c r="W83" s="213"/>
      <c r="X83" s="121"/>
      <c r="Y83" s="47"/>
      <c r="Z83" s="46"/>
    </row>
    <row r="84" ht="33" customHeight="1">
      <c r="A84" s="210"/>
      <c r="B84" s="211"/>
      <c r="C84" s="211"/>
      <c r="D84" s="47"/>
      <c r="E84" t="s" s="67">
        <f>RIGHT(F81,2)&amp;6&amp;1</f>
        <v>177</v>
      </c>
      <c r="F84" s="217"/>
      <c r="G84" t="s" s="84">
        <f>LEFT(RIGHT($E84,2),1)&amp;" : "&amp;_xlfn.IFERROR(VLOOKUP($E84,'BDD'!$A$1:$S$580,7,FALSE),"")</f>
        <v>178</v>
      </c>
      <c r="H84" s="206"/>
      <c r="I84" t="s" s="85">
        <v>27</v>
      </c>
      <c r="J84" t="s" s="85">
        <v>27</v>
      </c>
      <c r="K84" t="s" s="85">
        <v>27</v>
      </c>
      <c r="L84" t="s" s="85">
        <v>27</v>
      </c>
      <c r="M84" t="s" s="85">
        <v>27</v>
      </c>
      <c r="N84" t="s" s="85">
        <v>27</v>
      </c>
      <c r="O84" s="86"/>
      <c r="P84" s="86"/>
      <c r="Q84" s="206"/>
      <c r="R84" t="s" s="123">
        <v>28</v>
      </c>
      <c r="S84" s="124"/>
      <c r="T84" s="207"/>
      <c r="U84" s="125">
        <v>0</v>
      </c>
      <c r="V84" s="126">
        <v>0</v>
      </c>
      <c r="W84" s="213"/>
      <c r="X84" s="218"/>
      <c r="Y84" s="47"/>
      <c r="Z84" s="46"/>
    </row>
    <row r="85" ht="34.95" customHeight="1">
      <c r="A85" s="210"/>
      <c r="B85" s="211"/>
      <c r="C85" s="211"/>
      <c r="D85" s="47"/>
      <c r="E85" s="47"/>
      <c r="F85" s="100"/>
      <c r="G85" s="128"/>
      <c r="H85" s="47"/>
      <c r="I85" s="101"/>
      <c r="J85" s="101"/>
      <c r="K85" s="101"/>
      <c r="L85" s="101"/>
      <c r="M85" s="101"/>
      <c r="N85" s="101"/>
      <c r="O85" s="101"/>
      <c r="P85" s="101"/>
      <c r="Q85" s="103"/>
      <c r="R85" t="s" s="219">
        <v>28</v>
      </c>
      <c r="S85" s="220"/>
      <c r="T85" s="106"/>
      <c r="U85" s="221">
        <v>0</v>
      </c>
      <c r="V85" s="222">
        <v>0</v>
      </c>
      <c r="W85" s="109"/>
      <c r="X85" s="199"/>
      <c r="Y85" s="47"/>
      <c r="Z85" s="46"/>
    </row>
    <row r="86" ht="25.05" customHeight="1">
      <c r="A86" s="210"/>
      <c r="B86" s="211"/>
      <c r="C86" s="211"/>
      <c r="D86" s="47"/>
      <c r="E86" s="47"/>
      <c r="F86" s="100"/>
      <c r="G86" s="130"/>
      <c r="H86" s="47"/>
      <c r="I86" t="s" s="112">
        <v>12</v>
      </c>
      <c r="J86" t="s" s="112">
        <v>13</v>
      </c>
      <c r="K86" t="s" s="112">
        <v>14</v>
      </c>
      <c r="L86" t="s" s="112">
        <v>15</v>
      </c>
      <c r="M86" t="s" s="112">
        <v>16</v>
      </c>
      <c r="N86" t="s" s="112">
        <v>17</v>
      </c>
      <c r="O86" t="s" s="112">
        <v>18</v>
      </c>
      <c r="P86" t="s" s="112">
        <v>19</v>
      </c>
      <c r="Q86" s="47"/>
      <c r="R86" s="113"/>
      <c r="S86" s="114"/>
      <c r="T86" s="47"/>
      <c r="U86" s="115"/>
      <c r="V86" s="115"/>
      <c r="W86" s="47"/>
      <c r="X86" s="131"/>
      <c r="Y86" s="47"/>
      <c r="Z86" s="46"/>
    </row>
    <row r="87" ht="21" customHeight="1">
      <c r="A87" s="210"/>
      <c r="B87" s="211"/>
      <c r="C87" s="211"/>
      <c r="D87" s="47"/>
      <c r="E87" t="s" s="67">
        <f>RIGHT(F89,2)&amp;1&amp;1</f>
        <v>179</v>
      </c>
      <c r="F87" s="205"/>
      <c r="G87" t="s" s="69">
        <f>LEFT(RIGHT($E87,2),1)&amp;" : "&amp;_xlfn.IFERROR(VLOOKUP($E87,'BDD'!$A$1:$S$580,7,FALSE),"")</f>
        <v>180</v>
      </c>
      <c r="H87" s="206"/>
      <c r="I87" t="s" s="71">
        <f>IF('V11_Presta&amp;Fournisseurs'!O8="","",'V11_Presta&amp;Fournisseurs'!O8)</f>
        <v>57</v>
      </c>
      <c r="J87" t="s" s="71">
        <f>IF('V11_Presta&amp;Fournisseurs'!P8="","",'V11_Presta&amp;Fournisseurs'!P8)</f>
        <v>57</v>
      </c>
      <c r="K87" t="s" s="71">
        <f>IF('V11_Presta&amp;Fournisseurs'!Q8="","",'V11_Presta&amp;Fournisseurs'!Q8)</f>
      </c>
      <c r="L87" t="s" s="71">
        <f>IF('V11_Presta&amp;Fournisseurs'!R8="","",'V11_Presta&amp;Fournisseurs'!R8)</f>
      </c>
      <c r="M87" t="s" s="71">
        <f>IF('V11_Presta&amp;Fournisseurs'!S8="","",'V11_Presta&amp;Fournisseurs'!S8)</f>
      </c>
      <c r="N87" t="s" s="71">
        <f>IF('V11_Presta&amp;Fournisseurs'!T8="","",'V11_Presta&amp;Fournisseurs'!T8)</f>
      </c>
      <c r="O87" t="s" s="71">
        <f>IF('V11_Presta&amp;Fournisseurs'!U8="","",'V11_Presta&amp;Fournisseurs'!U8)</f>
      </c>
      <c r="P87" t="s" s="71">
        <f>IF('V11_Presta&amp;Fournisseurs'!V8="","",'V11_Presta&amp;Fournisseurs'!V8)</f>
      </c>
      <c r="Q87" s="206"/>
      <c r="R87" t="s" s="73">
        <f>IF(OR('V11_Presta&amp;Fournisseurs'!W8="NE",'V11_Presta&amp;Fournisseurs'!W8=""),"",'V11_Presta&amp;Fournisseurs'!W8)</f>
        <v>58</v>
      </c>
      <c r="S87" t="s" s="132">
        <f>IF(OR('V11_Presta&amp;Fournisseurs'!X8="NE",'V11_Presta&amp;Fournisseurs'!X8=""),"",'V11_Presta&amp;Fournisseurs'!X8)</f>
      </c>
      <c r="T87" s="207"/>
      <c r="U87" s="76">
        <f>IF(OR('V11_Presta&amp;Fournisseurs'!Z8="NE",'V11_Presta&amp;Fournisseurs'!Z8=""),"",'V11_Presta&amp;Fournisseurs'!Z8)</f>
        <v>0</v>
      </c>
      <c r="V87" s="77">
        <f>IF(OR('V11_Presta&amp;Fournisseurs'!AA8="NE",'V11_Presta&amp;Fournisseurs'!AA8=""),"",'V11_Presta&amp;Fournisseurs'!AA8)</f>
      </c>
      <c r="W87" s="223"/>
      <c r="X87" t="s" s="224">
        <f>"Evaluation globale du "&amp;F89</f>
        <v>181</v>
      </c>
      <c r="Y87" s="135"/>
      <c r="Z87" s="46"/>
    </row>
    <row r="88" ht="28.8" customHeight="1">
      <c r="A88" s="210"/>
      <c r="B88" s="211"/>
      <c r="C88" s="211"/>
      <c r="D88" s="47"/>
      <c r="E88" t="s" s="67">
        <f>RIGHT(F89,2)&amp;2&amp;1</f>
        <v>182</v>
      </c>
      <c r="F88" s="212"/>
      <c r="G88" t="s" s="84">
        <f>LEFT(RIGHT($E88,2),1)&amp;" : "&amp;_xlfn.IFERROR(VLOOKUP($E88,'BDD'!$A$1:$S$580,7,FALSE),"")</f>
        <v>183</v>
      </c>
      <c r="H88" s="206"/>
      <c r="I88" t="s" s="85">
        <f>IF('V11_Presta&amp;Fournisseurs'!O9="","",'V11_Presta&amp;Fournisseurs'!O9)</f>
        <v>57</v>
      </c>
      <c r="J88" t="s" s="85">
        <f>IF('V11_Presta&amp;Fournisseurs'!P9="","",'V11_Presta&amp;Fournisseurs'!P9)</f>
        <v>57</v>
      </c>
      <c r="K88" t="s" s="85">
        <f>IF('V11_Presta&amp;Fournisseurs'!Q9="","",'V11_Presta&amp;Fournisseurs'!Q9)</f>
        <v>57</v>
      </c>
      <c r="L88" t="s" s="85">
        <f>IF('V11_Presta&amp;Fournisseurs'!R9="","",'V11_Presta&amp;Fournisseurs'!R9)</f>
        <v>57</v>
      </c>
      <c r="M88" t="s" s="85">
        <f>IF('V11_Presta&amp;Fournisseurs'!S9="","",'V11_Presta&amp;Fournisseurs'!S9)</f>
        <v>57</v>
      </c>
      <c r="N88" t="s" s="85">
        <f>IF('V11_Presta&amp;Fournisseurs'!T9="","",'V11_Presta&amp;Fournisseurs'!T9)</f>
        <v>57</v>
      </c>
      <c r="O88" t="s" s="85">
        <f>IF('V11_Presta&amp;Fournisseurs'!U9="","",'V11_Presta&amp;Fournisseurs'!U9)</f>
      </c>
      <c r="P88" t="s" s="85">
        <f>IF('V11_Presta&amp;Fournisseurs'!V9="","",'V11_Presta&amp;Fournisseurs'!V9)</f>
      </c>
      <c r="Q88" s="206"/>
      <c r="R88" t="s" s="87">
        <f>IF(OR('V11_Presta&amp;Fournisseurs'!W9="NE",'V11_Presta&amp;Fournisseurs'!W9=""),"",'V11_Presta&amp;Fournisseurs'!W9)</f>
        <v>58</v>
      </c>
      <c r="S88" t="s" s="136">
        <f>IF(OR('V11_Presta&amp;Fournisseurs'!X9="NE",'V11_Presta&amp;Fournisseurs'!X9=""),"",'V11_Presta&amp;Fournisseurs'!X9)</f>
      </c>
      <c r="T88" s="207"/>
      <c r="U88" s="89">
        <f>IF(OR('V11_Presta&amp;Fournisseurs'!Z9="NE",'V11_Presta&amp;Fournisseurs'!Z9=""),"",'V11_Presta&amp;Fournisseurs'!Z9)</f>
        <v>0</v>
      </c>
      <c r="V88" s="90">
        <f>IF(OR('V11_Presta&amp;Fournisseurs'!AA9="NE",'V11_Presta&amp;Fournisseurs'!AA9=""),"",'V11_Presta&amp;Fournisseurs'!AA9)</f>
      </c>
      <c r="W88" s="225"/>
      <c r="X88" t="s" s="226">
        <f>IF(OR('V11_Presta&amp;Fournisseurs'!N17="NE",'V11_Presta&amp;Fournisseurs'!N17=""),"",'V11_Presta&amp;Fournisseurs'!N17)</f>
      </c>
      <c r="Y88" s="227"/>
      <c r="Z88" s="46"/>
    </row>
    <row r="89" ht="43.2" customHeight="1">
      <c r="A89" s="210"/>
      <c r="B89" s="211"/>
      <c r="C89" s="211"/>
      <c r="D89" s="47"/>
      <c r="E89" t="s" s="67">
        <f>RIGHT(F89,2)&amp;3&amp;1</f>
        <v>184</v>
      </c>
      <c r="F89" t="s" s="228">
        <v>185</v>
      </c>
      <c r="G89" t="s" s="69">
        <f>LEFT(RIGHT($E89,2),1)&amp;" : "&amp;_xlfn.IFERROR(VLOOKUP($E89,'BDD'!$A$1:$S$580,7,FALSE),"")</f>
        <v>186</v>
      </c>
      <c r="H89" s="206"/>
      <c r="I89" t="s" s="71">
        <f>IF('V11_Presta&amp;Fournisseurs'!O10="","",'V11_Presta&amp;Fournisseurs'!O10)</f>
        <v>57</v>
      </c>
      <c r="J89" t="s" s="71">
        <f>IF('V11_Presta&amp;Fournisseurs'!P10="","",'V11_Presta&amp;Fournisseurs'!P10)</f>
        <v>57</v>
      </c>
      <c r="K89" t="s" s="71">
        <f>IF('V11_Presta&amp;Fournisseurs'!Q10="","",'V11_Presta&amp;Fournisseurs'!Q10)</f>
        <v>57</v>
      </c>
      <c r="L89" t="s" s="71">
        <f>IF('V11_Presta&amp;Fournisseurs'!R10="","",'V11_Presta&amp;Fournisseurs'!R10)</f>
        <v>57</v>
      </c>
      <c r="M89" t="s" s="71">
        <f>IF('V11_Presta&amp;Fournisseurs'!S10="","",'V11_Presta&amp;Fournisseurs'!S10)</f>
        <v>57</v>
      </c>
      <c r="N89" t="s" s="71">
        <f>IF('V11_Presta&amp;Fournisseurs'!T10="","",'V11_Presta&amp;Fournisseurs'!T10)</f>
      </c>
      <c r="O89" t="s" s="71">
        <f>IF('V11_Presta&amp;Fournisseurs'!U10="","",'V11_Presta&amp;Fournisseurs'!U10)</f>
      </c>
      <c r="P89" t="s" s="71">
        <f>IF('V11_Presta&amp;Fournisseurs'!V10="","",'V11_Presta&amp;Fournisseurs'!V10)</f>
      </c>
      <c r="Q89" s="206"/>
      <c r="R89" t="s" s="73">
        <f>IF(OR('V11_Presta&amp;Fournisseurs'!W10="NE",'V11_Presta&amp;Fournisseurs'!W10=""),"",'V11_Presta&amp;Fournisseurs'!W10)</f>
        <v>58</v>
      </c>
      <c r="S89" t="s" s="132">
        <f>IF(OR('V11_Presta&amp;Fournisseurs'!X10="NE",'V11_Presta&amp;Fournisseurs'!X10=""),"",'V11_Presta&amp;Fournisseurs'!X10)</f>
      </c>
      <c r="T89" s="207"/>
      <c r="U89" s="76">
        <f>IF(OR('V11_Presta&amp;Fournisseurs'!Z10="NE",'V11_Presta&amp;Fournisseurs'!Z10=""),"",'V11_Presta&amp;Fournisseurs'!Z10)</f>
        <v>0</v>
      </c>
      <c r="V89" s="77">
        <f>IF(OR('V11_Presta&amp;Fournisseurs'!AA10="NE",'V11_Presta&amp;Fournisseurs'!AA10=""),"",'V11_Presta&amp;Fournisseurs'!AA10)</f>
      </c>
      <c r="W89" s="225"/>
      <c r="X89" s="229"/>
      <c r="Y89" s="227"/>
      <c r="Z89" s="46"/>
    </row>
    <row r="90" ht="28.8" customHeight="1">
      <c r="A90" s="210"/>
      <c r="B90" s="211"/>
      <c r="C90" s="211"/>
      <c r="D90" s="47"/>
      <c r="E90" t="s" s="67">
        <f>RIGHT(F89,2)&amp;4&amp;1</f>
        <v>187</v>
      </c>
      <c r="F90" s="230"/>
      <c r="G90" t="s" s="84">
        <f>LEFT(RIGHT($E90,2),1)&amp;" : "&amp;_xlfn.IFERROR(VLOOKUP($E90,'BDD'!$A$1:$S$580,7,FALSE),"")</f>
        <v>188</v>
      </c>
      <c r="H90" s="206"/>
      <c r="I90" t="s" s="85">
        <f>IF('V11_Presta&amp;Fournisseurs'!O11="","",'V11_Presta&amp;Fournisseurs'!O11)</f>
        <v>57</v>
      </c>
      <c r="J90" t="s" s="85">
        <f>IF('V11_Presta&amp;Fournisseurs'!P11="","",'V11_Presta&amp;Fournisseurs'!P11)</f>
        <v>57</v>
      </c>
      <c r="K90" t="s" s="85">
        <f>IF('V11_Presta&amp;Fournisseurs'!Q11="","",'V11_Presta&amp;Fournisseurs'!Q11)</f>
        <v>57</v>
      </c>
      <c r="L90" t="s" s="85">
        <f>IF('V11_Presta&amp;Fournisseurs'!R11="","",'V11_Presta&amp;Fournisseurs'!R11)</f>
        <v>57</v>
      </c>
      <c r="M90" t="s" s="85">
        <f>IF('V11_Presta&amp;Fournisseurs'!S11="","",'V11_Presta&amp;Fournisseurs'!S11)</f>
        <v>57</v>
      </c>
      <c r="N90" t="s" s="85">
        <f>IF('V11_Presta&amp;Fournisseurs'!T11="","",'V11_Presta&amp;Fournisseurs'!T11)</f>
      </c>
      <c r="O90" t="s" s="85">
        <f>IF('V11_Presta&amp;Fournisseurs'!U11="","",'V11_Presta&amp;Fournisseurs'!U11)</f>
      </c>
      <c r="P90" t="s" s="85">
        <f>IF('V11_Presta&amp;Fournisseurs'!V11="","",'V11_Presta&amp;Fournisseurs'!V11)</f>
      </c>
      <c r="Q90" s="206"/>
      <c r="R90" t="s" s="87">
        <f>IF(OR('V11_Presta&amp;Fournisseurs'!W11="NE",'V11_Presta&amp;Fournisseurs'!W11=""),"",'V11_Presta&amp;Fournisseurs'!W11)</f>
        <v>58</v>
      </c>
      <c r="S90" t="s" s="136">
        <f>IF(OR('V11_Presta&amp;Fournisseurs'!X11="NE",'V11_Presta&amp;Fournisseurs'!X11=""),"",'V11_Presta&amp;Fournisseurs'!X11)</f>
      </c>
      <c r="T90" s="207"/>
      <c r="U90" s="89">
        <f>IF(OR('V11_Presta&amp;Fournisseurs'!Z11="NE",'V11_Presta&amp;Fournisseurs'!Z11=""),"",'V11_Presta&amp;Fournisseurs'!Z11)</f>
        <v>0</v>
      </c>
      <c r="V90" s="90">
        <f>IF(OR('V11_Presta&amp;Fournisseurs'!AA11="NE",'V11_Presta&amp;Fournisseurs'!AA11=""),"",'V11_Presta&amp;Fournisseurs'!AA11)</f>
      </c>
      <c r="W90" s="225"/>
      <c r="X90" s="229"/>
      <c r="Y90" s="227"/>
      <c r="Z90" s="46"/>
    </row>
    <row r="91" ht="28.8" customHeight="1">
      <c r="A91" s="210"/>
      <c r="B91" s="211"/>
      <c r="C91" s="211"/>
      <c r="D91" s="47"/>
      <c r="E91" t="s" s="67">
        <f>RIGHT(F89,2)&amp;5&amp;1</f>
        <v>189</v>
      </c>
      <c r="F91" t="s" s="231">
        <f>VLOOKUP(E90,'BDD'!$A$1:$C$667,3,FALSE)</f>
        <v>190</v>
      </c>
      <c r="G91" t="s" s="69">
        <f>LEFT(RIGHT($E91,2),1)&amp;" : "&amp;_xlfn.IFERROR(VLOOKUP($E91,'BDD'!$A$1:$S$580,7,FALSE),"")</f>
        <v>191</v>
      </c>
      <c r="H91" s="206"/>
      <c r="I91" t="s" s="71">
        <f>IF('V11_Presta&amp;Fournisseurs'!O12="","",'V11_Presta&amp;Fournisseurs'!O12)</f>
        <v>57</v>
      </c>
      <c r="J91" t="s" s="71">
        <f>IF('V11_Presta&amp;Fournisseurs'!P12="","",'V11_Presta&amp;Fournisseurs'!P12)</f>
        <v>57</v>
      </c>
      <c r="K91" t="s" s="71">
        <f>IF('V11_Presta&amp;Fournisseurs'!Q12="","",'V11_Presta&amp;Fournisseurs'!Q12)</f>
        <v>57</v>
      </c>
      <c r="L91" t="s" s="71">
        <f>IF('V11_Presta&amp;Fournisseurs'!R12="","",'V11_Presta&amp;Fournisseurs'!R12)</f>
        <v>57</v>
      </c>
      <c r="M91" t="s" s="71">
        <f>IF('V11_Presta&amp;Fournisseurs'!S12="","",'V11_Presta&amp;Fournisseurs'!S12)</f>
        <v>57</v>
      </c>
      <c r="N91" t="s" s="71">
        <f>IF('V11_Presta&amp;Fournisseurs'!T12="","",'V11_Presta&amp;Fournisseurs'!T12)</f>
        <v>57</v>
      </c>
      <c r="O91" t="s" s="71">
        <f>IF('V11_Presta&amp;Fournisseurs'!U12="","",'V11_Presta&amp;Fournisseurs'!U12)</f>
        <v>57</v>
      </c>
      <c r="P91" t="s" s="71">
        <f>IF('V11_Presta&amp;Fournisseurs'!V12="","",'V11_Presta&amp;Fournisseurs'!V12)</f>
      </c>
      <c r="Q91" s="206"/>
      <c r="R91" t="s" s="73">
        <f>IF(OR('V11_Presta&amp;Fournisseurs'!W12="NE",'V11_Presta&amp;Fournisseurs'!W12=""),"",'V11_Presta&amp;Fournisseurs'!W12)</f>
        <v>58</v>
      </c>
      <c r="S91" t="s" s="132">
        <f>IF(OR('V11_Presta&amp;Fournisseurs'!X12="NE",'V11_Presta&amp;Fournisseurs'!X12=""),"",'V11_Presta&amp;Fournisseurs'!X12)</f>
      </c>
      <c r="T91" s="207"/>
      <c r="U91" s="76">
        <f>IF(OR('V11_Presta&amp;Fournisseurs'!Z12="NE",'V11_Presta&amp;Fournisseurs'!Z12=""),"",'V11_Presta&amp;Fournisseurs'!Z12)</f>
        <v>0</v>
      </c>
      <c r="V91" s="77">
        <f>IF(OR('V11_Presta&amp;Fournisseurs'!AA12="NE",'V11_Presta&amp;Fournisseurs'!AA12=""),"",'V11_Presta&amp;Fournisseurs'!AA12)</f>
      </c>
      <c r="W91" s="225"/>
      <c r="X91" s="229"/>
      <c r="Y91" s="227"/>
      <c r="Z91" s="46"/>
    </row>
    <row r="92" ht="28.8" customHeight="1">
      <c r="A92" s="210"/>
      <c r="B92" s="211"/>
      <c r="C92" s="211"/>
      <c r="D92" s="47"/>
      <c r="E92" t="s" s="67">
        <f>RIGHT(F89,2)&amp;6&amp;1</f>
        <v>192</v>
      </c>
      <c r="F92" s="217"/>
      <c r="G92" t="s" s="84">
        <f>LEFT(RIGHT($E92,2),1)&amp;" : "&amp;_xlfn.IFERROR(VLOOKUP($E92,'BDD'!$A$1:$S$580,7,FALSE),"")</f>
        <v>193</v>
      </c>
      <c r="H92" s="206"/>
      <c r="I92" t="s" s="85">
        <f>IF('V11_Presta&amp;Fournisseurs'!O13="","",'V11_Presta&amp;Fournisseurs'!O13)</f>
        <v>57</v>
      </c>
      <c r="J92" t="s" s="85">
        <f>IF('V11_Presta&amp;Fournisseurs'!P13="","",'V11_Presta&amp;Fournisseurs'!P13)</f>
        <v>57</v>
      </c>
      <c r="K92" t="s" s="85">
        <f>IF('V11_Presta&amp;Fournisseurs'!Q13="","",'V11_Presta&amp;Fournisseurs'!Q13)</f>
        <v>57</v>
      </c>
      <c r="L92" t="s" s="85">
        <f>IF('V11_Presta&amp;Fournisseurs'!R13="","",'V11_Presta&amp;Fournisseurs'!R13)</f>
        <v>57</v>
      </c>
      <c r="M92" t="s" s="85">
        <f>IF('V11_Presta&amp;Fournisseurs'!S13="","",'V11_Presta&amp;Fournisseurs'!S13)</f>
      </c>
      <c r="N92" t="s" s="85">
        <f>IF('V11_Presta&amp;Fournisseurs'!T13="","",'V11_Presta&amp;Fournisseurs'!T13)</f>
      </c>
      <c r="O92" t="s" s="85">
        <f>IF('V11_Presta&amp;Fournisseurs'!U13="","",'V11_Presta&amp;Fournisseurs'!U13)</f>
      </c>
      <c r="P92" t="s" s="85">
        <f>IF('V11_Presta&amp;Fournisseurs'!V13="","",'V11_Presta&amp;Fournisseurs'!V13)</f>
      </c>
      <c r="Q92" s="206"/>
      <c r="R92" t="s" s="87">
        <f>IF(OR('V11_Presta&amp;Fournisseurs'!W13="NE",'V11_Presta&amp;Fournisseurs'!W13=""),"",'V11_Presta&amp;Fournisseurs'!W13)</f>
        <v>58</v>
      </c>
      <c r="S92" t="s" s="136">
        <f>IF(OR('V11_Presta&amp;Fournisseurs'!X13="NE",'V11_Presta&amp;Fournisseurs'!X13=""),"",'V11_Presta&amp;Fournisseurs'!X13)</f>
      </c>
      <c r="T92" s="207"/>
      <c r="U92" s="89">
        <f>IF(OR('V11_Presta&amp;Fournisseurs'!Z13="NE",'V11_Presta&amp;Fournisseurs'!Z13=""),"",'V11_Presta&amp;Fournisseurs'!Z13)</f>
        <v>0</v>
      </c>
      <c r="V92" s="90">
        <f>IF(OR('V11_Presta&amp;Fournisseurs'!AA13="NE",'V11_Presta&amp;Fournisseurs'!AA13=""),"",'V11_Presta&amp;Fournisseurs'!AA13)</f>
      </c>
      <c r="W92" s="225"/>
      <c r="X92" s="229"/>
      <c r="Y92" s="227"/>
      <c r="Z92" s="46"/>
    </row>
    <row r="93" ht="29.4" customHeight="1">
      <c r="A93" s="210"/>
      <c r="B93" s="211"/>
      <c r="C93" s="211"/>
      <c r="D93" s="47"/>
      <c r="E93" t="s" s="67">
        <f>RIGHT(F89,2)&amp;7&amp;1</f>
        <v>194</v>
      </c>
      <c r="F93" s="217"/>
      <c r="G93" t="s" s="69">
        <f>LEFT(RIGHT($E93,2),1)&amp;" : "&amp;_xlfn.IFERROR(VLOOKUP($E93,'BDD'!$A$1:$S$580,7,FALSE),"")</f>
        <v>195</v>
      </c>
      <c r="H93" s="206"/>
      <c r="I93" t="s" s="71">
        <f>IF('V11_Presta&amp;Fournisseurs'!O14="","",'V11_Presta&amp;Fournisseurs'!O14)</f>
        <v>57</v>
      </c>
      <c r="J93" t="s" s="71">
        <f>IF('V11_Presta&amp;Fournisseurs'!P14="","",'V11_Presta&amp;Fournisseurs'!P14)</f>
        <v>57</v>
      </c>
      <c r="K93" t="s" s="71">
        <f>IF('V11_Presta&amp;Fournisseurs'!Q14="","",'V11_Presta&amp;Fournisseurs'!Q14)</f>
        <v>57</v>
      </c>
      <c r="L93" t="s" s="71">
        <f>IF('V11_Presta&amp;Fournisseurs'!R14="","",'V11_Presta&amp;Fournisseurs'!R14)</f>
        <v>57</v>
      </c>
      <c r="M93" t="s" s="71">
        <f>IF('V11_Presta&amp;Fournisseurs'!S14="","",'V11_Presta&amp;Fournisseurs'!S14)</f>
        <v>57</v>
      </c>
      <c r="N93" t="s" s="71">
        <f>IF('V11_Presta&amp;Fournisseurs'!T14="","",'V11_Presta&amp;Fournisseurs'!T14)</f>
      </c>
      <c r="O93" t="s" s="71">
        <f>IF('V11_Presta&amp;Fournisseurs'!U14="","",'V11_Presta&amp;Fournisseurs'!U14)</f>
      </c>
      <c r="P93" t="s" s="71">
        <f>IF('V11_Presta&amp;Fournisseurs'!V14="","",'V11_Presta&amp;Fournisseurs'!V14)</f>
      </c>
      <c r="Q93" s="206"/>
      <c r="R93" t="s" s="95">
        <f>IF(OR('V11_Presta&amp;Fournisseurs'!W14="NE",'V11_Presta&amp;Fournisseurs'!W14=""),"",'V11_Presta&amp;Fournisseurs'!W14)</f>
        <v>58</v>
      </c>
      <c r="S93" t="s" s="173">
        <f>IF(OR('V11_Presta&amp;Fournisseurs'!X14="NE",'V11_Presta&amp;Fournisseurs'!X14=""),"",'V11_Presta&amp;Fournisseurs'!X14)</f>
      </c>
      <c r="T93" s="207"/>
      <c r="U93" s="97">
        <f>IF(OR('V11_Presta&amp;Fournisseurs'!Z14="NE",'V11_Presta&amp;Fournisseurs'!Z14=""),"",'V11_Presta&amp;Fournisseurs'!Z14)</f>
        <v>0</v>
      </c>
      <c r="V93" s="98">
        <f>IF(OR('V11_Presta&amp;Fournisseurs'!AA14="NE",'V11_Presta&amp;Fournisseurs'!AA14=""),"",'V11_Presta&amp;Fournisseurs'!AA14)</f>
      </c>
      <c r="W93" s="225"/>
      <c r="X93" s="232"/>
      <c r="Y93" s="227"/>
      <c r="Z93" s="46"/>
    </row>
    <row r="94" ht="34.95" customHeight="1">
      <c r="A94" s="210"/>
      <c r="B94" s="211"/>
      <c r="C94" s="211"/>
      <c r="D94" s="47"/>
      <c r="E94" s="47"/>
      <c r="F94" s="100"/>
      <c r="G94" s="128"/>
      <c r="H94" s="47"/>
      <c r="I94" s="101"/>
      <c r="J94" s="101"/>
      <c r="K94" s="101"/>
      <c r="L94" s="101"/>
      <c r="M94" s="101"/>
      <c r="N94" s="101"/>
      <c r="O94" s="101"/>
      <c r="P94" s="101"/>
      <c r="Q94" s="103"/>
      <c r="R94" t="s" s="219">
        <f>IF(OR('V11_Presta&amp;Fournisseurs'!W17="NE",'V11_Presta&amp;Fournisseurs'!W17=""),"",'V11_Presta&amp;Fournisseurs'!W17)</f>
        <v>58</v>
      </c>
      <c r="S94" t="s" s="233">
        <f>IF(OR('V11_Presta&amp;Fournisseurs'!X17="NE",'V11_Presta&amp;Fournisseurs'!X17=""),"",'V11_Presta&amp;Fournisseurs'!X17)</f>
      </c>
      <c r="T94" s="106"/>
      <c r="U94" s="221">
        <f>IF(OR('V11_Presta&amp;Fournisseurs'!Z17="NE",'V11_Presta&amp;Fournisseurs'!Z17=""),"",'V11_Presta&amp;Fournisseurs'!Z17)</f>
        <v>0</v>
      </c>
      <c r="V94" s="222">
        <f>IF(OR('V11_Presta&amp;Fournisseurs'!AA17="NE",'V11_Presta&amp;Fournisseurs'!AA17=""),"",'V11_Presta&amp;Fournisseurs'!AA17)</f>
      </c>
      <c r="W94" s="109"/>
      <c r="X94" s="199"/>
      <c r="Y94" s="47"/>
      <c r="Z94" s="46"/>
    </row>
    <row r="95" ht="25.05" customHeight="1">
      <c r="A95" s="210"/>
      <c r="B95" s="211"/>
      <c r="C95" s="211"/>
      <c r="D95" s="47"/>
      <c r="E95" s="47"/>
      <c r="F95" s="100"/>
      <c r="G95" s="130"/>
      <c r="H95" s="47"/>
      <c r="I95" t="s" s="112">
        <v>12</v>
      </c>
      <c r="J95" t="s" s="112">
        <v>13</v>
      </c>
      <c r="K95" t="s" s="112">
        <v>14</v>
      </c>
      <c r="L95" t="s" s="112">
        <v>15</v>
      </c>
      <c r="M95" t="s" s="112">
        <v>16</v>
      </c>
      <c r="N95" t="s" s="112">
        <v>17</v>
      </c>
      <c r="O95" t="s" s="112">
        <v>18</v>
      </c>
      <c r="P95" t="s" s="112">
        <v>19</v>
      </c>
      <c r="Q95" s="47"/>
      <c r="R95" s="113"/>
      <c r="S95" s="114"/>
      <c r="T95" s="47"/>
      <c r="U95" s="115"/>
      <c r="V95" s="115"/>
      <c r="W95" s="47"/>
      <c r="X95" s="144"/>
      <c r="Y95" s="47"/>
      <c r="Z95" s="46"/>
    </row>
    <row r="96" ht="43.2" customHeight="1">
      <c r="A96" s="210"/>
      <c r="B96" s="211"/>
      <c r="C96" s="211"/>
      <c r="D96" s="47"/>
      <c r="E96" t="s" s="67">
        <f>RIGHT(F98,2)&amp;1&amp;1</f>
        <v>196</v>
      </c>
      <c r="F96" s="205"/>
      <c r="G96" t="s" s="69">
        <f>LEFT(RIGHT($E96,2),1)&amp;" : "&amp;_xlfn.IFERROR(VLOOKUP($E96,'BDD'!$A$1:$S$580,7,FALSE),"")</f>
        <v>197</v>
      </c>
      <c r="H96" s="206"/>
      <c r="I96" t="s" s="71">
        <f>IF('V12_Budget&amp;Perf.'!O8="","",'V12_Budget&amp;Perf.'!O8)</f>
        <v>57</v>
      </c>
      <c r="J96" t="s" s="71">
        <f>IF('V12_Budget&amp;Perf.'!P8="","",'V12_Budget&amp;Perf.'!P8)</f>
        <v>57</v>
      </c>
      <c r="K96" t="s" s="71">
        <f>IF('V12_Budget&amp;Perf.'!Q8="","",'V12_Budget&amp;Perf.'!Q8)</f>
        <v>57</v>
      </c>
      <c r="L96" t="s" s="71">
        <f>IF('V12_Budget&amp;Perf.'!R8="","",'V12_Budget&amp;Perf.'!R8)</f>
        <v>57</v>
      </c>
      <c r="M96" t="s" s="71">
        <f>IF('V12_Budget&amp;Perf.'!S8="","",'V12_Budget&amp;Perf.'!S8)</f>
        <v>57</v>
      </c>
      <c r="N96" t="s" s="71">
        <f>IF('V12_Budget&amp;Perf.'!T8="","",'V12_Budget&amp;Perf.'!T8)</f>
        <v>57</v>
      </c>
      <c r="O96" t="s" s="71">
        <f>IF('V12_Budget&amp;Perf.'!U8="","",'V12_Budget&amp;Perf.'!U8)</f>
        <v>57</v>
      </c>
      <c r="P96" t="s" s="71">
        <f>IF('V12_Budget&amp;Perf.'!V8="","",'V12_Budget&amp;Perf.'!V8)</f>
        <v>57</v>
      </c>
      <c r="Q96" s="206"/>
      <c r="R96" t="s" s="73">
        <f>IF(OR('V12_Budget&amp;Perf.'!X8="NE",'V12_Budget&amp;Perf.'!X8=""),"",'V12_Budget&amp;Perf.'!X8)</f>
        <v>58</v>
      </c>
      <c r="S96" t="s" s="132">
        <f>IF(OR('V12_Budget&amp;Perf.'!Y8="NE",'V12_Budget&amp;Perf.'!Y8=""),"",'V12_Budget&amp;Perf.'!Y8)</f>
      </c>
      <c r="T96" s="207"/>
      <c r="U96" s="76">
        <f>IF(OR('V12_Budget&amp;Perf.'!AA8="NE",'V12_Budget&amp;Perf.'!AA8=""),"",'V12_Budget&amp;Perf.'!AA8)</f>
        <v>0</v>
      </c>
      <c r="V96" s="77">
        <f>IF(OR('V12_Budget&amp;Perf.'!AB8="NE",'V12_Budget&amp;Perf.'!AB8=""),"",'V12_Budget&amp;Perf.'!AB8)</f>
      </c>
      <c r="W96" s="234"/>
      <c r="X96" t="s" s="235">
        <f>"Evaluation globale du "&amp;F98</f>
        <v>198</v>
      </c>
      <c r="Y96" s="147"/>
      <c r="Z96" s="46"/>
    </row>
    <row r="97" ht="43.2" customHeight="1">
      <c r="A97" s="210"/>
      <c r="B97" s="211"/>
      <c r="C97" s="211"/>
      <c r="D97" s="47"/>
      <c r="E97" t="s" s="67">
        <f>RIGHT(F98,2)&amp;2&amp;1</f>
        <v>199</v>
      </c>
      <c r="F97" s="212"/>
      <c r="G97" t="s" s="84">
        <f>LEFT(RIGHT($E97,2),1)&amp;" : "&amp;_xlfn.IFERROR(VLOOKUP($E97,'BDD'!$A$1:$S$580,7,FALSE),"")</f>
        <v>200</v>
      </c>
      <c r="H97" s="206"/>
      <c r="I97" t="s" s="85">
        <f>IF('V12_Budget&amp;Perf.'!O9="","",'V12_Budget&amp;Perf.'!O9)</f>
        <v>57</v>
      </c>
      <c r="J97" t="s" s="85">
        <f>IF('V12_Budget&amp;Perf.'!P9="","",'V12_Budget&amp;Perf.'!P9)</f>
        <v>57</v>
      </c>
      <c r="K97" t="s" s="85">
        <f>IF('V12_Budget&amp;Perf.'!Q9="","",'V12_Budget&amp;Perf.'!Q9)</f>
        <v>57</v>
      </c>
      <c r="L97" t="s" s="85">
        <f>IF('V12_Budget&amp;Perf.'!R9="","",'V12_Budget&amp;Perf.'!R9)</f>
        <v>57</v>
      </c>
      <c r="M97" t="s" s="85">
        <f>IF('V12_Budget&amp;Perf.'!S9="","",'V12_Budget&amp;Perf.'!S9)</f>
        <v>57</v>
      </c>
      <c r="N97" t="s" s="85">
        <f>IF('V12_Budget&amp;Perf.'!T9="","",'V12_Budget&amp;Perf.'!T9)</f>
      </c>
      <c r="O97" t="s" s="85">
        <f>IF('V12_Budget&amp;Perf.'!U9="","",'V12_Budget&amp;Perf.'!U9)</f>
      </c>
      <c r="P97" t="s" s="85">
        <f>IF('V12_Budget&amp;Perf.'!V9="","",'V12_Budget&amp;Perf.'!V9)</f>
      </c>
      <c r="Q97" s="206"/>
      <c r="R97" t="s" s="87">
        <f>IF(OR('V12_Budget&amp;Perf.'!X9="NE",'V12_Budget&amp;Perf.'!X9=""),"",'V12_Budget&amp;Perf.'!X9)</f>
        <v>58</v>
      </c>
      <c r="S97" t="s" s="136">
        <f>IF(OR('V12_Budget&amp;Perf.'!Y9="NE",'V12_Budget&amp;Perf.'!Y9=""),"",'V12_Budget&amp;Perf.'!Y9)</f>
      </c>
      <c r="T97" s="207"/>
      <c r="U97" s="89">
        <f>IF(OR('V12_Budget&amp;Perf.'!AA9="NE",'V12_Budget&amp;Perf.'!AA9=""),"",'V12_Budget&amp;Perf.'!AA9)</f>
        <v>0</v>
      </c>
      <c r="V97" s="90">
        <f>IF(OR('V12_Budget&amp;Perf.'!AB9="NE",'V12_Budget&amp;Perf.'!AB9=""),"",'V12_Budget&amp;Perf.'!AB9)</f>
      </c>
      <c r="W97" s="234"/>
      <c r="X97" t="s" s="236">
        <f>IF(OR('V12_Budget&amp;Perf.'!N16="NE",'V12_Budget&amp;Perf.'!N16=""),"",'V12_Budget&amp;Perf.'!N16)</f>
      </c>
      <c r="Y97" s="147"/>
      <c r="Z97" s="46"/>
    </row>
    <row r="98" ht="57.6" customHeight="1">
      <c r="A98" s="210"/>
      <c r="B98" s="211"/>
      <c r="C98" s="211"/>
      <c r="D98" s="47"/>
      <c r="E98" t="s" s="67">
        <f>RIGHT(F98,2)&amp;3&amp;1</f>
        <v>201</v>
      </c>
      <c r="F98" t="s" s="214">
        <v>202</v>
      </c>
      <c r="G98" t="s" s="69">
        <f>LEFT(RIGHT($E98,2),1)&amp;" : "&amp;_xlfn.IFERROR(VLOOKUP($E98,'BDD'!$A$1:$S$580,7,FALSE),"")</f>
        <v>203</v>
      </c>
      <c r="H98" s="206"/>
      <c r="I98" t="s" s="71">
        <f>IF('V12_Budget&amp;Perf.'!O10="","",'V12_Budget&amp;Perf.'!O10)</f>
        <v>57</v>
      </c>
      <c r="J98" t="s" s="71">
        <f>IF('V12_Budget&amp;Perf.'!P10="","",'V12_Budget&amp;Perf.'!P10)</f>
        <v>57</v>
      </c>
      <c r="K98" t="s" s="71">
        <f>IF('V12_Budget&amp;Perf.'!Q10="","",'V12_Budget&amp;Perf.'!Q10)</f>
        <v>57</v>
      </c>
      <c r="L98" t="s" s="71">
        <f>IF('V12_Budget&amp;Perf.'!R10="","",'V12_Budget&amp;Perf.'!R10)</f>
        <v>57</v>
      </c>
      <c r="M98" t="s" s="71">
        <f>IF('V12_Budget&amp;Perf.'!S10="","",'V12_Budget&amp;Perf.'!S10)</f>
        <v>57</v>
      </c>
      <c r="N98" t="s" s="71">
        <f>IF('V12_Budget&amp;Perf.'!T10="","",'V12_Budget&amp;Perf.'!T10)</f>
        <v>57</v>
      </c>
      <c r="O98" t="s" s="71">
        <f>IF('V12_Budget&amp;Perf.'!U10="","",'V12_Budget&amp;Perf.'!U10)</f>
        <v>57</v>
      </c>
      <c r="P98" t="s" s="71">
        <f>IF('V12_Budget&amp;Perf.'!V10="","",'V12_Budget&amp;Perf.'!V10)</f>
      </c>
      <c r="Q98" s="206"/>
      <c r="R98" t="s" s="73">
        <f>IF(OR('V12_Budget&amp;Perf.'!X10="NE",'V12_Budget&amp;Perf.'!X10=""),"",'V12_Budget&amp;Perf.'!X10)</f>
        <v>58</v>
      </c>
      <c r="S98" t="s" s="132">
        <f>IF(OR('V12_Budget&amp;Perf.'!Y10="NE",'V12_Budget&amp;Perf.'!Y10=""),"",'V12_Budget&amp;Perf.'!Y10)</f>
      </c>
      <c r="T98" s="207"/>
      <c r="U98" s="76">
        <f>IF(OR('V12_Budget&amp;Perf.'!AA10="NE",'V12_Budget&amp;Perf.'!AA10=""),"",'V12_Budget&amp;Perf.'!AA10)</f>
        <v>0</v>
      </c>
      <c r="V98" s="77">
        <f>IF(OR('V12_Budget&amp;Perf.'!AB10="NE",'V12_Budget&amp;Perf.'!AB10=""),"",'V12_Budget&amp;Perf.'!AB10)</f>
      </c>
      <c r="W98" s="234"/>
      <c r="X98" s="147"/>
      <c r="Y98" s="47"/>
      <c r="Z98" s="46"/>
    </row>
    <row r="99" ht="43.2" customHeight="1">
      <c r="A99" s="210"/>
      <c r="B99" s="211"/>
      <c r="C99" s="211"/>
      <c r="D99" s="47"/>
      <c r="E99" t="s" s="67">
        <f>RIGHT(F98,2)&amp;4&amp;1</f>
        <v>204</v>
      </c>
      <c r="F99" t="s" s="237">
        <f>VLOOKUP(E99,'BDD'!$A$1:$C$667,3,FALSE)</f>
        <v>205</v>
      </c>
      <c r="G99" t="s" s="84">
        <f>LEFT(RIGHT($E99,2),1)&amp;" : "&amp;_xlfn.IFERROR(VLOOKUP($E99,'BDD'!$A$1:$S$580,7,FALSE),"")</f>
        <v>206</v>
      </c>
      <c r="H99" s="206"/>
      <c r="I99" t="s" s="85">
        <f>IF('V12_Budget&amp;Perf.'!O11="","",'V12_Budget&amp;Perf.'!O11)</f>
        <v>57</v>
      </c>
      <c r="J99" t="s" s="85">
        <f>IF('V12_Budget&amp;Perf.'!P11="","",'V12_Budget&amp;Perf.'!P11)</f>
        <v>57</v>
      </c>
      <c r="K99" t="s" s="85">
        <f>IF('V12_Budget&amp;Perf.'!Q11="","",'V12_Budget&amp;Perf.'!Q11)</f>
        <v>57</v>
      </c>
      <c r="L99" t="s" s="85">
        <f>IF('V12_Budget&amp;Perf.'!R11="","",'V12_Budget&amp;Perf.'!R11)</f>
        <v>57</v>
      </c>
      <c r="M99" t="s" s="85">
        <f>IF('V12_Budget&amp;Perf.'!S11="","",'V12_Budget&amp;Perf.'!S11)</f>
        <v>57</v>
      </c>
      <c r="N99" t="s" s="85">
        <f>IF('V12_Budget&amp;Perf.'!T11="","",'V12_Budget&amp;Perf.'!T11)</f>
      </c>
      <c r="O99" t="s" s="85">
        <f>IF('V12_Budget&amp;Perf.'!U11="","",'V12_Budget&amp;Perf.'!U11)</f>
      </c>
      <c r="P99" t="s" s="85">
        <f>IF('V12_Budget&amp;Perf.'!V11="","",'V12_Budget&amp;Perf.'!V11)</f>
      </c>
      <c r="Q99" s="206"/>
      <c r="R99" t="s" s="87">
        <f>IF(OR('V12_Budget&amp;Perf.'!X11="NE",'V12_Budget&amp;Perf.'!X11=""),"",'V12_Budget&amp;Perf.'!X11)</f>
        <v>58</v>
      </c>
      <c r="S99" t="s" s="136">
        <f>IF(OR('V12_Budget&amp;Perf.'!Y11="NE",'V12_Budget&amp;Perf.'!Y11=""),"",'V12_Budget&amp;Perf.'!Y11)</f>
      </c>
      <c r="T99" s="207"/>
      <c r="U99" s="89">
        <f>IF(OR('V12_Budget&amp;Perf.'!AA11="NE",'V12_Budget&amp;Perf.'!AA11=""),"",'V12_Budget&amp;Perf.'!AA11)</f>
        <v>0</v>
      </c>
      <c r="V99" s="90">
        <f>IF(OR('V12_Budget&amp;Perf.'!AB11="NE",'V12_Budget&amp;Perf.'!AB11=""),"",'V12_Budget&amp;Perf.'!AB11)</f>
      </c>
      <c r="W99" s="234"/>
      <c r="X99" s="147"/>
      <c r="Y99" s="47"/>
      <c r="Z99" s="46"/>
    </row>
    <row r="100" ht="28.8" customHeight="1">
      <c r="A100" s="210"/>
      <c r="B100" s="211"/>
      <c r="C100" s="211"/>
      <c r="D100" s="47"/>
      <c r="E100" t="s" s="67">
        <f>RIGHT(F98,2)&amp;5&amp;1</f>
        <v>207</v>
      </c>
      <c r="F100" s="217"/>
      <c r="G100" t="s" s="69">
        <f>LEFT(RIGHT($E100,2),1)&amp;" : "&amp;_xlfn.IFERROR(VLOOKUP($E100,'BDD'!$A$1:$S$580,7,FALSE),"")</f>
        <v>208</v>
      </c>
      <c r="H100" s="206"/>
      <c r="I100" t="s" s="71">
        <f>IF('V12_Budget&amp;Perf.'!O12="","",'V12_Budget&amp;Perf.'!O12)</f>
        <v>57</v>
      </c>
      <c r="J100" t="s" s="71">
        <f>IF('V12_Budget&amp;Perf.'!P12="","",'V12_Budget&amp;Perf.'!P12)</f>
        <v>57</v>
      </c>
      <c r="K100" t="s" s="71">
        <f>IF('V12_Budget&amp;Perf.'!Q12="","",'V12_Budget&amp;Perf.'!Q12)</f>
        <v>57</v>
      </c>
      <c r="L100" t="s" s="71">
        <f>IF('V12_Budget&amp;Perf.'!R12="","",'V12_Budget&amp;Perf.'!R12)</f>
        <v>57</v>
      </c>
      <c r="M100" t="s" s="71">
        <f>IF('V12_Budget&amp;Perf.'!S12="","",'V12_Budget&amp;Perf.'!S12)</f>
        <v>57</v>
      </c>
      <c r="N100" t="s" s="71">
        <f>IF('V12_Budget&amp;Perf.'!T12="","",'V12_Budget&amp;Perf.'!T12)</f>
        <v>57</v>
      </c>
      <c r="O100" t="s" s="71">
        <f>IF('V12_Budget&amp;Perf.'!U12="","",'V12_Budget&amp;Perf.'!U12)</f>
      </c>
      <c r="P100" t="s" s="71">
        <f>IF('V12_Budget&amp;Perf.'!V12="","",'V12_Budget&amp;Perf.'!V12)</f>
      </c>
      <c r="Q100" s="206"/>
      <c r="R100" t="s" s="73">
        <f>IF(OR('V12_Budget&amp;Perf.'!X12="NE",'V12_Budget&amp;Perf.'!X12=""),"",'V12_Budget&amp;Perf.'!X12)</f>
        <v>58</v>
      </c>
      <c r="S100" t="s" s="132">
        <f>IF(OR('V12_Budget&amp;Perf.'!Y12="NE",'V12_Budget&amp;Perf.'!Y12=""),"",'V12_Budget&amp;Perf.'!Y12)</f>
      </c>
      <c r="T100" s="207"/>
      <c r="U100" s="76">
        <f>IF(OR('V12_Budget&amp;Perf.'!AA12="NE",'V12_Budget&amp;Perf.'!AA12=""),"",'V12_Budget&amp;Perf.'!AA12)</f>
        <v>0</v>
      </c>
      <c r="V100" s="77">
        <f>IF(OR('V12_Budget&amp;Perf.'!AB12="NE",'V12_Budget&amp;Perf.'!AB12=""),"",'V12_Budget&amp;Perf.'!AB12)</f>
      </c>
      <c r="W100" s="234"/>
      <c r="X100" s="147"/>
      <c r="Y100" s="47"/>
      <c r="Z100" s="46"/>
    </row>
    <row r="101" ht="29.4" customHeight="1">
      <c r="A101" s="210"/>
      <c r="B101" s="211"/>
      <c r="C101" s="211"/>
      <c r="D101" s="47"/>
      <c r="E101" t="s" s="67">
        <f>RIGHT(F98,2)&amp;6&amp;1</f>
        <v>209</v>
      </c>
      <c r="F101" s="217"/>
      <c r="G101" t="s" s="84">
        <f>LEFT(RIGHT($E101,2),1)&amp;" : "&amp;_xlfn.IFERROR(VLOOKUP($E101,'BDD'!$A$1:$S$580,7,FALSE),"")</f>
        <v>210</v>
      </c>
      <c r="H101" s="206"/>
      <c r="I101" t="s" s="85">
        <f>IF('V12_Budget&amp;Perf.'!O13="","",'V12_Budget&amp;Perf.'!O13)</f>
        <v>57</v>
      </c>
      <c r="J101" t="s" s="85">
        <f>IF('V12_Budget&amp;Perf.'!P13="","",'V12_Budget&amp;Perf.'!P13)</f>
        <v>57</v>
      </c>
      <c r="K101" t="s" s="85">
        <f>IF('V12_Budget&amp;Perf.'!Q13="","",'V12_Budget&amp;Perf.'!Q13)</f>
        <v>57</v>
      </c>
      <c r="L101" t="s" s="85">
        <f>IF('V12_Budget&amp;Perf.'!R13="","",'V12_Budget&amp;Perf.'!R13)</f>
        <v>57</v>
      </c>
      <c r="M101" t="s" s="85">
        <f>IF('V12_Budget&amp;Perf.'!S13="","",'V12_Budget&amp;Perf.'!S13)</f>
      </c>
      <c r="N101" t="s" s="85">
        <f>IF('V12_Budget&amp;Perf.'!T13="","",'V12_Budget&amp;Perf.'!T13)</f>
      </c>
      <c r="O101" t="s" s="85">
        <f>IF('V12_Budget&amp;Perf.'!U13="","",'V12_Budget&amp;Perf.'!U13)</f>
      </c>
      <c r="P101" t="s" s="85">
        <f>IF('V12_Budget&amp;Perf.'!V13="","",'V12_Budget&amp;Perf.'!V13)</f>
      </c>
      <c r="Q101" s="206"/>
      <c r="R101" t="s" s="123">
        <f>IF(OR('V12_Budget&amp;Perf.'!X13="NE",'V12_Budget&amp;Perf.'!X13=""),"",'V12_Budget&amp;Perf.'!X13)</f>
        <v>58</v>
      </c>
      <c r="S101" t="s" s="140">
        <f>IF(OR('V12_Budget&amp;Perf.'!Y13="NE",'V12_Budget&amp;Perf.'!Y13=""),"",'V12_Budget&amp;Perf.'!Y13)</f>
      </c>
      <c r="T101" s="207"/>
      <c r="U101" s="125">
        <f>IF(OR('V12_Budget&amp;Perf.'!AA13="NE",'V12_Budget&amp;Perf.'!AA13=""),"",'V12_Budget&amp;Perf.'!AA13)</f>
        <v>0</v>
      </c>
      <c r="V101" s="126">
        <f>IF(OR('V12_Budget&amp;Perf.'!AB13="NE",'V12_Budget&amp;Perf.'!AB13=""),"",'V12_Budget&amp;Perf.'!AB13)</f>
      </c>
      <c r="W101" s="234"/>
      <c r="X101" s="152"/>
      <c r="Y101" s="47"/>
      <c r="Z101" s="46"/>
    </row>
    <row r="102" ht="34.95" customHeight="1">
      <c r="A102" s="210"/>
      <c r="B102" s="211"/>
      <c r="C102" s="211"/>
      <c r="D102" s="47"/>
      <c r="E102" s="47"/>
      <c r="F102" s="100"/>
      <c r="G102" s="128"/>
      <c r="H102" s="47"/>
      <c r="I102" s="101"/>
      <c r="J102" s="101"/>
      <c r="K102" s="101"/>
      <c r="L102" s="101"/>
      <c r="M102" s="101"/>
      <c r="N102" s="101"/>
      <c r="O102" s="101"/>
      <c r="P102" s="101"/>
      <c r="Q102" s="103"/>
      <c r="R102" t="s" s="219">
        <f>IF(OR('V12_Budget&amp;Perf.'!X16="NE",'V12_Budget&amp;Perf.'!X16=""),"",'V12_Budget&amp;Perf.'!X16)</f>
        <v>58</v>
      </c>
      <c r="S102" t="s" s="233">
        <f>IF(OR('V12_Budget&amp;Perf.'!Y16="NE",'V12_Budget&amp;Perf.'!Y16=""),"",'V12_Budget&amp;Perf.'!Y16)</f>
      </c>
      <c r="T102" s="106"/>
      <c r="U102" s="221">
        <f>IF(OR('V12_Budget&amp;Perf.'!AA16="NE",'V12_Budget&amp;Perf.'!AA16=""),"",'V12_Budget&amp;Perf.'!AA16)</f>
        <v>0</v>
      </c>
      <c r="V102" s="222">
        <f>IF(OR('V12_Budget&amp;Perf.'!AB16="NE",'V12_Budget&amp;Perf.'!AB16=""),"",'V12_Budget&amp;Perf.'!AB16)</f>
      </c>
      <c r="W102" s="109"/>
      <c r="X102" s="156"/>
      <c r="Y102" s="47"/>
      <c r="Z102" s="46"/>
    </row>
    <row r="103" ht="25.05" customHeight="1">
      <c r="A103" s="210"/>
      <c r="B103" s="211"/>
      <c r="C103" s="211"/>
      <c r="D103" s="47"/>
      <c r="E103" s="47"/>
      <c r="F103" s="100"/>
      <c r="G103" s="130"/>
      <c r="H103" s="47"/>
      <c r="I103" t="s" s="112">
        <v>12</v>
      </c>
      <c r="J103" t="s" s="112">
        <v>13</v>
      </c>
      <c r="K103" t="s" s="112">
        <v>14</v>
      </c>
      <c r="L103" t="s" s="112">
        <v>15</v>
      </c>
      <c r="M103" t="s" s="112">
        <v>16</v>
      </c>
      <c r="N103" t="s" s="112">
        <v>17</v>
      </c>
      <c r="O103" t="s" s="112">
        <v>18</v>
      </c>
      <c r="P103" t="s" s="112">
        <v>19</v>
      </c>
      <c r="Q103" s="47"/>
      <c r="R103" s="113"/>
      <c r="S103" s="114"/>
      <c r="T103" s="47"/>
      <c r="U103" s="115"/>
      <c r="V103" s="115"/>
      <c r="W103" s="47"/>
      <c r="X103" s="116"/>
      <c r="Y103" s="47"/>
      <c r="Z103" s="46"/>
    </row>
    <row r="104" ht="21" customHeight="1">
      <c r="A104" s="210"/>
      <c r="B104" s="211"/>
      <c r="C104" s="211"/>
      <c r="D104" s="47"/>
      <c r="E104" t="s" s="67">
        <f>RIGHT(F105,2)&amp;1&amp;1</f>
        <v>211</v>
      </c>
      <c r="F104" s="205"/>
      <c r="G104" t="s" s="69">
        <f>LEFT(RIGHT($E104,2),1)&amp;" : "&amp;_xlfn.IFERROR(VLOOKUP($E104,'BDD'!$A$1:$S$580,7,FALSE),"")</f>
        <v>212</v>
      </c>
      <c r="H104" s="206"/>
      <c r="I104" t="s" s="71">
        <f>IF('V13_Marketing&amp;Comm.'!O8="","",'V13_Marketing&amp;Comm.'!O8)</f>
        <v>57</v>
      </c>
      <c r="J104" t="s" s="71">
        <f>IF('V13_Marketing&amp;Comm.'!P8="","",'V13_Marketing&amp;Comm.'!P8)</f>
        <v>57</v>
      </c>
      <c r="K104" t="s" s="71">
        <f>IF('V13_Marketing&amp;Comm.'!Q8="","",'V13_Marketing&amp;Comm.'!Q8)</f>
        <v>57</v>
      </c>
      <c r="L104" t="s" s="71">
        <f>IF('V13_Marketing&amp;Comm.'!R8="","",'V13_Marketing&amp;Comm.'!R8)</f>
        <v>57</v>
      </c>
      <c r="M104" t="s" s="71">
        <f>IF('V13_Marketing&amp;Comm.'!S8="","",'V13_Marketing&amp;Comm.'!S8)</f>
        <v>57</v>
      </c>
      <c r="N104" t="s" s="71">
        <f>IF('V13_Marketing&amp;Comm.'!T8="","",'V13_Marketing&amp;Comm.'!T8)</f>
      </c>
      <c r="O104" t="s" s="71">
        <f>IF('V13_Marketing&amp;Comm.'!U8="","",'V13_Marketing&amp;Comm.'!U8)</f>
      </c>
      <c r="P104" t="s" s="71">
        <f>IF('V13_Marketing&amp;Comm.'!V8="","",'V13_Marketing&amp;Comm.'!V8)</f>
      </c>
      <c r="Q104" s="206"/>
      <c r="R104" t="s" s="73">
        <f>IF(OR('V13_Marketing&amp;Comm.'!X8="NE",'V13_Marketing&amp;Comm.'!X8=""),"",'V13_Marketing&amp;Comm.'!X8)</f>
        <v>58</v>
      </c>
      <c r="S104" t="s" s="132">
        <f>IF(OR('V13_Marketing&amp;Comm.'!Y8="NE",'V13_Marketing&amp;Comm.'!Y8=""),"",'V13_Marketing&amp;Comm.'!Y8)</f>
      </c>
      <c r="T104" s="207"/>
      <c r="U104" s="76">
        <f>IF(OR('V13_Marketing&amp;Comm.'!AA8="NE",'V13_Marketing&amp;Comm.'!AA8=""),"",'V13_Marketing&amp;Comm.'!AA8)</f>
        <v>0</v>
      </c>
      <c r="V104" s="77">
        <f>IF(OR('V13_Marketing&amp;Comm.'!AB8="NE",'V13_Marketing&amp;Comm.'!AB8=""),"",'V13_Marketing&amp;Comm.'!AB8)</f>
      </c>
      <c r="W104" s="208"/>
      <c r="X104" t="s" s="238">
        <f>"Evaluation globale du "&amp;F105</f>
        <v>213</v>
      </c>
      <c r="Y104" s="80"/>
      <c r="Z104" s="46"/>
    </row>
    <row r="105" ht="21" customHeight="1">
      <c r="A105" s="210"/>
      <c r="B105" s="211"/>
      <c r="C105" s="211"/>
      <c r="D105" s="47"/>
      <c r="E105" t="s" s="67">
        <f>RIGHT(F105,2)&amp;2&amp;1</f>
        <v>214</v>
      </c>
      <c r="F105" t="s" s="239">
        <v>215</v>
      </c>
      <c r="G105" t="s" s="84">
        <f>LEFT(RIGHT($E105,2),1)&amp;" : "&amp;_xlfn.IFERROR(VLOOKUP($E105,'BDD'!$A$1:$S$580,7,FALSE),"")</f>
        <v>216</v>
      </c>
      <c r="H105" s="206"/>
      <c r="I105" t="s" s="85">
        <f>IF('V13_Marketing&amp;Comm.'!O9="","",'V13_Marketing&amp;Comm.'!O9)</f>
        <v>57</v>
      </c>
      <c r="J105" t="s" s="85">
        <f>IF('V13_Marketing&amp;Comm.'!P9="","",'V13_Marketing&amp;Comm.'!P9)</f>
        <v>57</v>
      </c>
      <c r="K105" t="s" s="85">
        <f>IF('V13_Marketing&amp;Comm.'!Q9="","",'V13_Marketing&amp;Comm.'!Q9)</f>
        <v>57</v>
      </c>
      <c r="L105" t="s" s="85">
        <f>IF('V13_Marketing&amp;Comm.'!R9="","",'V13_Marketing&amp;Comm.'!R9)</f>
        <v>57</v>
      </c>
      <c r="M105" t="s" s="85">
        <f>IF('V13_Marketing&amp;Comm.'!S9="","",'V13_Marketing&amp;Comm.'!S9)</f>
        <v>57</v>
      </c>
      <c r="N105" t="s" s="85">
        <f>IF('V13_Marketing&amp;Comm.'!T9="","",'V13_Marketing&amp;Comm.'!T9)</f>
      </c>
      <c r="O105" t="s" s="85">
        <f>IF('V13_Marketing&amp;Comm.'!U9="","",'V13_Marketing&amp;Comm.'!U9)</f>
      </c>
      <c r="P105" t="s" s="85">
        <f>IF('V13_Marketing&amp;Comm.'!V9="","",'V13_Marketing&amp;Comm.'!V9)</f>
      </c>
      <c r="Q105" s="206"/>
      <c r="R105" t="s" s="87">
        <f>IF(OR('V13_Marketing&amp;Comm.'!X9="NE",'V13_Marketing&amp;Comm.'!X9=""),"",'V13_Marketing&amp;Comm.'!X9)</f>
        <v>58</v>
      </c>
      <c r="S105" t="s" s="136">
        <f>IF(OR('V13_Marketing&amp;Comm.'!Y9="NE",'V13_Marketing&amp;Comm.'!Y9=""),"",'V13_Marketing&amp;Comm.'!Y9)</f>
      </c>
      <c r="T105" s="207"/>
      <c r="U105" s="89">
        <v>5</v>
      </c>
      <c r="V105" s="90">
        <f>IF(OR('V13_Marketing&amp;Comm.'!AB9="NE",'V13_Marketing&amp;Comm.'!AB9=""),"",'V13_Marketing&amp;Comm.'!AB9)</f>
      </c>
      <c r="W105" s="225"/>
      <c r="X105" t="s" s="226">
        <f>IF(OR('V13_Marketing&amp;Comm.'!N14="NE",'V13_Marketing&amp;Comm.'!N14=""),"",'V13_Marketing&amp;Comm.'!N14)</f>
      </c>
      <c r="Y105" s="227"/>
      <c r="Z105" s="46"/>
    </row>
    <row r="106" ht="28.8" customHeight="1">
      <c r="A106" s="210"/>
      <c r="B106" s="211"/>
      <c r="C106" s="211"/>
      <c r="D106" s="47"/>
      <c r="E106" t="s" s="67">
        <f>RIGHT(F105,2)&amp;3&amp;1</f>
        <v>217</v>
      </c>
      <c r="F106" t="s" s="240">
        <f>VLOOKUP(E107,'BDD'!$A$1:$C$667,3,FALSE)</f>
        <v>218</v>
      </c>
      <c r="G106" t="s" s="69">
        <f>LEFT(RIGHT($E106,2),1)&amp;" : "&amp;_xlfn.IFERROR(VLOOKUP($E106,'BDD'!$A$1:$S$580,7,FALSE),"")</f>
        <v>219</v>
      </c>
      <c r="H106" s="206"/>
      <c r="I106" t="s" s="71">
        <f>IF('V13_Marketing&amp;Comm.'!O10="","",'V13_Marketing&amp;Comm.'!O10)</f>
        <v>57</v>
      </c>
      <c r="J106" t="s" s="71">
        <f>IF('V13_Marketing&amp;Comm.'!P10="","",'V13_Marketing&amp;Comm.'!P10)</f>
        <v>57</v>
      </c>
      <c r="K106" t="s" s="71">
        <f>IF('V13_Marketing&amp;Comm.'!Q10="","",'V13_Marketing&amp;Comm.'!Q10)</f>
        <v>57</v>
      </c>
      <c r="L106" t="s" s="71">
        <f>IF('V13_Marketing&amp;Comm.'!R10="","",'V13_Marketing&amp;Comm.'!R10)</f>
        <v>57</v>
      </c>
      <c r="M106" t="s" s="71">
        <f>IF('V13_Marketing&amp;Comm.'!S10="","",'V13_Marketing&amp;Comm.'!S10)</f>
        <v>57</v>
      </c>
      <c r="N106" t="s" s="71">
        <f>IF('V13_Marketing&amp;Comm.'!T10="","",'V13_Marketing&amp;Comm.'!T10)</f>
        <v>57</v>
      </c>
      <c r="O106" t="s" s="71">
        <f>IF('V13_Marketing&amp;Comm.'!U10="","",'V13_Marketing&amp;Comm.'!U10)</f>
        <v>57</v>
      </c>
      <c r="P106" t="s" s="71">
        <f>IF('V13_Marketing&amp;Comm.'!V10="","",'V13_Marketing&amp;Comm.'!V10)</f>
        <v>57</v>
      </c>
      <c r="Q106" s="206"/>
      <c r="R106" t="s" s="73">
        <f>IF(OR('V13_Marketing&amp;Comm.'!X10="NE",'V13_Marketing&amp;Comm.'!X10=""),"",'V13_Marketing&amp;Comm.'!X10)</f>
        <v>58</v>
      </c>
      <c r="S106" t="s" s="132">
        <f>IF(OR('V13_Marketing&amp;Comm.'!Y10="NE",'V13_Marketing&amp;Comm.'!Y10=""),"",'V13_Marketing&amp;Comm.'!Y10)</f>
      </c>
      <c r="T106" s="207"/>
      <c r="U106" s="76">
        <f>IF(OR('V13_Marketing&amp;Comm.'!AA10="NE",'V13_Marketing&amp;Comm.'!AA10=""),"",'V13_Marketing&amp;Comm.'!AA10)</f>
        <v>0</v>
      </c>
      <c r="V106" s="77">
        <f>IF(OR('V13_Marketing&amp;Comm.'!AB10="NE",'V13_Marketing&amp;Comm.'!AB10=""),"",'V13_Marketing&amp;Comm.'!AB10)</f>
      </c>
      <c r="W106" s="225"/>
      <c r="X106" s="227"/>
      <c r="Y106" s="47"/>
      <c r="Z106" s="46"/>
    </row>
    <row r="107" ht="29.4" customHeight="1">
      <c r="A107" s="210"/>
      <c r="B107" s="211"/>
      <c r="C107" s="211"/>
      <c r="D107" s="47"/>
      <c r="E107" t="s" s="67">
        <f>RIGHT(F105,2)&amp;4&amp;1</f>
        <v>220</v>
      </c>
      <c r="F107" s="205"/>
      <c r="G107" t="s" s="84">
        <f>LEFT(RIGHT($E107,2),1)&amp;" : "&amp;_xlfn.IFERROR(VLOOKUP($E107,'BDD'!$A$1:$S$580,7,FALSE),"")</f>
        <v>221</v>
      </c>
      <c r="H107" s="206"/>
      <c r="I107" t="s" s="85">
        <f>IF('V13_Marketing&amp;Comm.'!O11="","",'V13_Marketing&amp;Comm.'!O11)</f>
        <v>57</v>
      </c>
      <c r="J107" t="s" s="85">
        <f>IF('V13_Marketing&amp;Comm.'!P11="","",'V13_Marketing&amp;Comm.'!P11)</f>
        <v>57</v>
      </c>
      <c r="K107" t="s" s="85">
        <f>IF('V13_Marketing&amp;Comm.'!Q11="","",'V13_Marketing&amp;Comm.'!Q11)</f>
        <v>57</v>
      </c>
      <c r="L107" t="s" s="85">
        <f>IF('V13_Marketing&amp;Comm.'!R11="","",'V13_Marketing&amp;Comm.'!R11)</f>
        <v>57</v>
      </c>
      <c r="M107" t="s" s="85">
        <f>IF('V13_Marketing&amp;Comm.'!S11="","",'V13_Marketing&amp;Comm.'!S11)</f>
        <v>57</v>
      </c>
      <c r="N107" t="s" s="85">
        <f>IF('V13_Marketing&amp;Comm.'!T11="","",'V13_Marketing&amp;Comm.'!T11)</f>
      </c>
      <c r="O107" t="s" s="85">
        <f>IF('V13_Marketing&amp;Comm.'!U11="","",'V13_Marketing&amp;Comm.'!U11)</f>
      </c>
      <c r="P107" t="s" s="85">
        <f>IF('V13_Marketing&amp;Comm.'!V11="","",'V13_Marketing&amp;Comm.'!V11)</f>
      </c>
      <c r="Q107" s="206"/>
      <c r="R107" t="s" s="123">
        <f>IF(OR('V13_Marketing&amp;Comm.'!X11="NE",'V13_Marketing&amp;Comm.'!X11=""),"",'V13_Marketing&amp;Comm.'!X11)</f>
        <v>58</v>
      </c>
      <c r="S107" t="s" s="140">
        <f>IF(OR('V13_Marketing&amp;Comm.'!Y11="NE",'V13_Marketing&amp;Comm.'!Y11=""),"",'V13_Marketing&amp;Comm.'!Y11)</f>
      </c>
      <c r="T107" s="207"/>
      <c r="U107" s="125">
        <f>IF(OR('V13_Marketing&amp;Comm.'!AA11="NE",'V13_Marketing&amp;Comm.'!AA11=""),"",'V13_Marketing&amp;Comm.'!AA11)</f>
        <v>0</v>
      </c>
      <c r="V107" s="126">
        <f>IF(OR('V13_Marketing&amp;Comm.'!AB11="NE",'V13_Marketing&amp;Comm.'!AB11=""),"",'V13_Marketing&amp;Comm.'!AB11)</f>
      </c>
      <c r="W107" s="225"/>
      <c r="X107" s="227"/>
      <c r="Y107" s="47"/>
      <c r="Z107" s="46"/>
    </row>
    <row r="108" ht="34.95" customHeight="1">
      <c r="A108" s="43"/>
      <c r="B108" s="44"/>
      <c r="C108" s="44"/>
      <c r="D108" s="47"/>
      <c r="E108" s="47"/>
      <c r="F108" s="47"/>
      <c r="G108" s="101"/>
      <c r="H108" s="47"/>
      <c r="I108" s="101"/>
      <c r="J108" s="101"/>
      <c r="K108" s="101"/>
      <c r="L108" s="101"/>
      <c r="M108" s="101"/>
      <c r="N108" s="101"/>
      <c r="O108" s="101"/>
      <c r="P108" s="101"/>
      <c r="Q108" s="103"/>
      <c r="R108" t="s" s="219">
        <f>IF(OR('V13_Marketing&amp;Comm.'!X14="NE",'V13_Marketing&amp;Comm.'!X14=""),"",'V13_Marketing&amp;Comm.'!X14)</f>
        <v>58</v>
      </c>
      <c r="S108" t="s" s="233">
        <f>IF(OR('V13_Marketing&amp;Comm.'!Y14="NE",'V13_Marketing&amp;Comm.'!Y14=""),"",'V13_Marketing&amp;Comm.'!Y14)</f>
      </c>
      <c r="T108" s="106"/>
      <c r="U108" s="221">
        <f>IF(OR('V13_Marketing&amp;Comm.'!AA14="NE",'V13_Marketing&amp;Comm.'!AA14=""),"",'V13_Marketing&amp;Comm.'!AA14)</f>
        <v>0</v>
      </c>
      <c r="V108" s="222">
        <f>IF(OR('V13_Marketing&amp;Comm.'!AB14="NE",'V13_Marketing&amp;Comm.'!AB14=""),"",'V13_Marketing&amp;Comm.'!AB14)</f>
      </c>
      <c r="W108" s="109"/>
      <c r="X108" s="47"/>
      <c r="Y108" s="47"/>
      <c r="Z108" s="46"/>
    </row>
    <row r="109" ht="48" customHeight="1">
      <c r="A109" s="43"/>
      <c r="B109" s="44"/>
      <c r="C109" s="44"/>
      <c r="D109" s="47"/>
      <c r="E109" s="47"/>
      <c r="F109" s="47"/>
      <c r="G109" s="47"/>
      <c r="H109" s="47"/>
      <c r="I109" s="47"/>
      <c r="J109" s="47"/>
      <c r="K109" s="47"/>
      <c r="L109" s="47"/>
      <c r="M109" s="47"/>
      <c r="N109" s="47"/>
      <c r="O109" s="47"/>
      <c r="P109" s="47"/>
      <c r="Q109" s="47"/>
      <c r="R109" s="241"/>
      <c r="S109" s="242"/>
      <c r="T109" s="47"/>
      <c r="U109" s="241"/>
      <c r="V109" s="241"/>
      <c r="W109" s="47"/>
      <c r="X109" s="47"/>
      <c r="Y109" s="47"/>
      <c r="Z109" s="46"/>
    </row>
    <row r="110" ht="14.4" customHeight="1">
      <c r="A110" s="43"/>
      <c r="B110" s="44"/>
      <c r="C110" s="44"/>
      <c r="D110" s="44"/>
      <c r="E110" s="44"/>
      <c r="F110" s="44"/>
      <c r="G110" s="44"/>
      <c r="H110" s="44"/>
      <c r="I110" s="44"/>
      <c r="J110" s="44"/>
      <c r="K110" s="44"/>
      <c r="L110" s="44"/>
      <c r="M110" s="44"/>
      <c r="N110" s="44"/>
      <c r="O110" s="44"/>
      <c r="P110" s="44"/>
      <c r="Q110" s="44"/>
      <c r="R110" s="44"/>
      <c r="S110" s="44"/>
      <c r="T110" s="44"/>
      <c r="U110" s="44"/>
      <c r="V110" s="44"/>
      <c r="W110" s="44"/>
      <c r="X110" s="44"/>
      <c r="Y110" s="44"/>
      <c r="Z110" s="46"/>
    </row>
    <row r="111" ht="14.4" customHeight="1">
      <c r="A111" s="243"/>
      <c r="B111" s="244"/>
      <c r="C111" s="244"/>
      <c r="D111" s="244"/>
      <c r="E111" s="244"/>
      <c r="F111" s="244"/>
      <c r="G111" s="244"/>
      <c r="H111" s="244"/>
      <c r="I111" s="244"/>
      <c r="J111" s="244"/>
      <c r="K111" s="244"/>
      <c r="L111" s="244"/>
      <c r="M111" s="244"/>
      <c r="N111" s="244"/>
      <c r="O111" s="244"/>
      <c r="P111" s="244"/>
      <c r="Q111" s="244"/>
      <c r="R111" s="244"/>
      <c r="S111" s="244"/>
      <c r="T111" s="244"/>
      <c r="U111" s="244"/>
      <c r="V111" s="244"/>
      <c r="W111" s="244"/>
      <c r="X111" s="244"/>
      <c r="Y111" s="244"/>
      <c r="Z111" s="245"/>
    </row>
  </sheetData>
  <mergeCells count="16">
    <mergeCell ref="A8:C37"/>
    <mergeCell ref="X9:X12"/>
    <mergeCell ref="X16:X20"/>
    <mergeCell ref="X24:X30"/>
    <mergeCell ref="X34:X37"/>
    <mergeCell ref="X73:X76"/>
    <mergeCell ref="A79:C107"/>
    <mergeCell ref="X80:X84"/>
    <mergeCell ref="X88:X93"/>
    <mergeCell ref="X97:X101"/>
    <mergeCell ref="X105:X107"/>
    <mergeCell ref="A40:C76"/>
    <mergeCell ref="X41:X44"/>
    <mergeCell ref="X48:X52"/>
    <mergeCell ref="X56:X60"/>
    <mergeCell ref="X64:X69"/>
  </mergeCells>
  <conditionalFormatting sqref="I8:P12 P13 I15:P20 I23:P30 I33:P37 I40:P44 I47:P52 I55:P60 I63:P69 I72:P76 I79:P84 I87:P93 I96:P101 I104:P107">
    <cfRule type="cellIs" dxfId="0" priority="1" operator="equal" stopIfTrue="1">
      <formula>3</formula>
    </cfRule>
    <cfRule type="cellIs" dxfId="1" priority="2" operator="equal" stopIfTrue="1">
      <formula>2</formula>
    </cfRule>
    <cfRule type="cellIs" dxfId="2" priority="3" operator="equal" stopIfTrue="1">
      <formula>1</formula>
    </cfRule>
  </conditionalFormatting>
  <pageMargins left="0.7" right="0.7" top="0.75" bottom="0.75" header="0.3" footer="0.3"/>
  <pageSetup firstPageNumber="1" fitToHeight="1" fitToWidth="1" scale="100" useFirstPageNumber="0" orientation="portrait" pageOrder="downThenOver"/>
  <headerFooter>
    <oddFooter>&amp;C&amp;"Helvetica Neue,Regular"&amp;12&amp;K000000&amp;P</oddFooter>
  </headerFooter>
  <drawing r:id="rId1"/>
</worksheet>
</file>

<file path=xl/worksheets/sheet5.xml><?xml version="1.0" encoding="utf-8"?>
<worksheet xmlns:r="http://schemas.openxmlformats.org/officeDocument/2006/relationships" xmlns="http://schemas.openxmlformats.org/spreadsheetml/2006/main">
  <dimension ref="A1:V20"/>
  <sheetViews>
    <sheetView workbookViewId="0" showGridLines="0" defaultGridColor="1"/>
  </sheetViews>
  <sheetFormatPr defaultColWidth="10.8333" defaultRowHeight="14.4" customHeight="1" outlineLevelRow="0" outlineLevelCol="0"/>
  <cols>
    <col min="1" max="1" width="5.85156" style="246" customWidth="1"/>
    <col min="2" max="3" hidden="1" width="10.8333" style="246" customWidth="1"/>
    <col min="4" max="4" width="5.85156" style="246" customWidth="1"/>
    <col min="5" max="5" width="25.3516" style="246" customWidth="1"/>
    <col min="6" max="6" width="36.1719" style="246" customWidth="1"/>
    <col min="7" max="8" width="19.1719" style="246" customWidth="1"/>
    <col min="9" max="9" width="15.6719" style="246" customWidth="1"/>
    <col min="10" max="10" width="42.3516" style="246" customWidth="1"/>
    <col min="11" max="11" width="1.85156" style="246" customWidth="1"/>
    <col min="12" max="12" width="11.5" style="246" customWidth="1"/>
    <col min="13" max="13" width="13" style="246" customWidth="1"/>
    <col min="14" max="14" width="1.85156" style="246" customWidth="1"/>
    <col min="15" max="15" width="33.1719" style="246" customWidth="1"/>
    <col min="16" max="17" width="5.85156" style="246" customWidth="1"/>
    <col min="18" max="18" width="27" style="246" customWidth="1"/>
    <col min="19" max="22" width="10.8516" style="246" customWidth="1"/>
    <col min="23" max="16384" width="10.8516" style="246" customWidth="1"/>
  </cols>
  <sheetData>
    <row r="1" ht="19.8" customHeight="1">
      <c r="A1" s="247"/>
      <c r="B1" s="248"/>
      <c r="C1" s="248"/>
      <c r="D1" s="248"/>
      <c r="E1" s="248"/>
      <c r="F1" s="248"/>
      <c r="G1" s="248"/>
      <c r="H1" s="248"/>
      <c r="I1" s="248"/>
      <c r="J1" s="248"/>
      <c r="K1" s="248"/>
      <c r="L1" s="248"/>
      <c r="M1" s="248"/>
      <c r="N1" s="248"/>
      <c r="O1" s="248"/>
      <c r="P1" s="248"/>
      <c r="Q1" s="248"/>
      <c r="R1" s="249"/>
      <c r="S1" s="249"/>
      <c r="T1" s="249"/>
      <c r="U1" s="249"/>
      <c r="V1" s="250"/>
    </row>
    <row r="2" ht="30.6" customHeight="1">
      <c r="A2" s="251"/>
      <c r="B2" s="252"/>
      <c r="C2" s="252"/>
      <c r="D2" s="252"/>
      <c r="E2" s="252"/>
      <c r="F2" s="252"/>
      <c r="G2" s="252"/>
      <c r="H2" t="s" s="45">
        <v>222</v>
      </c>
      <c r="I2" s="252"/>
      <c r="J2" s="252"/>
      <c r="K2" s="252"/>
      <c r="L2" s="252"/>
      <c r="M2" s="252"/>
      <c r="N2" s="252"/>
      <c r="O2" s="252"/>
      <c r="P2" s="252"/>
      <c r="Q2" s="252"/>
      <c r="R2" s="47"/>
      <c r="S2" s="47"/>
      <c r="T2" s="47"/>
      <c r="U2" s="47"/>
      <c r="V2" s="253"/>
    </row>
    <row r="3" ht="20.4" customHeight="1">
      <c r="A3" s="251"/>
      <c r="B3" s="252"/>
      <c r="C3" s="252"/>
      <c r="D3" s="252"/>
      <c r="E3" s="252"/>
      <c r="F3" s="252"/>
      <c r="G3" s="252"/>
      <c r="H3" s="252"/>
      <c r="I3" s="252"/>
      <c r="J3" s="252"/>
      <c r="K3" s="252"/>
      <c r="L3" s="252"/>
      <c r="M3" s="252"/>
      <c r="N3" s="252"/>
      <c r="O3" s="252"/>
      <c r="P3" s="252"/>
      <c r="Q3" s="252"/>
      <c r="R3" s="47"/>
      <c r="S3" s="47"/>
      <c r="T3" s="47"/>
      <c r="U3" s="47"/>
      <c r="V3" s="253"/>
    </row>
    <row r="4" ht="30" customHeight="1">
      <c r="A4" s="251"/>
      <c r="B4" s="47"/>
      <c r="C4" s="47"/>
      <c r="D4" s="47"/>
      <c r="E4" s="254"/>
      <c r="F4" s="254"/>
      <c r="G4" s="255"/>
      <c r="H4" s="255"/>
      <c r="I4" s="47"/>
      <c r="J4" s="48"/>
      <c r="K4" s="47"/>
      <c r="L4" s="47"/>
      <c r="M4" s="47"/>
      <c r="N4" s="47"/>
      <c r="O4" s="47"/>
      <c r="P4" s="47"/>
      <c r="Q4" s="252"/>
      <c r="R4" s="47"/>
      <c r="S4" s="47"/>
      <c r="T4" s="47"/>
      <c r="U4" s="47"/>
      <c r="V4" s="253"/>
    </row>
    <row r="5" ht="40.2" customHeight="1">
      <c r="A5" s="251"/>
      <c r="B5" s="47"/>
      <c r="C5" s="47"/>
      <c r="D5" s="47"/>
      <c r="E5" s="255"/>
      <c r="F5" s="255"/>
      <c r="G5" t="s" s="256">
        <v>22</v>
      </c>
      <c r="H5" t="s" s="257">
        <v>223</v>
      </c>
      <c r="I5" s="47"/>
      <c r="J5" s="48"/>
      <c r="K5" s="47"/>
      <c r="L5" s="47"/>
      <c r="M5" s="47"/>
      <c r="N5" s="47"/>
      <c r="O5" s="47"/>
      <c r="P5" s="47"/>
      <c r="Q5" s="252"/>
      <c r="R5" s="47"/>
      <c r="S5" s="47"/>
      <c r="T5" s="47"/>
      <c r="U5" s="47"/>
      <c r="V5" s="253"/>
    </row>
    <row r="6" ht="34.95" customHeight="1">
      <c r="A6" s="251"/>
      <c r="B6" s="47"/>
      <c r="C6" s="258">
        <v>1</v>
      </c>
      <c r="D6" s="47"/>
      <c r="E6" t="s" s="259">
        <f>"Vecteur "&amp;C6</f>
        <v>33</v>
      </c>
      <c r="F6" t="s" s="260">
        <f>VLOOKUP(C6,'BDD'!$B$1:$C$667,2,FALSE)</f>
        <v>224</v>
      </c>
      <c r="G6" s="261">
        <v>0</v>
      </c>
      <c r="H6" s="262">
        <v>0</v>
      </c>
      <c r="I6" s="55"/>
      <c r="J6" s="48"/>
      <c r="K6" s="47"/>
      <c r="L6" s="47"/>
      <c r="M6" s="47"/>
      <c r="N6" s="47"/>
      <c r="O6" s="47"/>
      <c r="P6" s="47"/>
      <c r="Q6" s="252"/>
      <c r="R6" s="47"/>
      <c r="S6" s="47"/>
      <c r="T6" s="47"/>
      <c r="U6" s="47"/>
      <c r="V6" s="253"/>
    </row>
    <row r="7" ht="34.95" customHeight="1">
      <c r="A7" s="251"/>
      <c r="B7" s="47"/>
      <c r="C7" s="258">
        <f>C6+1</f>
        <v>2</v>
      </c>
      <c r="D7" s="47"/>
      <c r="E7" t="s" s="259">
        <f>"Vecteur "&amp;C7</f>
        <v>46</v>
      </c>
      <c r="F7" t="s" s="260">
        <f>VLOOKUP(C7,'BDD'!$B$1:$C$667,2,FALSE)</f>
        <v>225</v>
      </c>
      <c r="G7" s="261">
        <v>0</v>
      </c>
      <c r="H7" s="263">
        <v>0</v>
      </c>
      <c r="I7" s="55"/>
      <c r="J7" s="48"/>
      <c r="K7" s="47"/>
      <c r="L7" s="47"/>
      <c r="M7" s="47"/>
      <c r="N7" s="47"/>
      <c r="O7" s="47"/>
      <c r="P7" s="47"/>
      <c r="Q7" s="252"/>
      <c r="R7" s="47"/>
      <c r="S7" s="47"/>
      <c r="T7" s="47"/>
      <c r="U7" s="47"/>
      <c r="V7" s="253"/>
    </row>
    <row r="8" ht="34.95" customHeight="1">
      <c r="A8" s="251"/>
      <c r="B8" s="47"/>
      <c r="C8" s="258">
        <f>C7+1</f>
        <v>3</v>
      </c>
      <c r="D8" s="47"/>
      <c r="E8" t="s" s="259">
        <f>"Vecteur "&amp;C8</f>
        <v>63</v>
      </c>
      <c r="F8" t="s" s="260">
        <f>VLOOKUP(C8,'BDD'!$B$1:$C$667,2,FALSE)</f>
        <v>226</v>
      </c>
      <c r="G8" s="261">
        <f>'V3_ Risques&amp;Conformité'!Z17</f>
        <v>0</v>
      </c>
      <c r="H8" s="263">
        <f>'V3_ Risques&amp;Conformité'!AA17</f>
      </c>
      <c r="I8" s="55"/>
      <c r="J8" s="48"/>
      <c r="K8" s="47"/>
      <c r="L8" s="47"/>
      <c r="M8" s="47"/>
      <c r="N8" s="47"/>
      <c r="O8" s="47"/>
      <c r="P8" s="47"/>
      <c r="Q8" s="252"/>
      <c r="R8" s="47"/>
      <c r="S8" s="47"/>
      <c r="T8" s="47"/>
      <c r="U8" s="47"/>
      <c r="V8" s="253"/>
    </row>
    <row r="9" ht="34.95" customHeight="1">
      <c r="A9" s="251"/>
      <c r="B9" s="47"/>
      <c r="C9" s="258">
        <f>C8+1</f>
        <v>4</v>
      </c>
      <c r="D9" s="47"/>
      <c r="E9" t="s" s="259">
        <f>"Vecteur "&amp;C9</f>
        <v>80</v>
      </c>
      <c r="F9" t="s" s="260">
        <f>VLOOKUP(C9,'BDD'!$B$1:$C$667,2,FALSE)</f>
        <v>227</v>
      </c>
      <c r="G9" s="261">
        <v>0</v>
      </c>
      <c r="H9" s="263">
        <v>0</v>
      </c>
      <c r="I9" s="55"/>
      <c r="J9" s="48"/>
      <c r="K9" s="47"/>
      <c r="L9" s="47"/>
      <c r="M9" s="47"/>
      <c r="N9" s="47"/>
      <c r="O9" s="47"/>
      <c r="P9" s="47"/>
      <c r="Q9" s="252"/>
      <c r="R9" s="47"/>
      <c r="S9" s="47"/>
      <c r="T9" s="47"/>
      <c r="U9" s="47"/>
      <c r="V9" s="253"/>
    </row>
    <row r="10" ht="34.95" customHeight="1">
      <c r="A10" s="251"/>
      <c r="B10" s="47"/>
      <c r="C10" s="258">
        <f>C9+1</f>
        <v>5</v>
      </c>
      <c r="D10" s="47"/>
      <c r="E10" t="s" s="264">
        <f>"Vecteur "&amp;C10</f>
        <v>94</v>
      </c>
      <c r="F10" t="s" s="265">
        <f>VLOOKUP(C10,'BDD'!$B$1:$C$667,2,FALSE)</f>
        <v>228</v>
      </c>
      <c r="G10" s="261">
        <f>'V5_Données&amp;IA'!Z15</f>
        <v>0</v>
      </c>
      <c r="H10" s="263">
        <f>'V5_Données&amp;IA'!AA15</f>
      </c>
      <c r="I10" s="55"/>
      <c r="J10" s="48"/>
      <c r="K10" s="47"/>
      <c r="L10" s="47"/>
      <c r="M10" s="47"/>
      <c r="N10" s="47"/>
      <c r="O10" s="47"/>
      <c r="P10" s="47"/>
      <c r="Q10" s="252"/>
      <c r="R10" s="47"/>
      <c r="S10" s="47"/>
      <c r="T10" s="47"/>
      <c r="U10" s="47"/>
      <c r="V10" s="253"/>
    </row>
    <row r="11" ht="34.95" customHeight="1">
      <c r="A11" s="251"/>
      <c r="B11" s="47"/>
      <c r="C11" s="258">
        <f>C10+1</f>
        <v>6</v>
      </c>
      <c r="D11" s="47"/>
      <c r="E11" t="s" s="264">
        <f>"Vecteur "&amp;C11</f>
        <v>108</v>
      </c>
      <c r="F11" t="s" s="265">
        <f>VLOOKUP(C11,'BDD'!$B$1:$C$667,2,FALSE)</f>
        <v>229</v>
      </c>
      <c r="G11" s="261">
        <v>0</v>
      </c>
      <c r="H11" s="263">
        <v>0</v>
      </c>
      <c r="I11" s="55"/>
      <c r="J11" s="48"/>
      <c r="K11" s="47"/>
      <c r="L11" s="47"/>
      <c r="M11" s="47"/>
      <c r="N11" s="47"/>
      <c r="O11" s="47"/>
      <c r="P11" s="47"/>
      <c r="Q11" s="252"/>
      <c r="R11" s="47"/>
      <c r="S11" s="47"/>
      <c r="T11" s="47"/>
      <c r="U11" s="47"/>
      <c r="V11" s="253"/>
    </row>
    <row r="12" ht="34.95" customHeight="1">
      <c r="A12" s="251"/>
      <c r="B12" s="47"/>
      <c r="C12" s="258">
        <f>C11+1</f>
        <v>7</v>
      </c>
      <c r="D12" s="47"/>
      <c r="E12" t="s" s="264">
        <f>"Vecteur "&amp;C12</f>
        <v>123</v>
      </c>
      <c r="F12" t="s" s="265">
        <f>VLOOKUP(C12,'BDD'!$B$1:$C$667,2,FALSE)</f>
        <v>230</v>
      </c>
      <c r="G12" s="261">
        <v>0</v>
      </c>
      <c r="H12" s="263">
        <v>0</v>
      </c>
      <c r="I12" s="55"/>
      <c r="J12" s="48"/>
      <c r="K12" s="47"/>
      <c r="L12" s="47"/>
      <c r="M12" s="47"/>
      <c r="N12" s="47"/>
      <c r="O12" s="47"/>
      <c r="P12" s="47"/>
      <c r="Q12" s="252"/>
      <c r="R12" s="47"/>
      <c r="S12" s="47"/>
      <c r="T12" s="47"/>
      <c r="U12" s="47"/>
      <c r="V12" s="253"/>
    </row>
    <row r="13" ht="34.95" customHeight="1">
      <c r="A13" s="251"/>
      <c r="B13" s="47"/>
      <c r="C13" s="258">
        <f>C12+1</f>
        <v>8</v>
      </c>
      <c r="D13" s="47"/>
      <c r="E13" t="s" s="264">
        <f>"Vecteur "&amp;C13</f>
        <v>140</v>
      </c>
      <c r="F13" t="s" s="265">
        <f>VLOOKUP(C13,'BDD'!$B$1:$C$667,2,FALSE)</f>
        <v>231</v>
      </c>
      <c r="G13" s="261">
        <v>0</v>
      </c>
      <c r="H13" s="263">
        <v>0</v>
      </c>
      <c r="I13" s="55"/>
      <c r="J13" s="48"/>
      <c r="K13" s="47"/>
      <c r="L13" s="47"/>
      <c r="M13" s="47"/>
      <c r="N13" s="47"/>
      <c r="O13" s="47"/>
      <c r="P13" s="47"/>
      <c r="Q13" s="252"/>
      <c r="R13" s="47"/>
      <c r="S13" s="47"/>
      <c r="T13" s="47"/>
      <c r="U13" s="47"/>
      <c r="V13" s="253"/>
    </row>
    <row r="14" ht="34.95" customHeight="1">
      <c r="A14" s="251"/>
      <c r="B14" s="47"/>
      <c r="C14" s="258">
        <f>C13+1</f>
        <v>9</v>
      </c>
      <c r="D14" s="47"/>
      <c r="E14" t="s" s="264">
        <f>"Vecteur "&amp;C14</f>
        <v>153</v>
      </c>
      <c r="F14" t="s" s="265">
        <f>VLOOKUP(C14,'BDD'!$B$1:$C$667,2,FALSE)</f>
        <v>232</v>
      </c>
      <c r="G14" s="261">
        <f>'V9_ Services'!Z15</f>
        <v>0</v>
      </c>
      <c r="H14" s="263">
        <f>'V9_ Services'!AA15</f>
      </c>
      <c r="I14" s="55"/>
      <c r="J14" s="48"/>
      <c r="K14" s="47"/>
      <c r="L14" s="47"/>
      <c r="M14" s="47"/>
      <c r="N14" s="47"/>
      <c r="O14" s="47"/>
      <c r="P14" s="47"/>
      <c r="Q14" s="252"/>
      <c r="R14" s="47"/>
      <c r="S14" s="47"/>
      <c r="T14" s="47"/>
      <c r="U14" s="47"/>
      <c r="V14" s="253"/>
    </row>
    <row r="15" ht="34.95" customHeight="1">
      <c r="A15" s="251"/>
      <c r="B15" s="47"/>
      <c r="C15" s="258">
        <f>C14+1</f>
        <v>10</v>
      </c>
      <c r="D15" s="47"/>
      <c r="E15" t="s" s="266">
        <f>"Vecteur "&amp;C15</f>
        <v>169</v>
      </c>
      <c r="F15" t="s" s="267">
        <f>VLOOKUP(C15,'BDD'!$B$1:$C$667,2,FALSE)</f>
        <v>233</v>
      </c>
      <c r="G15" s="261">
        <v>0</v>
      </c>
      <c r="H15" s="263">
        <v>0</v>
      </c>
      <c r="I15" s="55"/>
      <c r="J15" s="48"/>
      <c r="K15" s="47"/>
      <c r="L15" s="47"/>
      <c r="M15" s="47"/>
      <c r="N15" s="47"/>
      <c r="O15" s="47"/>
      <c r="P15" s="47"/>
      <c r="Q15" s="252"/>
      <c r="R15" s="47"/>
      <c r="S15" s="47"/>
      <c r="T15" s="47"/>
      <c r="U15" s="47"/>
      <c r="V15" s="253"/>
    </row>
    <row r="16" ht="34.95" customHeight="1">
      <c r="A16" s="251"/>
      <c r="B16" s="47"/>
      <c r="C16" s="258">
        <f>C15+1</f>
        <v>11</v>
      </c>
      <c r="D16" s="47"/>
      <c r="E16" t="s" s="266">
        <f>"Vecteur "&amp;C16</f>
        <v>185</v>
      </c>
      <c r="F16" t="s" s="267">
        <f>VLOOKUP(C16,'BDD'!$B$1:$C$667,2,FALSE)</f>
        <v>234</v>
      </c>
      <c r="G16" s="261">
        <f>'V11_Presta&amp;Fournisseurs'!Z17</f>
        <v>0</v>
      </c>
      <c r="H16" s="263">
        <f>'V11_Presta&amp;Fournisseurs'!AA17</f>
      </c>
      <c r="I16" s="55"/>
      <c r="J16" s="48"/>
      <c r="K16" s="47"/>
      <c r="L16" s="47"/>
      <c r="M16" s="47"/>
      <c r="N16" s="47"/>
      <c r="O16" s="47"/>
      <c r="P16" s="47"/>
      <c r="Q16" s="252"/>
      <c r="R16" s="47"/>
      <c r="S16" s="47"/>
      <c r="T16" s="47"/>
      <c r="U16" s="47"/>
      <c r="V16" s="253"/>
    </row>
    <row r="17" ht="34.95" customHeight="1">
      <c r="A17" s="251"/>
      <c r="B17" s="47"/>
      <c r="C17" s="258">
        <f>C16+1</f>
        <v>12</v>
      </c>
      <c r="D17" s="47"/>
      <c r="E17" t="s" s="266">
        <f>"Vecteur "&amp;C17</f>
        <v>202</v>
      </c>
      <c r="F17" t="s" s="267">
        <f>VLOOKUP(C17,'BDD'!$B$1:$C$667,2,FALSE)</f>
        <v>235</v>
      </c>
      <c r="G17" s="261">
        <f>'V12_Budget&amp;Perf.'!AA16</f>
        <v>0</v>
      </c>
      <c r="H17" s="263">
        <f>'V12_Budget&amp;Perf.'!AB16</f>
      </c>
      <c r="I17" s="55"/>
      <c r="J17" s="48"/>
      <c r="K17" s="47"/>
      <c r="L17" s="47"/>
      <c r="M17" s="47"/>
      <c r="N17" s="47"/>
      <c r="O17" s="47"/>
      <c r="P17" s="47"/>
      <c r="Q17" s="252"/>
      <c r="R17" s="47"/>
      <c r="S17" s="47"/>
      <c r="T17" s="47"/>
      <c r="U17" s="47"/>
      <c r="V17" s="253"/>
    </row>
    <row r="18" ht="34.95" customHeight="1">
      <c r="A18" s="251"/>
      <c r="B18" s="47"/>
      <c r="C18" s="258">
        <f>C17+1</f>
        <v>13</v>
      </c>
      <c r="D18" s="47"/>
      <c r="E18" t="s" s="266">
        <f>"Vecteur "&amp;C18</f>
        <v>215</v>
      </c>
      <c r="F18" t="s" s="267">
        <f>VLOOKUP(C18,'BDD'!$B$1:$C$667,2,FALSE)</f>
        <v>236</v>
      </c>
      <c r="G18" s="268">
        <f>'V13_Marketing&amp;Comm.'!AA14</f>
        <v>0</v>
      </c>
      <c r="H18" s="263">
        <f>'V13_Marketing&amp;Comm.'!AB14</f>
      </c>
      <c r="I18" s="55"/>
      <c r="J18" s="48"/>
      <c r="K18" s="47"/>
      <c r="L18" s="47"/>
      <c r="M18" s="47"/>
      <c r="N18" s="47"/>
      <c r="O18" s="47"/>
      <c r="P18" s="47"/>
      <c r="Q18" s="252"/>
      <c r="R18" s="47"/>
      <c r="S18" s="47"/>
      <c r="T18" s="47"/>
      <c r="U18" s="47"/>
      <c r="V18" s="253"/>
    </row>
    <row r="19" ht="29.4" customHeight="1">
      <c r="A19" s="251"/>
      <c r="B19" s="47"/>
      <c r="C19" s="258">
        <f>C18+1</f>
        <v>14</v>
      </c>
      <c r="D19" s="47"/>
      <c r="E19" s="269"/>
      <c r="F19" s="269"/>
      <c r="G19" s="59"/>
      <c r="H19" s="59"/>
      <c r="I19" s="47"/>
      <c r="J19" s="48"/>
      <c r="K19" s="47"/>
      <c r="L19" s="47"/>
      <c r="M19" s="47"/>
      <c r="N19" s="47"/>
      <c r="O19" s="47"/>
      <c r="P19" s="47"/>
      <c r="Q19" s="252"/>
      <c r="R19" s="47"/>
      <c r="S19" s="47"/>
      <c r="T19" s="47"/>
      <c r="U19" s="47"/>
      <c r="V19" s="253"/>
    </row>
    <row r="20" ht="28.8" customHeight="1">
      <c r="A20" s="270"/>
      <c r="B20" s="271"/>
      <c r="C20" s="271"/>
      <c r="D20" s="272"/>
      <c r="E20" s="272"/>
      <c r="F20" s="272"/>
      <c r="G20" s="272"/>
      <c r="H20" s="272"/>
      <c r="I20" s="272"/>
      <c r="J20" s="272"/>
      <c r="K20" s="272"/>
      <c r="L20" s="272"/>
      <c r="M20" s="272"/>
      <c r="N20" s="272"/>
      <c r="O20" s="272"/>
      <c r="P20" s="272"/>
      <c r="Q20" s="272"/>
      <c r="R20" s="273"/>
      <c r="S20" s="273"/>
      <c r="T20" s="273"/>
      <c r="U20" s="273"/>
      <c r="V20" s="274"/>
    </row>
  </sheetData>
  <pageMargins left="0.7" right="0.7" top="0.75" bottom="0.75" header="0.3" footer="0.3"/>
  <pageSetup firstPageNumber="1" fitToHeight="1" fitToWidth="1" scale="100" useFirstPageNumber="0" orientation="portrait" pageOrder="downThenOver"/>
  <headerFooter>
    <oddFooter>&amp;C&amp;"Helvetica Neue,Regular"&amp;12&amp;K000000&amp;P</oddFooter>
  </headerFooter>
  <drawing r:id="rId1"/>
</worksheet>
</file>

<file path=xl/worksheets/sheet6.xml><?xml version="1.0" encoding="utf-8"?>
<worksheet xmlns:r="http://schemas.openxmlformats.org/officeDocument/2006/relationships" xmlns="http://schemas.openxmlformats.org/spreadsheetml/2006/main">
  <dimension ref="A1:S667"/>
  <sheetViews>
    <sheetView workbookViewId="0" showGridLines="0" defaultGridColor="1"/>
  </sheetViews>
  <sheetFormatPr defaultColWidth="10.8333" defaultRowHeight="18" customHeight="1" outlineLevelRow="0" outlineLevelCol="0"/>
  <cols>
    <col min="1" max="1" width="4.5" style="275" customWidth="1"/>
    <col min="2" max="3" width="9.85156" style="275" customWidth="1"/>
    <col min="4" max="4" width="27.6719" style="275" customWidth="1"/>
    <col min="5" max="5" width="5.5" style="275" customWidth="1"/>
    <col min="6" max="6" width="18.5" style="275" customWidth="1"/>
    <col min="7" max="7" width="36" style="275" customWidth="1"/>
    <col min="8" max="8" width="18.5" style="275" customWidth="1"/>
    <col min="9" max="9" width="11.5" style="275" customWidth="1"/>
    <col min="10" max="10" width="149.352" style="275" customWidth="1"/>
    <col min="11" max="11" width="7.67188" style="275" customWidth="1"/>
    <col min="12" max="12" width="36.6719" style="275" customWidth="1"/>
    <col min="13" max="13" width="44.6719" style="275" customWidth="1"/>
    <col min="14" max="14" width="15.1719" style="275" customWidth="1"/>
    <col min="15" max="15" width="16.5" style="275" customWidth="1"/>
    <col min="16" max="16" width="11.3516" style="275" customWidth="1"/>
    <col min="17" max="17" width="17.8516" style="275" customWidth="1"/>
    <col min="18" max="18" width="38.8516" style="275" customWidth="1"/>
    <col min="19" max="19" width="11.5" style="275" customWidth="1"/>
    <col min="20" max="16384" width="10.8516" style="275" customWidth="1"/>
  </cols>
  <sheetData>
    <row r="1" ht="28.8" customHeight="1">
      <c r="A1" t="s" s="276">
        <v>237</v>
      </c>
      <c r="B1" t="s" s="277">
        <v>238</v>
      </c>
      <c r="C1" t="s" s="278">
        <v>10</v>
      </c>
      <c r="D1" t="s" s="278">
        <v>239</v>
      </c>
      <c r="E1" t="s" s="279">
        <v>240</v>
      </c>
      <c r="F1" t="s" s="278">
        <v>11</v>
      </c>
      <c r="G1" t="s" s="280">
        <v>241</v>
      </c>
      <c r="H1" t="s" s="281">
        <v>242</v>
      </c>
      <c r="I1" t="s" s="278">
        <v>243</v>
      </c>
      <c r="J1" t="s" s="278">
        <v>244</v>
      </c>
      <c r="K1" t="s" s="278">
        <v>245</v>
      </c>
      <c r="L1" t="s" s="282">
        <v>246</v>
      </c>
      <c r="M1" t="s" s="278">
        <v>247</v>
      </c>
      <c r="N1" t="s" s="278">
        <v>248</v>
      </c>
      <c r="O1" t="s" s="283">
        <v>249</v>
      </c>
      <c r="P1" t="s" s="278">
        <v>250</v>
      </c>
      <c r="Q1" s="284"/>
      <c r="R1" s="285"/>
      <c r="S1" s="286"/>
    </row>
    <row r="2" ht="15" customHeight="1">
      <c r="A2" t="s" s="276">
        <f>B2&amp;E2&amp;I2</f>
        <v>25</v>
      </c>
      <c r="B2" s="287">
        <v>1</v>
      </c>
      <c r="C2" t="s" s="288">
        <v>224</v>
      </c>
      <c r="D2" t="s" s="288">
        <v>251</v>
      </c>
      <c r="E2" s="289">
        <v>1</v>
      </c>
      <c r="F2" t="s" s="290">
        <v>252</v>
      </c>
      <c r="G2" t="s" s="290">
        <v>253</v>
      </c>
      <c r="H2" t="s" s="291">
        <v>254</v>
      </c>
      <c r="I2" s="292">
        <v>1</v>
      </c>
      <c r="J2" t="s" s="288">
        <v>255</v>
      </c>
      <c r="K2" t="s" s="288">
        <v>256</v>
      </c>
      <c r="L2" t="s" s="293">
        <v>257</v>
      </c>
      <c r="M2" t="s" s="294">
        <v>258</v>
      </c>
      <c r="N2" t="s" s="295">
        <v>259</v>
      </c>
      <c r="O2" s="296">
        <f>_xlfn.IFERROR(VLOOKUP($P2,'Suppl'!$B$2:$N$57,MATCH($B2,'Suppl'!$C$1:$N$1,0)+1,FALSE),"")</f>
        <v>0</v>
      </c>
      <c r="P2" t="s" s="288">
        <f>E2&amp;I2</f>
        <v>260</v>
      </c>
      <c r="Q2" s="286"/>
      <c r="R2" s="297"/>
      <c r="S2" s="298"/>
    </row>
    <row r="3" ht="15" customHeight="1">
      <c r="A3" t="s" s="276">
        <f>B3&amp;E3&amp;I3</f>
        <v>261</v>
      </c>
      <c r="B3" s="299">
        <f>B2</f>
        <v>1</v>
      </c>
      <c r="C3" t="s" s="300">
        <f>C2</f>
        <v>224</v>
      </c>
      <c r="D3" t="s" s="300">
        <v>251</v>
      </c>
      <c r="E3" s="301">
        <v>1</v>
      </c>
      <c r="F3" t="s" s="302">
        <v>252</v>
      </c>
      <c r="G3" t="s" s="303">
        <v>253</v>
      </c>
      <c r="H3" t="s" s="304">
        <v>171</v>
      </c>
      <c r="I3" s="305">
        <v>2</v>
      </c>
      <c r="J3" t="s" s="306">
        <v>262</v>
      </c>
      <c r="K3" t="s" s="306">
        <v>263</v>
      </c>
      <c r="L3" t="s" s="307">
        <v>264</v>
      </c>
      <c r="M3" t="s" s="308">
        <v>265</v>
      </c>
      <c r="N3" t="s" s="309">
        <v>266</v>
      </c>
      <c r="O3" s="310">
        <f>_xlfn.IFERROR(VLOOKUP($P3,'Suppl'!$B$2:$N$57,MATCH($B3,'Suppl'!$C$1:$N$1,0)+1,FALSE),"")</f>
        <v>0</v>
      </c>
      <c r="P3" t="s" s="306">
        <f>E3&amp;I3</f>
        <v>267</v>
      </c>
      <c r="Q3" s="286"/>
      <c r="R3" s="298"/>
      <c r="S3" s="298"/>
    </row>
    <row r="4" ht="15" customHeight="1">
      <c r="A4" t="s" s="276">
        <f>B4&amp;E4&amp;I4</f>
        <v>268</v>
      </c>
      <c r="B4" s="299">
        <f>B3</f>
        <v>1</v>
      </c>
      <c r="C4" t="s" s="300">
        <f>C3</f>
        <v>269</v>
      </c>
      <c r="D4" t="s" s="300">
        <v>251</v>
      </c>
      <c r="E4" s="301">
        <v>1</v>
      </c>
      <c r="F4" t="s" s="302">
        <v>252</v>
      </c>
      <c r="G4" t="s" s="303">
        <v>253</v>
      </c>
      <c r="H4" t="s" s="304">
        <v>171</v>
      </c>
      <c r="I4" s="305">
        <v>3</v>
      </c>
      <c r="J4" t="s" s="306">
        <v>270</v>
      </c>
      <c r="K4" t="s" s="306">
        <v>271</v>
      </c>
      <c r="L4" t="s" s="307">
        <v>272</v>
      </c>
      <c r="M4" t="s" s="308">
        <v>273</v>
      </c>
      <c r="N4" t="s" s="309">
        <v>274</v>
      </c>
      <c r="O4" s="310">
        <f>_xlfn.IFERROR(VLOOKUP($P4,'Suppl'!$B$2:$N$57,MATCH($B4,'Suppl'!$C$1:$N$1,0)+1,FALSE),"")</f>
        <v>0</v>
      </c>
      <c r="P4" t="s" s="306">
        <f>E4&amp;I4</f>
        <v>275</v>
      </c>
      <c r="Q4" s="286"/>
      <c r="R4" s="298"/>
      <c r="S4" s="298"/>
    </row>
    <row r="5" ht="15" customHeight="1">
      <c r="A5" t="s" s="276">
        <f>B5&amp;E5&amp;I5</f>
        <v>276</v>
      </c>
      <c r="B5" s="299">
        <f>B4</f>
        <v>1</v>
      </c>
      <c r="C5" t="s" s="300">
        <f>C4</f>
        <v>269</v>
      </c>
      <c r="D5" t="s" s="300">
        <v>251</v>
      </c>
      <c r="E5" s="301">
        <v>1</v>
      </c>
      <c r="F5" t="s" s="302">
        <v>252</v>
      </c>
      <c r="G5" t="s" s="303">
        <v>253</v>
      </c>
      <c r="H5" t="s" s="304">
        <v>171</v>
      </c>
      <c r="I5" s="305">
        <v>4</v>
      </c>
      <c r="J5" t="s" s="306">
        <v>277</v>
      </c>
      <c r="K5" t="s" s="306">
        <v>271</v>
      </c>
      <c r="L5" t="s" s="307">
        <v>278</v>
      </c>
      <c r="M5" s="311"/>
      <c r="N5" t="s" s="309">
        <v>279</v>
      </c>
      <c r="O5" s="310">
        <f>_xlfn.IFERROR(VLOOKUP($P5,'Suppl'!$B$2:$N$57,MATCH($B5,'Suppl'!$C$1:$N$1,0)+1,FALSE),"")</f>
        <v>0</v>
      </c>
      <c r="P5" t="s" s="306">
        <f>E5&amp;I5</f>
        <v>280</v>
      </c>
      <c r="Q5" s="286"/>
      <c r="R5" s="298"/>
      <c r="S5" s="298"/>
    </row>
    <row r="6" ht="15" customHeight="1">
      <c r="A6" t="s" s="276">
        <f>B6&amp;E6&amp;I6</f>
        <v>281</v>
      </c>
      <c r="B6" s="299">
        <f>B5</f>
        <v>1</v>
      </c>
      <c r="C6" t="s" s="300">
        <f>C5</f>
        <v>269</v>
      </c>
      <c r="D6" t="s" s="300">
        <v>251</v>
      </c>
      <c r="E6" s="301">
        <v>1</v>
      </c>
      <c r="F6" t="s" s="302">
        <v>252</v>
      </c>
      <c r="G6" t="s" s="303">
        <v>253</v>
      </c>
      <c r="H6" t="s" s="304">
        <v>171</v>
      </c>
      <c r="I6" s="305">
        <v>5</v>
      </c>
      <c r="J6" t="s" s="306">
        <v>282</v>
      </c>
      <c r="K6" t="s" s="306">
        <v>283</v>
      </c>
      <c r="L6" s="312"/>
      <c r="M6" s="311"/>
      <c r="N6" s="313"/>
      <c r="O6" s="310">
        <f>_xlfn.IFERROR(VLOOKUP($P6,'Suppl'!$B$2:$N$57,MATCH($B6,'Suppl'!$C$1:$N$1,0)+1,FALSE),"")</f>
        <v>0</v>
      </c>
      <c r="P6" t="s" s="306">
        <f>E6&amp;I6</f>
        <v>284</v>
      </c>
      <c r="Q6" s="286"/>
      <c r="R6" s="298"/>
      <c r="S6" s="298"/>
    </row>
    <row r="7" ht="15" customHeight="1">
      <c r="A7" t="s" s="276">
        <f>B7&amp;E7&amp;I7</f>
        <v>285</v>
      </c>
      <c r="B7" s="299">
        <f>B6</f>
        <v>1</v>
      </c>
      <c r="C7" t="s" s="300">
        <f>C6</f>
        <v>269</v>
      </c>
      <c r="D7" t="s" s="300">
        <v>251</v>
      </c>
      <c r="E7" s="301">
        <v>1</v>
      </c>
      <c r="F7" t="s" s="302">
        <v>252</v>
      </c>
      <c r="G7" t="s" s="303">
        <v>253</v>
      </c>
      <c r="H7" t="s" s="304">
        <v>171</v>
      </c>
      <c r="I7" s="305">
        <v>6</v>
      </c>
      <c r="J7" t="s" s="306">
        <v>286</v>
      </c>
      <c r="K7" t="s" s="306">
        <v>271</v>
      </c>
      <c r="L7" t="s" s="307">
        <v>287</v>
      </c>
      <c r="M7" s="311"/>
      <c r="N7" s="313"/>
      <c r="O7" s="310">
        <f>_xlfn.IFERROR(VLOOKUP($P7,'Suppl'!$B$2:$N$57,MATCH($B7,'Suppl'!$C$1:$N$1,0)+1,FALSE),"")</f>
        <v>0</v>
      </c>
      <c r="P7" t="s" s="306">
        <f>E7&amp;I7</f>
        <v>288</v>
      </c>
      <c r="Q7" s="286"/>
      <c r="R7" s="298"/>
      <c r="S7" s="298"/>
    </row>
    <row r="8" ht="15" customHeight="1">
      <c r="A8" t="s" s="276">
        <f>B8&amp;E8&amp;I8</f>
        <v>289</v>
      </c>
      <c r="B8" s="314">
        <f>B7</f>
        <v>1</v>
      </c>
      <c r="C8" t="s" s="315">
        <f>C7</f>
        <v>269</v>
      </c>
      <c r="D8" t="s" s="315">
        <v>251</v>
      </c>
      <c r="E8" s="316">
        <v>1</v>
      </c>
      <c r="F8" t="s" s="317">
        <v>252</v>
      </c>
      <c r="G8" t="s" s="318">
        <v>253</v>
      </c>
      <c r="H8" t="s" s="304">
        <v>171</v>
      </c>
      <c r="I8" s="319">
        <v>7</v>
      </c>
      <c r="J8" t="s" s="320">
        <v>290</v>
      </c>
      <c r="K8" t="s" s="320">
        <v>291</v>
      </c>
      <c r="L8" s="321"/>
      <c r="M8" s="322"/>
      <c r="N8" s="323"/>
      <c r="O8" s="324">
        <f>_xlfn.IFERROR(VLOOKUP($P8,'Suppl'!$B$2:$N$57,MATCH($B8,'Suppl'!$C$1:$N$1,0)+1,FALSE),"")</f>
        <v>0</v>
      </c>
      <c r="P8" t="s" s="320">
        <f>E8&amp;I8</f>
        <v>292</v>
      </c>
      <c r="Q8" s="286"/>
      <c r="R8" s="298"/>
      <c r="S8" s="298"/>
    </row>
    <row r="9" ht="15" customHeight="1">
      <c r="A9" t="s" s="276">
        <f>B9&amp;E9&amp;I9</f>
        <v>30</v>
      </c>
      <c r="B9" s="325">
        <f>B8</f>
        <v>1</v>
      </c>
      <c r="C9" t="s" s="326">
        <f>C8</f>
        <v>269</v>
      </c>
      <c r="D9" t="s" s="326">
        <v>251</v>
      </c>
      <c r="E9" s="289">
        <v>2</v>
      </c>
      <c r="F9" t="s" s="290">
        <v>293</v>
      </c>
      <c r="G9" t="s" s="290">
        <v>294</v>
      </c>
      <c r="H9" t="s" s="304">
        <v>295</v>
      </c>
      <c r="I9" s="292">
        <v>1</v>
      </c>
      <c r="J9" t="s" s="288">
        <v>296</v>
      </c>
      <c r="K9" t="s" s="288">
        <v>271</v>
      </c>
      <c r="L9" s="327"/>
      <c r="M9" t="s" s="288">
        <v>171</v>
      </c>
      <c r="N9" s="328"/>
      <c r="O9" s="296">
        <f>_xlfn.IFERROR(VLOOKUP($P9,'Suppl'!$B$2:$N$57,MATCH($B9,'Suppl'!$C$1:$N$1,0)+1,FALSE),"")</f>
        <v>0</v>
      </c>
      <c r="P9" t="s" s="288">
        <f>E9&amp;I9</f>
        <v>297</v>
      </c>
      <c r="Q9" s="286"/>
      <c r="R9" s="298"/>
      <c r="S9" s="298"/>
    </row>
    <row r="10" ht="15" customHeight="1">
      <c r="A10" t="s" s="276">
        <f>B10&amp;E10&amp;I10</f>
        <v>298</v>
      </c>
      <c r="B10" s="299">
        <f>B9</f>
        <v>1</v>
      </c>
      <c r="C10" t="s" s="300">
        <f>C9</f>
        <v>269</v>
      </c>
      <c r="D10" t="s" s="300">
        <v>251</v>
      </c>
      <c r="E10" s="301">
        <v>2</v>
      </c>
      <c r="F10" t="s" s="302">
        <v>293</v>
      </c>
      <c r="G10" t="s" s="303">
        <v>294</v>
      </c>
      <c r="H10" t="s" s="304">
        <v>171</v>
      </c>
      <c r="I10" s="305">
        <v>2</v>
      </c>
      <c r="J10" t="s" s="306">
        <v>299</v>
      </c>
      <c r="K10" t="s" s="306">
        <v>263</v>
      </c>
      <c r="L10" s="312"/>
      <c r="M10" s="284"/>
      <c r="N10" s="284"/>
      <c r="O10" s="310">
        <f>_xlfn.IFERROR(VLOOKUP($P10,'Suppl'!$B$2:$N$57,MATCH($B10,'Suppl'!$C$1:$N$1,0)+1,FALSE),"")</f>
        <v>0</v>
      </c>
      <c r="P10" t="s" s="306">
        <f>E10&amp;I10</f>
        <v>300</v>
      </c>
      <c r="Q10" s="286"/>
      <c r="R10" s="298"/>
      <c r="S10" s="298"/>
    </row>
    <row r="11" ht="15" customHeight="1">
      <c r="A11" t="s" s="276">
        <f>B11&amp;E11&amp;I11</f>
        <v>301</v>
      </c>
      <c r="B11" s="299">
        <f>B10</f>
        <v>1</v>
      </c>
      <c r="C11" t="s" s="300">
        <f>C10</f>
        <v>269</v>
      </c>
      <c r="D11" t="s" s="300">
        <v>251</v>
      </c>
      <c r="E11" s="301">
        <v>2</v>
      </c>
      <c r="F11" t="s" s="302">
        <v>293</v>
      </c>
      <c r="G11" t="s" s="303">
        <v>294</v>
      </c>
      <c r="H11" t="s" s="304">
        <v>171</v>
      </c>
      <c r="I11" s="305">
        <v>3</v>
      </c>
      <c r="J11" t="s" s="306">
        <v>302</v>
      </c>
      <c r="K11" t="s" s="306">
        <v>283</v>
      </c>
      <c r="L11" s="312"/>
      <c r="M11" s="284"/>
      <c r="N11" s="284"/>
      <c r="O11" s="310">
        <f>_xlfn.IFERROR(VLOOKUP($P11,'Suppl'!$B$2:$N$57,MATCH($B11,'Suppl'!$C$1:$N$1,0)+1,FALSE),"")</f>
        <v>0</v>
      </c>
      <c r="P11" t="s" s="306">
        <f>E11&amp;I11</f>
        <v>303</v>
      </c>
      <c r="Q11" s="286"/>
      <c r="R11" s="298"/>
      <c r="S11" s="298"/>
    </row>
    <row r="12" ht="15" customHeight="1">
      <c r="A12" t="s" s="276">
        <f>B12&amp;E12&amp;I12</f>
        <v>304</v>
      </c>
      <c r="B12" s="299">
        <f>B11</f>
        <v>1</v>
      </c>
      <c r="C12" t="s" s="300">
        <f>C11</f>
        <v>269</v>
      </c>
      <c r="D12" t="s" s="300">
        <v>251</v>
      </c>
      <c r="E12" s="301">
        <v>2</v>
      </c>
      <c r="F12" t="s" s="302">
        <v>293</v>
      </c>
      <c r="G12" t="s" s="303">
        <v>294</v>
      </c>
      <c r="H12" t="s" s="304">
        <v>171</v>
      </c>
      <c r="I12" s="305">
        <v>4</v>
      </c>
      <c r="J12" t="s" s="306">
        <v>305</v>
      </c>
      <c r="K12" t="s" s="306">
        <v>291</v>
      </c>
      <c r="L12" t="s" s="307">
        <v>306</v>
      </c>
      <c r="M12" s="284"/>
      <c r="N12" s="284"/>
      <c r="O12" s="310">
        <f>_xlfn.IFERROR(VLOOKUP($P12,'Suppl'!$B$2:$N$57,MATCH($B12,'Suppl'!$C$1:$N$1,0)+1,FALSE),"")</f>
        <v>0</v>
      </c>
      <c r="P12" t="s" s="306">
        <f>E12&amp;I12</f>
        <v>307</v>
      </c>
      <c r="Q12" s="286"/>
      <c r="R12" s="298"/>
      <c r="S12" s="298"/>
    </row>
    <row r="13" ht="15" customHeight="1">
      <c r="A13" t="s" s="276">
        <f>B13&amp;E13&amp;I13</f>
        <v>308</v>
      </c>
      <c r="B13" s="299">
        <f>B12</f>
        <v>1</v>
      </c>
      <c r="C13" t="s" s="300">
        <f>C12</f>
        <v>269</v>
      </c>
      <c r="D13" t="s" s="300">
        <v>251</v>
      </c>
      <c r="E13" s="301">
        <v>2</v>
      </c>
      <c r="F13" t="s" s="302">
        <v>293</v>
      </c>
      <c r="G13" t="s" s="303">
        <v>294</v>
      </c>
      <c r="H13" t="s" s="304">
        <v>171</v>
      </c>
      <c r="I13" s="305">
        <v>5</v>
      </c>
      <c r="J13" t="s" s="306">
        <v>309</v>
      </c>
      <c r="K13" t="s" s="306">
        <v>271</v>
      </c>
      <c r="L13" t="s" s="307">
        <v>310</v>
      </c>
      <c r="M13" s="284"/>
      <c r="N13" s="284"/>
      <c r="O13" s="310">
        <f>_xlfn.IFERROR(VLOOKUP($P13,'Suppl'!$B$2:$N$57,MATCH($B13,'Suppl'!$C$1:$N$1,0)+1,FALSE),"")</f>
        <v>0</v>
      </c>
      <c r="P13" t="s" s="306">
        <f>E13&amp;I13</f>
        <v>311</v>
      </c>
      <c r="Q13" s="286"/>
      <c r="R13" s="298"/>
      <c r="S13" s="298"/>
    </row>
    <row r="14" ht="15" customHeight="1">
      <c r="A14" t="s" s="276">
        <f>B14&amp;E14&amp;I14</f>
        <v>312</v>
      </c>
      <c r="B14" s="299">
        <f>B13</f>
        <v>1</v>
      </c>
      <c r="C14" t="s" s="300">
        <f>C13</f>
        <v>269</v>
      </c>
      <c r="D14" t="s" s="300">
        <v>251</v>
      </c>
      <c r="E14" s="301">
        <v>2</v>
      </c>
      <c r="F14" t="s" s="302">
        <v>293</v>
      </c>
      <c r="G14" t="s" s="303">
        <v>294</v>
      </c>
      <c r="H14" t="s" s="304">
        <v>171</v>
      </c>
      <c r="I14" s="305">
        <v>6</v>
      </c>
      <c r="J14" t="s" s="306">
        <v>313</v>
      </c>
      <c r="K14" t="s" s="306">
        <v>291</v>
      </c>
      <c r="L14" t="s" s="307">
        <v>314</v>
      </c>
      <c r="M14" s="284"/>
      <c r="N14" s="284"/>
      <c r="O14" s="310">
        <f>_xlfn.IFERROR(VLOOKUP($P14,'Suppl'!$B$2:$N$57,MATCH($B14,'Suppl'!$C$1:$N$1,0)+1,FALSE),"")</f>
        <v>0</v>
      </c>
      <c r="P14" t="s" s="306">
        <f>E14&amp;I14</f>
        <v>315</v>
      </c>
      <c r="Q14" s="286"/>
      <c r="R14" s="298"/>
      <c r="S14" s="298"/>
    </row>
    <row r="15" ht="15" customHeight="1">
      <c r="A15" t="s" s="276">
        <f>B15&amp;E15&amp;I15</f>
        <v>316</v>
      </c>
      <c r="B15" s="314">
        <f>B14</f>
        <v>1</v>
      </c>
      <c r="C15" t="s" s="315">
        <f>C14</f>
        <v>269</v>
      </c>
      <c r="D15" t="s" s="315">
        <v>251</v>
      </c>
      <c r="E15" s="316">
        <v>2</v>
      </c>
      <c r="F15" t="s" s="317">
        <v>293</v>
      </c>
      <c r="G15" t="s" s="318">
        <v>294</v>
      </c>
      <c r="H15" t="s" s="304">
        <v>171</v>
      </c>
      <c r="I15" s="319">
        <v>7</v>
      </c>
      <c r="J15" t="s" s="320">
        <v>317</v>
      </c>
      <c r="K15" t="s" s="320">
        <v>291</v>
      </c>
      <c r="L15" t="s" s="329">
        <v>318</v>
      </c>
      <c r="M15" s="330"/>
      <c r="N15" s="330"/>
      <c r="O15" s="324">
        <f>_xlfn.IFERROR(VLOOKUP($P15,'Suppl'!$B$2:$N$57,MATCH($B15,'Suppl'!$C$1:$N$1,0)+1,FALSE),"")</f>
        <v>0</v>
      </c>
      <c r="P15" t="s" s="320">
        <f>E15&amp;I15</f>
        <v>319</v>
      </c>
      <c r="Q15" s="286"/>
      <c r="R15" s="298"/>
      <c r="S15" s="298"/>
    </row>
    <row r="16" ht="15" customHeight="1">
      <c r="A16" t="s" s="276">
        <f>B16&amp;E16&amp;I16</f>
        <v>32</v>
      </c>
      <c r="B16" s="325">
        <f>B15</f>
        <v>1</v>
      </c>
      <c r="C16" t="s" s="326">
        <f>C15</f>
        <v>269</v>
      </c>
      <c r="D16" t="s" s="326">
        <v>251</v>
      </c>
      <c r="E16" s="289">
        <v>3</v>
      </c>
      <c r="F16" t="s" s="290">
        <v>320</v>
      </c>
      <c r="G16" t="s" s="290">
        <v>321</v>
      </c>
      <c r="H16" t="s" s="304">
        <v>322</v>
      </c>
      <c r="I16" s="292">
        <v>1</v>
      </c>
      <c r="J16" t="s" s="288">
        <v>323</v>
      </c>
      <c r="K16" t="s" s="288">
        <v>271</v>
      </c>
      <c r="L16" t="s" s="293">
        <v>324</v>
      </c>
      <c r="M16" s="328"/>
      <c r="N16" s="328"/>
      <c r="O16" s="296">
        <f>_xlfn.IFERROR(VLOOKUP($P16,'Suppl'!$B$2:$N$57,MATCH($B16,'Suppl'!$C$1:$N$1,0)+1,FALSE),"")</f>
        <v>0</v>
      </c>
      <c r="P16" t="s" s="288">
        <f>E16&amp;I16</f>
        <v>325</v>
      </c>
      <c r="Q16" s="286"/>
      <c r="R16" s="298"/>
      <c r="S16" s="298"/>
    </row>
    <row r="17" ht="15" customHeight="1">
      <c r="A17" t="s" s="276">
        <f>B17&amp;E17&amp;I17</f>
        <v>326</v>
      </c>
      <c r="B17" s="299">
        <f>B16</f>
        <v>1</v>
      </c>
      <c r="C17" t="s" s="300">
        <f>C16</f>
        <v>269</v>
      </c>
      <c r="D17" t="s" s="300">
        <v>251</v>
      </c>
      <c r="E17" s="301">
        <v>3</v>
      </c>
      <c r="F17" t="s" s="302">
        <v>320</v>
      </c>
      <c r="G17" t="s" s="303">
        <v>321</v>
      </c>
      <c r="H17" t="s" s="304">
        <v>171</v>
      </c>
      <c r="I17" s="305">
        <v>2</v>
      </c>
      <c r="J17" t="s" s="306">
        <v>327</v>
      </c>
      <c r="K17" t="s" s="306">
        <v>271</v>
      </c>
      <c r="L17" t="s" s="307">
        <v>328</v>
      </c>
      <c r="M17" s="284"/>
      <c r="N17" s="284"/>
      <c r="O17" s="310">
        <f>_xlfn.IFERROR(VLOOKUP($P17,'Suppl'!$B$2:$N$57,MATCH($B17,'Suppl'!$C$1:$N$1,0)+1,FALSE),"")</f>
        <v>0</v>
      </c>
      <c r="P17" t="s" s="306">
        <f>E17&amp;I17</f>
        <v>329</v>
      </c>
      <c r="Q17" s="286"/>
      <c r="R17" s="298"/>
      <c r="S17" s="298"/>
    </row>
    <row r="18" ht="15" customHeight="1">
      <c r="A18" t="s" s="276">
        <f>B18&amp;E18&amp;I18</f>
        <v>330</v>
      </c>
      <c r="B18" s="299">
        <f>B17</f>
        <v>1</v>
      </c>
      <c r="C18" t="s" s="300">
        <f>C17</f>
        <v>269</v>
      </c>
      <c r="D18" t="s" s="300">
        <v>251</v>
      </c>
      <c r="E18" s="301">
        <v>3</v>
      </c>
      <c r="F18" t="s" s="302">
        <v>320</v>
      </c>
      <c r="G18" t="s" s="303">
        <v>321</v>
      </c>
      <c r="H18" t="s" s="304">
        <v>171</v>
      </c>
      <c r="I18" s="305">
        <v>3</v>
      </c>
      <c r="J18" t="s" s="306">
        <v>331</v>
      </c>
      <c r="K18" t="s" s="306">
        <v>283</v>
      </c>
      <c r="L18" t="s" s="307">
        <v>332</v>
      </c>
      <c r="M18" s="284"/>
      <c r="N18" s="284"/>
      <c r="O18" s="310">
        <f>_xlfn.IFERROR(VLOOKUP($P18,'Suppl'!$B$2:$N$57,MATCH($B18,'Suppl'!$C$1:$N$1,0)+1,FALSE),"")</f>
        <v>0</v>
      </c>
      <c r="P18" t="s" s="306">
        <f>E18&amp;I18</f>
        <v>333</v>
      </c>
      <c r="Q18" s="286"/>
      <c r="R18" s="298"/>
      <c r="S18" s="298"/>
    </row>
    <row r="19" ht="15" customHeight="1">
      <c r="A19" t="s" s="276">
        <f>B19&amp;E19&amp;I19</f>
        <v>334</v>
      </c>
      <c r="B19" s="299">
        <f>B18</f>
        <v>1</v>
      </c>
      <c r="C19" t="s" s="300">
        <f>C18</f>
        <v>269</v>
      </c>
      <c r="D19" t="s" s="300">
        <v>251</v>
      </c>
      <c r="E19" s="301">
        <v>3</v>
      </c>
      <c r="F19" t="s" s="302">
        <v>320</v>
      </c>
      <c r="G19" t="s" s="303">
        <v>321</v>
      </c>
      <c r="H19" t="s" s="304">
        <v>171</v>
      </c>
      <c r="I19" s="305">
        <v>4</v>
      </c>
      <c r="J19" t="s" s="306">
        <v>335</v>
      </c>
      <c r="K19" t="s" s="306">
        <v>256</v>
      </c>
      <c r="L19" s="312"/>
      <c r="M19" s="284"/>
      <c r="N19" s="284"/>
      <c r="O19" s="310">
        <f>_xlfn.IFERROR(VLOOKUP($P19,'Suppl'!$B$2:$N$57,MATCH($B19,'Suppl'!$C$1:$N$1,0)+1,FALSE),"")</f>
        <v>0</v>
      </c>
      <c r="P19" t="s" s="306">
        <f>E19&amp;I19</f>
        <v>336</v>
      </c>
      <c r="Q19" s="286"/>
      <c r="R19" s="298"/>
      <c r="S19" s="298"/>
    </row>
    <row r="20" ht="15" customHeight="1">
      <c r="A20" t="s" s="276">
        <f>B20&amp;E20&amp;I20</f>
        <v>337</v>
      </c>
      <c r="B20" s="299">
        <f>B19</f>
        <v>1</v>
      </c>
      <c r="C20" t="s" s="300">
        <f>C19</f>
        <v>269</v>
      </c>
      <c r="D20" t="s" s="300">
        <v>251</v>
      </c>
      <c r="E20" s="301">
        <v>3</v>
      </c>
      <c r="F20" t="s" s="302">
        <v>320</v>
      </c>
      <c r="G20" t="s" s="303">
        <v>321</v>
      </c>
      <c r="H20" t="s" s="304">
        <v>171</v>
      </c>
      <c r="I20" s="305">
        <v>5</v>
      </c>
      <c r="J20" s="284"/>
      <c r="K20" s="284"/>
      <c r="L20" s="312"/>
      <c r="M20" s="284"/>
      <c r="N20" s="284"/>
      <c r="O20" s="310">
        <f>_xlfn.IFERROR(VLOOKUP($P20,'Suppl'!$B$2:$N$57,MATCH($B20,'Suppl'!$C$1:$N$1,0)+1,FALSE),"")</f>
        <v>0</v>
      </c>
      <c r="P20" t="s" s="306">
        <f>E20&amp;I20</f>
        <v>338</v>
      </c>
      <c r="Q20" s="286"/>
      <c r="R20" s="298"/>
      <c r="S20" s="298"/>
    </row>
    <row r="21" ht="15" customHeight="1">
      <c r="A21" t="s" s="276">
        <f>B21&amp;E21&amp;I21</f>
        <v>339</v>
      </c>
      <c r="B21" s="299">
        <f>B20</f>
        <v>1</v>
      </c>
      <c r="C21" t="s" s="300">
        <f>C20</f>
        <v>269</v>
      </c>
      <c r="D21" t="s" s="300">
        <v>251</v>
      </c>
      <c r="E21" s="301">
        <v>3</v>
      </c>
      <c r="F21" t="s" s="302">
        <v>320</v>
      </c>
      <c r="G21" t="s" s="303">
        <v>321</v>
      </c>
      <c r="H21" t="s" s="304">
        <v>171</v>
      </c>
      <c r="I21" s="305">
        <v>6</v>
      </c>
      <c r="J21" s="284"/>
      <c r="K21" s="284"/>
      <c r="L21" s="312"/>
      <c r="M21" s="284"/>
      <c r="N21" s="284"/>
      <c r="O21" s="310">
        <f>_xlfn.IFERROR(VLOOKUP($P21,'Suppl'!$B$2:$N$57,MATCH($B21,'Suppl'!$C$1:$N$1,0)+1,FALSE),"")</f>
        <v>0</v>
      </c>
      <c r="P21" t="s" s="306">
        <f>E21&amp;I21</f>
        <v>340</v>
      </c>
      <c r="Q21" s="286"/>
      <c r="R21" s="298"/>
      <c r="S21" s="298"/>
    </row>
    <row r="22" ht="15" customHeight="1">
      <c r="A22" t="s" s="276">
        <f>B22&amp;E22&amp;I22</f>
        <v>341</v>
      </c>
      <c r="B22" s="314">
        <f>B21</f>
        <v>1</v>
      </c>
      <c r="C22" t="s" s="315">
        <f>C21</f>
        <v>269</v>
      </c>
      <c r="D22" t="s" s="315">
        <v>251</v>
      </c>
      <c r="E22" s="316">
        <v>3</v>
      </c>
      <c r="F22" t="s" s="317">
        <v>320</v>
      </c>
      <c r="G22" t="s" s="318">
        <v>321</v>
      </c>
      <c r="H22" t="s" s="304">
        <v>171</v>
      </c>
      <c r="I22" s="319">
        <v>7</v>
      </c>
      <c r="J22" s="330"/>
      <c r="K22" s="330"/>
      <c r="L22" s="321"/>
      <c r="M22" s="330"/>
      <c r="N22" s="330"/>
      <c r="O22" s="324">
        <f>_xlfn.IFERROR(VLOOKUP($P22,'Suppl'!$B$2:$N$57,MATCH($B22,'Suppl'!$C$1:$N$1,0)+1,FALSE),"")</f>
        <v>0</v>
      </c>
      <c r="P22" t="s" s="320">
        <f>E22&amp;I22</f>
        <v>342</v>
      </c>
      <c r="Q22" s="286"/>
      <c r="R22" s="298"/>
      <c r="S22" s="298"/>
    </row>
    <row r="23" ht="15" customHeight="1">
      <c r="A23" t="s" s="276">
        <f>B23&amp;E23&amp;I23</f>
        <v>35</v>
      </c>
      <c r="B23" s="325">
        <f>B22</f>
        <v>1</v>
      </c>
      <c r="C23" t="s" s="326">
        <f>C22</f>
        <v>269</v>
      </c>
      <c r="D23" t="s" s="326">
        <v>251</v>
      </c>
      <c r="E23" s="289">
        <v>4</v>
      </c>
      <c r="F23" t="s" s="290">
        <v>343</v>
      </c>
      <c r="G23" t="s" s="290">
        <v>344</v>
      </c>
      <c r="H23" t="s" s="304">
        <v>345</v>
      </c>
      <c r="I23" s="292">
        <v>1</v>
      </c>
      <c r="J23" t="s" s="288">
        <v>346</v>
      </c>
      <c r="K23" t="s" s="288">
        <v>291</v>
      </c>
      <c r="L23" t="s" s="293">
        <v>347</v>
      </c>
      <c r="M23" s="328"/>
      <c r="N23" s="328"/>
      <c r="O23" s="296">
        <f>_xlfn.IFERROR(VLOOKUP($P23,'Suppl'!$B$2:$N$57,MATCH($B23,'Suppl'!$C$1:$N$1,0)+1,FALSE),"")</f>
        <v>0</v>
      </c>
      <c r="P23" t="s" s="288">
        <f>E23&amp;I23</f>
        <v>348</v>
      </c>
      <c r="Q23" s="286"/>
      <c r="R23" s="298"/>
      <c r="S23" s="298"/>
    </row>
    <row r="24" ht="15" customHeight="1">
      <c r="A24" t="s" s="276">
        <f>B24&amp;E24&amp;I24</f>
        <v>349</v>
      </c>
      <c r="B24" s="299">
        <f>B23</f>
        <v>1</v>
      </c>
      <c r="C24" t="s" s="300">
        <f>C23</f>
        <v>269</v>
      </c>
      <c r="D24" t="s" s="300">
        <v>251</v>
      </c>
      <c r="E24" s="301">
        <v>4</v>
      </c>
      <c r="F24" t="s" s="302">
        <v>343</v>
      </c>
      <c r="G24" t="s" s="303">
        <v>344</v>
      </c>
      <c r="H24" t="s" s="304">
        <v>171</v>
      </c>
      <c r="I24" s="305">
        <v>2</v>
      </c>
      <c r="J24" t="s" s="306">
        <v>350</v>
      </c>
      <c r="K24" t="s" s="306">
        <v>283</v>
      </c>
      <c r="L24" s="312"/>
      <c r="M24" s="284"/>
      <c r="N24" s="284"/>
      <c r="O24" s="310">
        <f>_xlfn.IFERROR(VLOOKUP($P24,'Suppl'!$B$2:$N$57,MATCH($B24,'Suppl'!$C$1:$N$1,0)+1,FALSE),"")</f>
        <v>0</v>
      </c>
      <c r="P24" t="s" s="306">
        <f>E24&amp;I24</f>
        <v>351</v>
      </c>
      <c r="Q24" s="286"/>
      <c r="R24" s="298"/>
      <c r="S24" s="298"/>
    </row>
    <row r="25" ht="15" customHeight="1">
      <c r="A25" t="s" s="276">
        <f>B25&amp;E25&amp;I25</f>
        <v>352</v>
      </c>
      <c r="B25" s="299">
        <f>B24</f>
        <v>1</v>
      </c>
      <c r="C25" t="s" s="300">
        <f>C24</f>
        <v>269</v>
      </c>
      <c r="D25" t="s" s="300">
        <v>251</v>
      </c>
      <c r="E25" s="301">
        <v>4</v>
      </c>
      <c r="F25" t="s" s="302">
        <v>343</v>
      </c>
      <c r="G25" t="s" s="303">
        <v>344</v>
      </c>
      <c r="H25" t="s" s="304">
        <v>171</v>
      </c>
      <c r="I25" s="305">
        <v>3</v>
      </c>
      <c r="J25" t="s" s="306">
        <v>353</v>
      </c>
      <c r="K25" t="s" s="306">
        <v>271</v>
      </c>
      <c r="L25" s="312"/>
      <c r="M25" s="284"/>
      <c r="N25" s="284"/>
      <c r="O25" s="310">
        <f>_xlfn.IFERROR(VLOOKUP($P25,'Suppl'!$B$2:$N$57,MATCH($B25,'Suppl'!$C$1:$N$1,0)+1,FALSE),"")</f>
        <v>0</v>
      </c>
      <c r="P25" t="s" s="306">
        <f>E25&amp;I25</f>
        <v>354</v>
      </c>
      <c r="Q25" s="286"/>
      <c r="R25" s="298"/>
      <c r="S25" s="298"/>
    </row>
    <row r="26" ht="15" customHeight="1">
      <c r="A26" t="s" s="276">
        <f>B26&amp;E26&amp;I26</f>
        <v>355</v>
      </c>
      <c r="B26" s="299">
        <f>B25</f>
        <v>1</v>
      </c>
      <c r="C26" t="s" s="300">
        <f>C25</f>
        <v>269</v>
      </c>
      <c r="D26" t="s" s="300">
        <v>251</v>
      </c>
      <c r="E26" s="301">
        <v>4</v>
      </c>
      <c r="F26" t="s" s="302">
        <v>343</v>
      </c>
      <c r="G26" t="s" s="303">
        <v>344</v>
      </c>
      <c r="H26" t="s" s="304">
        <v>171</v>
      </c>
      <c r="I26" s="305">
        <v>4</v>
      </c>
      <c r="J26" t="s" s="306">
        <v>356</v>
      </c>
      <c r="K26" t="s" s="306">
        <v>271</v>
      </c>
      <c r="L26" s="312"/>
      <c r="M26" s="284"/>
      <c r="N26" s="284"/>
      <c r="O26" s="310">
        <f>_xlfn.IFERROR(VLOOKUP($P26,'Suppl'!$B$2:$N$57,MATCH($B26,'Suppl'!$C$1:$N$1,0)+1,FALSE),"")</f>
        <v>0</v>
      </c>
      <c r="P26" t="s" s="306">
        <f>E26&amp;I26</f>
        <v>357</v>
      </c>
      <c r="Q26" s="286"/>
      <c r="R26" s="298"/>
      <c r="S26" s="298"/>
    </row>
    <row r="27" ht="15" customHeight="1">
      <c r="A27" t="s" s="276">
        <f>B27&amp;E27&amp;I27</f>
        <v>358</v>
      </c>
      <c r="B27" s="299">
        <f>B26</f>
        <v>1</v>
      </c>
      <c r="C27" t="s" s="300">
        <f>C26</f>
        <v>269</v>
      </c>
      <c r="D27" t="s" s="300">
        <v>251</v>
      </c>
      <c r="E27" s="301">
        <v>4</v>
      </c>
      <c r="F27" t="s" s="302">
        <v>343</v>
      </c>
      <c r="G27" t="s" s="303">
        <v>344</v>
      </c>
      <c r="H27" t="s" s="304">
        <v>171</v>
      </c>
      <c r="I27" s="305">
        <v>5</v>
      </c>
      <c r="J27" t="s" s="306">
        <v>359</v>
      </c>
      <c r="K27" t="s" s="306">
        <v>291</v>
      </c>
      <c r="L27" s="312"/>
      <c r="M27" s="284"/>
      <c r="N27" s="284"/>
      <c r="O27" s="310">
        <f>_xlfn.IFERROR(VLOOKUP($P27,'Suppl'!$B$2:$N$57,MATCH($B27,'Suppl'!$C$1:$N$1,0)+1,FALSE),"")</f>
        <v>0</v>
      </c>
      <c r="P27" t="s" s="306">
        <f>E27&amp;I27</f>
        <v>360</v>
      </c>
      <c r="Q27" s="286"/>
      <c r="R27" s="298"/>
      <c r="S27" s="298"/>
    </row>
    <row r="28" ht="15" customHeight="1">
      <c r="A28" t="s" s="276">
        <f>B28&amp;E28&amp;I28</f>
        <v>361</v>
      </c>
      <c r="B28" s="299">
        <f>B27</f>
        <v>1</v>
      </c>
      <c r="C28" t="s" s="300">
        <f>C27</f>
        <v>269</v>
      </c>
      <c r="D28" t="s" s="300">
        <v>251</v>
      </c>
      <c r="E28" s="301">
        <v>4</v>
      </c>
      <c r="F28" t="s" s="302">
        <v>343</v>
      </c>
      <c r="G28" t="s" s="303">
        <v>344</v>
      </c>
      <c r="H28" t="s" s="304">
        <v>171</v>
      </c>
      <c r="I28" s="305">
        <v>6</v>
      </c>
      <c r="J28" t="s" s="306">
        <v>362</v>
      </c>
      <c r="K28" t="s" s="306">
        <v>256</v>
      </c>
      <c r="L28" s="312"/>
      <c r="M28" s="284"/>
      <c r="N28" s="284"/>
      <c r="O28" s="310">
        <f>_xlfn.IFERROR(VLOOKUP($P28,'Suppl'!$B$2:$N$57,MATCH($B28,'Suppl'!$C$1:$N$1,0)+1,FALSE),"")</f>
        <v>0</v>
      </c>
      <c r="P28" t="s" s="306">
        <f>E28&amp;I28</f>
        <v>363</v>
      </c>
      <c r="Q28" s="286"/>
      <c r="R28" s="298"/>
      <c r="S28" s="298"/>
    </row>
    <row r="29" ht="15" customHeight="1">
      <c r="A29" t="s" s="276">
        <f>B29&amp;E29&amp;I29</f>
        <v>364</v>
      </c>
      <c r="B29" s="314">
        <f>B28</f>
        <v>1</v>
      </c>
      <c r="C29" t="s" s="315">
        <f>C28</f>
        <v>269</v>
      </c>
      <c r="D29" t="s" s="315">
        <v>251</v>
      </c>
      <c r="E29" s="316">
        <v>4</v>
      </c>
      <c r="F29" t="s" s="317">
        <v>343</v>
      </c>
      <c r="G29" t="s" s="318">
        <v>344</v>
      </c>
      <c r="H29" t="s" s="304">
        <v>171</v>
      </c>
      <c r="I29" s="319">
        <v>7</v>
      </c>
      <c r="J29" s="330"/>
      <c r="K29" s="330"/>
      <c r="L29" s="321"/>
      <c r="M29" s="330"/>
      <c r="N29" s="330"/>
      <c r="O29" s="324">
        <f>_xlfn.IFERROR(VLOOKUP($P29,'Suppl'!$B$2:$N$57,MATCH($B29,'Suppl'!$C$1:$N$1,0)+1,FALSE),"")</f>
        <v>0</v>
      </c>
      <c r="P29" t="s" s="320">
        <f>E29&amp;I29</f>
        <v>365</v>
      </c>
      <c r="Q29" s="286"/>
      <c r="R29" s="298"/>
      <c r="S29" s="298"/>
    </row>
    <row r="30" ht="15" customHeight="1">
      <c r="A30" t="s" s="276">
        <f>B30&amp;E30&amp;I30</f>
        <v>38</v>
      </c>
      <c r="B30" s="325">
        <f>B29</f>
        <v>1</v>
      </c>
      <c r="C30" t="s" s="326">
        <f>C29</f>
        <v>269</v>
      </c>
      <c r="D30" t="s" s="326">
        <v>251</v>
      </c>
      <c r="E30" s="289">
        <v>5</v>
      </c>
      <c r="F30" t="s" s="290">
        <v>366</v>
      </c>
      <c r="G30" t="s" s="290">
        <v>367</v>
      </c>
      <c r="H30" t="s" s="304">
        <v>171</v>
      </c>
      <c r="I30" s="292">
        <v>1</v>
      </c>
      <c r="J30" t="s" s="288">
        <v>368</v>
      </c>
      <c r="K30" t="s" s="288">
        <v>271</v>
      </c>
      <c r="L30" t="s" s="293">
        <v>369</v>
      </c>
      <c r="M30" s="328"/>
      <c r="N30" s="328"/>
      <c r="O30" s="296">
        <f>_xlfn.IFERROR(VLOOKUP($P30,'Suppl'!$B$2:$N$57,MATCH($B30,'Suppl'!$C$1:$N$1,0)+1,FALSE),"")</f>
        <v>0</v>
      </c>
      <c r="P30" t="s" s="288">
        <f>E30&amp;I30</f>
        <v>370</v>
      </c>
      <c r="Q30" s="286"/>
      <c r="R30" s="298"/>
      <c r="S30" s="298"/>
    </row>
    <row r="31" ht="15" customHeight="1">
      <c r="A31" t="s" s="276">
        <f>B31&amp;E31&amp;I31</f>
        <v>371</v>
      </c>
      <c r="B31" s="299">
        <f>B30</f>
        <v>1</v>
      </c>
      <c r="C31" t="s" s="300">
        <f>C30</f>
        <v>269</v>
      </c>
      <c r="D31" t="s" s="300">
        <v>251</v>
      </c>
      <c r="E31" s="301">
        <v>5</v>
      </c>
      <c r="F31" t="s" s="302">
        <v>366</v>
      </c>
      <c r="G31" t="s" s="303">
        <v>367</v>
      </c>
      <c r="H31" t="s" s="304">
        <v>171</v>
      </c>
      <c r="I31" s="305">
        <v>2</v>
      </c>
      <c r="J31" t="s" s="306">
        <v>372</v>
      </c>
      <c r="K31" t="s" s="306">
        <v>271</v>
      </c>
      <c r="L31" t="s" s="307">
        <v>373</v>
      </c>
      <c r="M31" s="284"/>
      <c r="N31" s="284"/>
      <c r="O31" s="310">
        <f>_xlfn.IFERROR(VLOOKUP($P31,'Suppl'!$B$2:$N$57,MATCH($B31,'Suppl'!$C$1:$N$1,0)+1,FALSE),"")</f>
        <v>0</v>
      </c>
      <c r="P31" t="s" s="306">
        <f>E31&amp;I31</f>
        <v>374</v>
      </c>
      <c r="Q31" s="286"/>
      <c r="R31" s="298"/>
      <c r="S31" s="298"/>
    </row>
    <row r="32" ht="15" customHeight="1">
      <c r="A32" t="s" s="276">
        <f>B32&amp;E32&amp;I32</f>
        <v>375</v>
      </c>
      <c r="B32" s="299">
        <f>B31</f>
        <v>1</v>
      </c>
      <c r="C32" t="s" s="300">
        <f>C31</f>
        <v>269</v>
      </c>
      <c r="D32" t="s" s="300">
        <v>251</v>
      </c>
      <c r="E32" s="301">
        <v>5</v>
      </c>
      <c r="F32" t="s" s="302">
        <v>366</v>
      </c>
      <c r="G32" t="s" s="303">
        <v>367</v>
      </c>
      <c r="H32" t="s" s="304">
        <v>171</v>
      </c>
      <c r="I32" s="305">
        <v>3</v>
      </c>
      <c r="J32" t="s" s="306">
        <v>376</v>
      </c>
      <c r="K32" t="s" s="306">
        <v>271</v>
      </c>
      <c r="L32" s="312"/>
      <c r="M32" s="284"/>
      <c r="N32" s="284"/>
      <c r="O32" s="310">
        <f>_xlfn.IFERROR(VLOOKUP($P32,'Suppl'!$B$2:$N$57,MATCH($B32,'Suppl'!$C$1:$N$1,0)+1,FALSE),"")</f>
        <v>0</v>
      </c>
      <c r="P32" t="s" s="306">
        <f>E32&amp;I32</f>
        <v>377</v>
      </c>
      <c r="Q32" s="286"/>
      <c r="R32" s="298"/>
      <c r="S32" s="298"/>
    </row>
    <row r="33" ht="15" customHeight="1">
      <c r="A33" t="s" s="276">
        <f>B33&amp;E33&amp;I33</f>
        <v>378</v>
      </c>
      <c r="B33" s="299">
        <f>B32</f>
        <v>1</v>
      </c>
      <c r="C33" t="s" s="300">
        <f>C32</f>
        <v>269</v>
      </c>
      <c r="D33" t="s" s="300">
        <v>251</v>
      </c>
      <c r="E33" s="301">
        <v>5</v>
      </c>
      <c r="F33" t="s" s="302">
        <v>366</v>
      </c>
      <c r="G33" t="s" s="303">
        <v>367</v>
      </c>
      <c r="H33" t="s" s="304">
        <v>171</v>
      </c>
      <c r="I33" s="305">
        <v>4</v>
      </c>
      <c r="J33" t="s" s="306">
        <v>379</v>
      </c>
      <c r="K33" t="s" s="306">
        <v>291</v>
      </c>
      <c r="L33" s="312"/>
      <c r="M33" s="284"/>
      <c r="N33" s="284"/>
      <c r="O33" s="310">
        <f>_xlfn.IFERROR(VLOOKUP($P33,'Suppl'!$B$2:$N$57,MATCH($B33,'Suppl'!$C$1:$N$1,0)+1,FALSE),"")</f>
        <v>0</v>
      </c>
      <c r="P33" t="s" s="306">
        <f>E33&amp;I33</f>
        <v>380</v>
      </c>
      <c r="Q33" s="286"/>
      <c r="R33" s="298"/>
      <c r="S33" s="298"/>
    </row>
    <row r="34" ht="15" customHeight="1">
      <c r="A34" t="s" s="276">
        <f>B34&amp;E34&amp;I34</f>
        <v>381</v>
      </c>
      <c r="B34" s="299">
        <f>B33</f>
        <v>1</v>
      </c>
      <c r="C34" t="s" s="300">
        <f>C33</f>
        <v>269</v>
      </c>
      <c r="D34" t="s" s="300">
        <v>251</v>
      </c>
      <c r="E34" s="301">
        <v>5</v>
      </c>
      <c r="F34" t="s" s="302">
        <v>366</v>
      </c>
      <c r="G34" t="s" s="303">
        <v>367</v>
      </c>
      <c r="H34" t="s" s="304">
        <v>171</v>
      </c>
      <c r="I34" s="305">
        <v>5</v>
      </c>
      <c r="J34" t="s" s="306">
        <v>382</v>
      </c>
      <c r="K34" t="s" s="306">
        <v>256</v>
      </c>
      <c r="L34" s="312"/>
      <c r="M34" s="284"/>
      <c r="N34" s="284"/>
      <c r="O34" s="310">
        <f>_xlfn.IFERROR(VLOOKUP($P34,'Suppl'!$B$2:$N$57,MATCH($B34,'Suppl'!$C$1:$N$1,0)+1,FALSE),"")</f>
        <v>0</v>
      </c>
      <c r="P34" t="s" s="306">
        <f>E34&amp;I34</f>
        <v>383</v>
      </c>
      <c r="Q34" s="286"/>
      <c r="R34" s="298"/>
      <c r="S34" s="298"/>
    </row>
    <row r="35" ht="15" customHeight="1">
      <c r="A35" t="s" s="276">
        <f>B35&amp;E35&amp;I35</f>
        <v>384</v>
      </c>
      <c r="B35" s="299">
        <f>B34</f>
        <v>1</v>
      </c>
      <c r="C35" t="s" s="300">
        <f>C34</f>
        <v>269</v>
      </c>
      <c r="D35" t="s" s="300">
        <v>251</v>
      </c>
      <c r="E35" s="301">
        <v>5</v>
      </c>
      <c r="F35" t="s" s="302">
        <v>366</v>
      </c>
      <c r="G35" t="s" s="303">
        <v>367</v>
      </c>
      <c r="H35" t="s" s="304">
        <v>171</v>
      </c>
      <c r="I35" s="305">
        <v>6</v>
      </c>
      <c r="J35" s="284"/>
      <c r="K35" s="284"/>
      <c r="L35" s="312"/>
      <c r="M35" s="284"/>
      <c r="N35" s="284"/>
      <c r="O35" s="310">
        <f>_xlfn.IFERROR(VLOOKUP($P35,'Suppl'!$B$2:$N$57,MATCH($B35,'Suppl'!$C$1:$N$1,0)+1,FALSE),"")</f>
        <v>0</v>
      </c>
      <c r="P35" t="s" s="306">
        <f>E35&amp;I35</f>
        <v>385</v>
      </c>
      <c r="Q35" s="286"/>
      <c r="R35" s="298"/>
      <c r="S35" s="298"/>
    </row>
    <row r="36" ht="15" customHeight="1">
      <c r="A36" t="s" s="276">
        <f>B36&amp;E36&amp;I36</f>
        <v>386</v>
      </c>
      <c r="B36" s="331">
        <f>B35</f>
        <v>1</v>
      </c>
      <c r="C36" t="s" s="332">
        <f>C35</f>
        <v>269</v>
      </c>
      <c r="D36" t="s" s="332">
        <v>251</v>
      </c>
      <c r="E36" s="333">
        <v>5</v>
      </c>
      <c r="F36" t="s" s="334">
        <v>366</v>
      </c>
      <c r="G36" t="s" s="335">
        <v>367</v>
      </c>
      <c r="H36" t="s" s="336">
        <v>171</v>
      </c>
      <c r="I36" s="337">
        <v>7</v>
      </c>
      <c r="J36" s="338"/>
      <c r="K36" s="338"/>
      <c r="L36" s="339"/>
      <c r="M36" s="338"/>
      <c r="N36" s="338"/>
      <c r="O36" s="340">
        <f>_xlfn.IFERROR(VLOOKUP($P36,'Suppl'!$B$2:$N$57,MATCH($B36,'Suppl'!$C$1:$N$1,0)+1,FALSE),"")</f>
        <v>0</v>
      </c>
      <c r="P36" t="s" s="341">
        <f>E36&amp;I36</f>
        <v>387</v>
      </c>
      <c r="Q36" s="286"/>
      <c r="R36" s="298"/>
      <c r="S36" s="298"/>
    </row>
    <row r="37" ht="15" customHeight="1">
      <c r="A37" t="s" s="276">
        <f>B37&amp;E37&amp;I37</f>
        <v>40</v>
      </c>
      <c r="B37" s="342">
        <v>2</v>
      </c>
      <c r="C37" t="s" s="343">
        <v>225</v>
      </c>
      <c r="D37" t="s" s="343">
        <v>388</v>
      </c>
      <c r="E37" s="344">
        <v>1</v>
      </c>
      <c r="F37" t="s" s="343">
        <v>389</v>
      </c>
      <c r="G37" t="s" s="345">
        <v>390</v>
      </c>
      <c r="H37" t="s" s="346">
        <v>171</v>
      </c>
      <c r="I37" s="342">
        <v>1</v>
      </c>
      <c r="J37" t="s" s="343">
        <v>391</v>
      </c>
      <c r="K37" t="s" s="343">
        <v>263</v>
      </c>
      <c r="L37" t="s" s="347">
        <v>392</v>
      </c>
      <c r="M37" t="s" s="348">
        <v>393</v>
      </c>
      <c r="N37" t="s" s="349">
        <v>394</v>
      </c>
      <c r="O37" s="350">
        <f>_xlfn.IFERROR(VLOOKUP($P37,'Suppl'!$B$2:$N$57,MATCH($B37,'Suppl'!$C$1:$N$1,0)+1,FALSE),"")</f>
        <v>0</v>
      </c>
      <c r="P37" t="s" s="343">
        <f>E37&amp;I37</f>
        <v>260</v>
      </c>
      <c r="Q37" s="286"/>
      <c r="R37" s="298"/>
      <c r="S37" s="298"/>
    </row>
    <row r="38" ht="15" customHeight="1">
      <c r="A38" t="s" s="276">
        <f>B38&amp;E38&amp;I38</f>
        <v>395</v>
      </c>
      <c r="B38" s="351">
        <f>B37</f>
        <v>2</v>
      </c>
      <c r="C38" t="s" s="300">
        <f>C37</f>
        <v>225</v>
      </c>
      <c r="D38" t="s" s="300">
        <v>388</v>
      </c>
      <c r="E38" s="301">
        <v>1</v>
      </c>
      <c r="F38" t="s" s="300">
        <v>389</v>
      </c>
      <c r="G38" t="s" s="352">
        <v>390</v>
      </c>
      <c r="H38" t="s" s="353">
        <v>171</v>
      </c>
      <c r="I38" s="305">
        <v>2</v>
      </c>
      <c r="J38" t="s" s="306">
        <v>396</v>
      </c>
      <c r="K38" t="s" s="306">
        <v>263</v>
      </c>
      <c r="L38" t="s" s="307">
        <v>397</v>
      </c>
      <c r="M38" t="s" s="308">
        <v>398</v>
      </c>
      <c r="N38" t="s" s="309">
        <v>399</v>
      </c>
      <c r="O38" s="310">
        <f>_xlfn.IFERROR(VLOOKUP($P38,'Suppl'!$B$2:$N$57,MATCH($B38,'Suppl'!$C$1:$N$1,0)+1,FALSE),"")</f>
        <v>0</v>
      </c>
      <c r="P38" t="s" s="306">
        <f>E38&amp;I38</f>
        <v>267</v>
      </c>
      <c r="Q38" s="286"/>
      <c r="R38" s="298"/>
      <c r="S38" s="298"/>
    </row>
    <row r="39" ht="15" customHeight="1">
      <c r="A39" t="s" s="276">
        <f>B39&amp;E39&amp;I39</f>
        <v>400</v>
      </c>
      <c r="B39" s="351">
        <f>B38</f>
        <v>2</v>
      </c>
      <c r="C39" t="s" s="300">
        <f>C38</f>
        <v>401</v>
      </c>
      <c r="D39" t="s" s="300">
        <v>388</v>
      </c>
      <c r="E39" s="301">
        <v>1</v>
      </c>
      <c r="F39" t="s" s="300">
        <v>389</v>
      </c>
      <c r="G39" t="s" s="352">
        <v>390</v>
      </c>
      <c r="H39" t="s" s="353">
        <v>171</v>
      </c>
      <c r="I39" s="305">
        <v>3</v>
      </c>
      <c r="J39" s="284"/>
      <c r="K39" t="s" s="306">
        <v>171</v>
      </c>
      <c r="L39" s="312"/>
      <c r="M39" t="s" s="308">
        <v>402</v>
      </c>
      <c r="N39" t="s" s="309">
        <v>403</v>
      </c>
      <c r="O39" s="310">
        <f>_xlfn.IFERROR(VLOOKUP($P39,'Suppl'!$B$2:$N$57,MATCH($B39,'Suppl'!$C$1:$N$1,0)+1,FALSE),"")</f>
        <v>0</v>
      </c>
      <c r="P39" t="s" s="306">
        <f>E39&amp;I39</f>
        <v>275</v>
      </c>
      <c r="Q39" s="286"/>
      <c r="R39" s="298"/>
      <c r="S39" s="298"/>
    </row>
    <row r="40" ht="15" customHeight="1">
      <c r="A40" t="s" s="276">
        <f>B40&amp;E40&amp;I40</f>
        <v>404</v>
      </c>
      <c r="B40" s="351">
        <f>B39</f>
        <v>2</v>
      </c>
      <c r="C40" t="s" s="300">
        <f>C39</f>
        <v>401</v>
      </c>
      <c r="D40" t="s" s="300">
        <v>388</v>
      </c>
      <c r="E40" s="301">
        <v>1</v>
      </c>
      <c r="F40" t="s" s="300">
        <v>389</v>
      </c>
      <c r="G40" t="s" s="352">
        <v>390</v>
      </c>
      <c r="H40" t="s" s="353">
        <v>171</v>
      </c>
      <c r="I40" s="305">
        <v>4</v>
      </c>
      <c r="J40" s="284"/>
      <c r="K40" t="s" s="306">
        <v>171</v>
      </c>
      <c r="L40" s="312"/>
      <c r="M40" s="311"/>
      <c r="N40" t="s" s="309">
        <v>405</v>
      </c>
      <c r="O40" s="310">
        <f>_xlfn.IFERROR(VLOOKUP($P40,'Suppl'!$B$2:$N$57,MATCH($B40,'Suppl'!$C$1:$N$1,0)+1,FALSE),"")</f>
        <v>0</v>
      </c>
      <c r="P40" t="s" s="306">
        <f>E40&amp;I40</f>
        <v>280</v>
      </c>
      <c r="Q40" s="286"/>
      <c r="R40" s="298"/>
      <c r="S40" s="298"/>
    </row>
    <row r="41" ht="15" customHeight="1">
      <c r="A41" t="s" s="276">
        <f>B41&amp;E41&amp;I41</f>
        <v>406</v>
      </c>
      <c r="B41" s="351">
        <f>B40</f>
        <v>2</v>
      </c>
      <c r="C41" t="s" s="300">
        <f>C40</f>
        <v>401</v>
      </c>
      <c r="D41" t="s" s="300">
        <v>388</v>
      </c>
      <c r="E41" s="301">
        <v>1</v>
      </c>
      <c r="F41" t="s" s="300">
        <v>389</v>
      </c>
      <c r="G41" t="s" s="352">
        <v>390</v>
      </c>
      <c r="H41" t="s" s="353">
        <v>171</v>
      </c>
      <c r="I41" s="305">
        <v>5</v>
      </c>
      <c r="J41" s="284"/>
      <c r="K41" t="s" s="306">
        <v>171</v>
      </c>
      <c r="L41" s="312"/>
      <c r="M41" s="311"/>
      <c r="N41" s="313"/>
      <c r="O41" s="310">
        <f>_xlfn.IFERROR(VLOOKUP($P41,'Suppl'!$B$2:$N$57,MATCH($B41,'Suppl'!$C$1:$N$1,0)+1,FALSE),"")</f>
        <v>0</v>
      </c>
      <c r="P41" t="s" s="306">
        <f>E41&amp;I41</f>
        <v>284</v>
      </c>
      <c r="Q41" s="286"/>
      <c r="R41" s="298"/>
      <c r="S41" s="298"/>
    </row>
    <row r="42" ht="15" customHeight="1">
      <c r="A42" t="s" s="276">
        <f>B42&amp;E42&amp;I42</f>
        <v>407</v>
      </c>
      <c r="B42" s="351">
        <f>B41</f>
        <v>2</v>
      </c>
      <c r="C42" t="s" s="300">
        <f>C41</f>
        <v>401</v>
      </c>
      <c r="D42" t="s" s="300">
        <v>388</v>
      </c>
      <c r="E42" s="301">
        <v>1</v>
      </c>
      <c r="F42" t="s" s="300">
        <v>389</v>
      </c>
      <c r="G42" t="s" s="352">
        <v>390</v>
      </c>
      <c r="H42" t="s" s="353">
        <v>171</v>
      </c>
      <c r="I42" s="305">
        <v>6</v>
      </c>
      <c r="J42" s="284"/>
      <c r="K42" t="s" s="306">
        <v>171</v>
      </c>
      <c r="L42" s="312"/>
      <c r="M42" s="311"/>
      <c r="N42" s="313"/>
      <c r="O42" s="310">
        <f>_xlfn.IFERROR(VLOOKUP($P42,'Suppl'!$B$2:$N$57,MATCH($B42,'Suppl'!$C$1:$N$1,0)+1,FALSE),"")</f>
        <v>0</v>
      </c>
      <c r="P42" t="s" s="306">
        <f>E42&amp;I42</f>
        <v>288</v>
      </c>
      <c r="Q42" s="286"/>
      <c r="R42" s="298"/>
      <c r="S42" s="298"/>
    </row>
    <row r="43" ht="15" customHeight="1">
      <c r="A43" t="s" s="276">
        <f>B43&amp;E43&amp;I43</f>
        <v>408</v>
      </c>
      <c r="B43" s="354">
        <f>B42</f>
        <v>2</v>
      </c>
      <c r="C43" t="s" s="315">
        <f>C42</f>
        <v>401</v>
      </c>
      <c r="D43" t="s" s="315">
        <v>388</v>
      </c>
      <c r="E43" s="316">
        <v>1</v>
      </c>
      <c r="F43" t="s" s="315">
        <v>389</v>
      </c>
      <c r="G43" t="s" s="355">
        <v>390</v>
      </c>
      <c r="H43" t="s" s="353">
        <v>171</v>
      </c>
      <c r="I43" s="319">
        <v>7</v>
      </c>
      <c r="J43" s="330"/>
      <c r="K43" t="s" s="320">
        <v>171</v>
      </c>
      <c r="L43" s="321"/>
      <c r="M43" s="322"/>
      <c r="N43" s="323"/>
      <c r="O43" s="324">
        <f>_xlfn.IFERROR(VLOOKUP($P43,'Suppl'!$B$2:$N$57,MATCH($B43,'Suppl'!$C$1:$N$1,0)+1,FALSE),"")</f>
        <v>0</v>
      </c>
      <c r="P43" t="s" s="320">
        <f>E43&amp;I43</f>
        <v>292</v>
      </c>
      <c r="Q43" s="286"/>
      <c r="R43" s="298"/>
      <c r="S43" s="298"/>
    </row>
    <row r="44" ht="15" customHeight="1">
      <c r="A44" t="s" s="276">
        <f>B44&amp;E44&amp;I44</f>
        <v>43</v>
      </c>
      <c r="B44" s="356">
        <f>B43</f>
        <v>2</v>
      </c>
      <c r="C44" t="s" s="326">
        <f>C43</f>
        <v>401</v>
      </c>
      <c r="D44" t="s" s="326">
        <v>388</v>
      </c>
      <c r="E44" s="289">
        <v>2</v>
      </c>
      <c r="F44" t="s" s="288">
        <v>409</v>
      </c>
      <c r="G44" t="s" s="357">
        <v>410</v>
      </c>
      <c r="H44" t="s" s="353">
        <v>411</v>
      </c>
      <c r="I44" s="292">
        <v>1</v>
      </c>
      <c r="J44" t="s" s="288">
        <v>412</v>
      </c>
      <c r="K44" t="s" s="288">
        <v>283</v>
      </c>
      <c r="L44" s="327"/>
      <c r="M44" s="328"/>
      <c r="N44" s="328"/>
      <c r="O44" s="296">
        <f>_xlfn.IFERROR(VLOOKUP($P44,'Suppl'!$B$2:$N$57,MATCH($B44,'Suppl'!$C$1:$N$1,0)+1,FALSE),"")</f>
        <v>0</v>
      </c>
      <c r="P44" t="s" s="288">
        <f>E44&amp;I44</f>
        <v>297</v>
      </c>
      <c r="Q44" s="286"/>
      <c r="R44" s="298"/>
      <c r="S44" s="298"/>
    </row>
    <row r="45" ht="15" customHeight="1">
      <c r="A45" t="s" s="276">
        <f>B45&amp;E45&amp;I45</f>
        <v>413</v>
      </c>
      <c r="B45" s="351">
        <f>B44</f>
        <v>2</v>
      </c>
      <c r="C45" t="s" s="300">
        <f>C44</f>
        <v>401</v>
      </c>
      <c r="D45" t="s" s="300">
        <v>388</v>
      </c>
      <c r="E45" s="301">
        <v>2</v>
      </c>
      <c r="F45" t="s" s="300">
        <v>409</v>
      </c>
      <c r="G45" t="s" s="352">
        <v>410</v>
      </c>
      <c r="H45" t="s" s="353">
        <v>171</v>
      </c>
      <c r="I45" s="305">
        <v>2</v>
      </c>
      <c r="J45" t="s" s="306">
        <v>414</v>
      </c>
      <c r="K45" t="s" s="306">
        <v>263</v>
      </c>
      <c r="L45" t="s" s="307">
        <v>415</v>
      </c>
      <c r="M45" s="284"/>
      <c r="N45" s="284"/>
      <c r="O45" s="310">
        <f>_xlfn.IFERROR(VLOOKUP($P45,'Suppl'!$B$2:$N$57,MATCH($B45,'Suppl'!$C$1:$N$1,0)+1,FALSE),"")</f>
        <v>0</v>
      </c>
      <c r="P45" t="s" s="306">
        <f>E45&amp;I45</f>
        <v>300</v>
      </c>
      <c r="Q45" s="286"/>
      <c r="R45" s="298"/>
      <c r="S45" s="298"/>
    </row>
    <row r="46" ht="15" customHeight="1">
      <c r="A46" t="s" s="276">
        <f>B46&amp;E46&amp;I46</f>
        <v>416</v>
      </c>
      <c r="B46" s="351">
        <f>B45</f>
        <v>2</v>
      </c>
      <c r="C46" t="s" s="300">
        <f>C45</f>
        <v>401</v>
      </c>
      <c r="D46" t="s" s="300">
        <v>388</v>
      </c>
      <c r="E46" s="301">
        <v>2</v>
      </c>
      <c r="F46" t="s" s="300">
        <v>409</v>
      </c>
      <c r="G46" t="s" s="352">
        <v>410</v>
      </c>
      <c r="H46" t="s" s="353">
        <v>171</v>
      </c>
      <c r="I46" s="305">
        <v>3</v>
      </c>
      <c r="J46" t="s" s="306">
        <v>417</v>
      </c>
      <c r="K46" t="s" s="306">
        <v>271</v>
      </c>
      <c r="L46" t="s" s="307">
        <v>418</v>
      </c>
      <c r="M46" s="284"/>
      <c r="N46" s="284"/>
      <c r="O46" s="310">
        <f>_xlfn.IFERROR(VLOOKUP($P46,'Suppl'!$B$2:$N$57,MATCH($B46,'Suppl'!$C$1:$N$1,0)+1,FALSE),"")</f>
        <v>0</v>
      </c>
      <c r="P46" t="s" s="306">
        <f>E46&amp;I46</f>
        <v>303</v>
      </c>
      <c r="Q46" s="286"/>
      <c r="R46" s="298"/>
      <c r="S46" s="298"/>
    </row>
    <row r="47" ht="15" customHeight="1">
      <c r="A47" t="s" s="276">
        <f>B47&amp;E47&amp;I47</f>
        <v>419</v>
      </c>
      <c r="B47" s="351">
        <f>B46</f>
        <v>2</v>
      </c>
      <c r="C47" t="s" s="300">
        <f>C46</f>
        <v>401</v>
      </c>
      <c r="D47" t="s" s="300">
        <v>388</v>
      </c>
      <c r="E47" s="301">
        <v>2</v>
      </c>
      <c r="F47" t="s" s="300">
        <v>409</v>
      </c>
      <c r="G47" t="s" s="352">
        <v>410</v>
      </c>
      <c r="H47" t="s" s="353">
        <v>171</v>
      </c>
      <c r="I47" s="305">
        <v>4</v>
      </c>
      <c r="J47" t="s" s="306">
        <v>420</v>
      </c>
      <c r="K47" t="s" s="306">
        <v>271</v>
      </c>
      <c r="L47" t="s" s="307">
        <v>421</v>
      </c>
      <c r="M47" s="284"/>
      <c r="N47" s="284"/>
      <c r="O47" s="310">
        <f>_xlfn.IFERROR(VLOOKUP($P47,'Suppl'!$B$2:$N$57,MATCH($B47,'Suppl'!$C$1:$N$1,0)+1,FALSE),"")</f>
        <v>0</v>
      </c>
      <c r="P47" t="s" s="306">
        <f>E47&amp;I47</f>
        <v>307</v>
      </c>
      <c r="Q47" s="286"/>
      <c r="R47" s="298"/>
      <c r="S47" s="298"/>
    </row>
    <row r="48" ht="15" customHeight="1">
      <c r="A48" t="s" s="276">
        <f>B48&amp;E48&amp;I48</f>
        <v>422</v>
      </c>
      <c r="B48" s="351">
        <f>B47</f>
        <v>2</v>
      </c>
      <c r="C48" t="s" s="300">
        <f>C47</f>
        <v>401</v>
      </c>
      <c r="D48" t="s" s="300">
        <v>388</v>
      </c>
      <c r="E48" s="301">
        <v>2</v>
      </c>
      <c r="F48" t="s" s="300">
        <v>409</v>
      </c>
      <c r="G48" t="s" s="352">
        <v>410</v>
      </c>
      <c r="H48" t="s" s="353">
        <v>171</v>
      </c>
      <c r="I48" s="305">
        <v>5</v>
      </c>
      <c r="J48" t="s" s="306">
        <v>423</v>
      </c>
      <c r="K48" t="s" s="306">
        <v>291</v>
      </c>
      <c r="L48" t="s" s="307">
        <v>424</v>
      </c>
      <c r="M48" s="284"/>
      <c r="N48" s="284"/>
      <c r="O48" s="310">
        <f>_xlfn.IFERROR(VLOOKUP($P48,'Suppl'!$B$2:$N$57,MATCH($B48,'Suppl'!$C$1:$N$1,0)+1,FALSE),"")</f>
        <v>0</v>
      </c>
      <c r="P48" t="s" s="306">
        <f>E48&amp;I48</f>
        <v>311</v>
      </c>
      <c r="Q48" s="286"/>
      <c r="R48" s="298"/>
      <c r="S48" s="298"/>
    </row>
    <row r="49" ht="15" customHeight="1">
      <c r="A49" t="s" s="276">
        <f>B49&amp;E49&amp;I49</f>
        <v>425</v>
      </c>
      <c r="B49" s="351">
        <f>B48</f>
        <v>2</v>
      </c>
      <c r="C49" t="s" s="300">
        <f>C48</f>
        <v>401</v>
      </c>
      <c r="D49" t="s" s="300">
        <v>388</v>
      </c>
      <c r="E49" s="301">
        <v>2</v>
      </c>
      <c r="F49" t="s" s="300">
        <v>409</v>
      </c>
      <c r="G49" t="s" s="352">
        <v>410</v>
      </c>
      <c r="H49" t="s" s="353">
        <v>171</v>
      </c>
      <c r="I49" s="305">
        <v>6</v>
      </c>
      <c r="J49" t="s" s="306">
        <v>426</v>
      </c>
      <c r="K49" t="s" s="306">
        <v>291</v>
      </c>
      <c r="L49" t="s" s="307">
        <v>427</v>
      </c>
      <c r="M49" s="284"/>
      <c r="N49" s="284"/>
      <c r="O49" s="310">
        <f>_xlfn.IFERROR(VLOOKUP($P49,'Suppl'!$B$2:$N$57,MATCH($B49,'Suppl'!$C$1:$N$1,0)+1,FALSE),"")</f>
        <v>0</v>
      </c>
      <c r="P49" t="s" s="306">
        <f>E49&amp;I49</f>
        <v>315</v>
      </c>
      <c r="Q49" s="286"/>
      <c r="R49" s="298"/>
      <c r="S49" s="298"/>
    </row>
    <row r="50" ht="15" customHeight="1">
      <c r="A50" t="s" s="276">
        <f>B50&amp;E50&amp;I50</f>
        <v>428</v>
      </c>
      <c r="B50" s="354">
        <f>B49</f>
        <v>2</v>
      </c>
      <c r="C50" t="s" s="315">
        <f>C49</f>
        <v>401</v>
      </c>
      <c r="D50" t="s" s="315">
        <v>388</v>
      </c>
      <c r="E50" s="316">
        <v>2</v>
      </c>
      <c r="F50" t="s" s="315">
        <v>409</v>
      </c>
      <c r="G50" t="s" s="355">
        <v>410</v>
      </c>
      <c r="H50" t="s" s="353">
        <v>171</v>
      </c>
      <c r="I50" s="319">
        <v>7</v>
      </c>
      <c r="J50" s="330"/>
      <c r="K50" t="s" s="320">
        <v>171</v>
      </c>
      <c r="L50" s="321"/>
      <c r="M50" s="330"/>
      <c r="N50" s="330"/>
      <c r="O50" s="324">
        <f>_xlfn.IFERROR(VLOOKUP($P50,'Suppl'!$B$2:$N$57,MATCH($B50,'Suppl'!$C$1:$N$1,0)+1,FALSE),"")</f>
        <v>0</v>
      </c>
      <c r="P50" t="s" s="320">
        <f>E50&amp;I50</f>
        <v>319</v>
      </c>
      <c r="Q50" s="286"/>
      <c r="R50" s="298"/>
      <c r="S50" s="298"/>
    </row>
    <row r="51" ht="15" customHeight="1">
      <c r="A51" t="s" s="276">
        <f>B51&amp;E51&amp;I51</f>
        <v>45</v>
      </c>
      <c r="B51" s="356">
        <f>B50</f>
        <v>2</v>
      </c>
      <c r="C51" t="s" s="326">
        <f>C50</f>
        <v>401</v>
      </c>
      <c r="D51" t="s" s="326">
        <v>388</v>
      </c>
      <c r="E51" s="289">
        <v>3</v>
      </c>
      <c r="F51" t="s" s="288">
        <v>429</v>
      </c>
      <c r="G51" t="s" s="357">
        <v>430</v>
      </c>
      <c r="H51" t="s" s="353">
        <v>171</v>
      </c>
      <c r="I51" s="292">
        <v>1</v>
      </c>
      <c r="J51" t="s" s="288">
        <v>431</v>
      </c>
      <c r="K51" t="s" s="288">
        <v>263</v>
      </c>
      <c r="L51" t="s" s="293">
        <v>432</v>
      </c>
      <c r="M51" s="328"/>
      <c r="N51" s="328"/>
      <c r="O51" s="296">
        <f>_xlfn.IFERROR(VLOOKUP($P51,'Suppl'!$B$2:$N$57,MATCH($B51,'Suppl'!$C$1:$N$1,0)+1,FALSE),"")</f>
        <v>0</v>
      </c>
      <c r="P51" t="s" s="288">
        <f>E51&amp;I51</f>
        <v>325</v>
      </c>
      <c r="Q51" s="286"/>
      <c r="R51" s="298"/>
      <c r="S51" s="298"/>
    </row>
    <row r="52" ht="15" customHeight="1">
      <c r="A52" t="s" s="276">
        <f>B52&amp;E52&amp;I52</f>
        <v>433</v>
      </c>
      <c r="B52" s="351">
        <f>B51</f>
        <v>2</v>
      </c>
      <c r="C52" t="s" s="300">
        <f>C51</f>
        <v>401</v>
      </c>
      <c r="D52" t="s" s="300">
        <v>388</v>
      </c>
      <c r="E52" s="301">
        <v>3</v>
      </c>
      <c r="F52" t="s" s="300">
        <v>429</v>
      </c>
      <c r="G52" t="s" s="352">
        <v>430</v>
      </c>
      <c r="H52" t="s" s="353">
        <v>171</v>
      </c>
      <c r="I52" s="305">
        <v>2</v>
      </c>
      <c r="J52" t="s" s="306">
        <v>434</v>
      </c>
      <c r="K52" t="s" s="306">
        <v>263</v>
      </c>
      <c r="L52" t="s" s="307">
        <v>435</v>
      </c>
      <c r="M52" s="284"/>
      <c r="N52" s="284"/>
      <c r="O52" s="310">
        <f>_xlfn.IFERROR(VLOOKUP($P52,'Suppl'!$B$2:$N$57,MATCH($B52,'Suppl'!$C$1:$N$1,0)+1,FALSE),"")</f>
        <v>0</v>
      </c>
      <c r="P52" t="s" s="306">
        <f>E52&amp;I52</f>
        <v>329</v>
      </c>
      <c r="Q52" s="286"/>
      <c r="R52" s="298"/>
      <c r="S52" s="298"/>
    </row>
    <row r="53" ht="15" customHeight="1">
      <c r="A53" t="s" s="276">
        <f>B53&amp;E53&amp;I53</f>
        <v>436</v>
      </c>
      <c r="B53" s="351">
        <f>B52</f>
        <v>2</v>
      </c>
      <c r="C53" t="s" s="300">
        <f>C52</f>
        <v>401</v>
      </c>
      <c r="D53" t="s" s="300">
        <v>388</v>
      </c>
      <c r="E53" s="301">
        <v>3</v>
      </c>
      <c r="F53" t="s" s="300">
        <v>429</v>
      </c>
      <c r="G53" t="s" s="352">
        <v>430</v>
      </c>
      <c r="H53" t="s" s="353">
        <v>171</v>
      </c>
      <c r="I53" s="305">
        <v>3</v>
      </c>
      <c r="J53" t="s" s="306">
        <v>437</v>
      </c>
      <c r="K53" t="s" s="306">
        <v>271</v>
      </c>
      <c r="L53" t="s" s="307">
        <v>438</v>
      </c>
      <c r="M53" s="284"/>
      <c r="N53" s="284"/>
      <c r="O53" s="310">
        <f>_xlfn.IFERROR(VLOOKUP($P53,'Suppl'!$B$2:$N$57,MATCH($B53,'Suppl'!$C$1:$N$1,0)+1,FALSE),"")</f>
        <v>0</v>
      </c>
      <c r="P53" t="s" s="306">
        <f>E53&amp;I53</f>
        <v>333</v>
      </c>
      <c r="Q53" s="286"/>
      <c r="R53" s="298"/>
      <c r="S53" s="298"/>
    </row>
    <row r="54" ht="15" customHeight="1">
      <c r="A54" t="s" s="276">
        <f>B54&amp;E54&amp;I54</f>
        <v>439</v>
      </c>
      <c r="B54" s="351">
        <f>B53</f>
        <v>2</v>
      </c>
      <c r="C54" t="s" s="300">
        <f>C53</f>
        <v>401</v>
      </c>
      <c r="D54" t="s" s="300">
        <v>388</v>
      </c>
      <c r="E54" s="301">
        <v>3</v>
      </c>
      <c r="F54" t="s" s="300">
        <v>429</v>
      </c>
      <c r="G54" t="s" s="352">
        <v>430</v>
      </c>
      <c r="H54" t="s" s="353">
        <v>171</v>
      </c>
      <c r="I54" s="305">
        <v>4</v>
      </c>
      <c r="J54" t="s" s="306">
        <v>440</v>
      </c>
      <c r="K54" t="s" s="306">
        <v>283</v>
      </c>
      <c r="L54" t="s" s="307">
        <v>441</v>
      </c>
      <c r="M54" s="284"/>
      <c r="N54" s="284"/>
      <c r="O54" s="310">
        <f>_xlfn.IFERROR(VLOOKUP($P54,'Suppl'!$B$2:$N$57,MATCH($B54,'Suppl'!$C$1:$N$1,0)+1,FALSE),"")</f>
        <v>0</v>
      </c>
      <c r="P54" t="s" s="306">
        <f>E54&amp;I54</f>
        <v>336</v>
      </c>
      <c r="Q54" s="286"/>
      <c r="R54" s="298"/>
      <c r="S54" s="298"/>
    </row>
    <row r="55" ht="15" customHeight="1">
      <c r="A55" t="s" s="276">
        <f>B55&amp;E55&amp;I55</f>
        <v>442</v>
      </c>
      <c r="B55" s="351">
        <f>B54</f>
        <v>2</v>
      </c>
      <c r="C55" t="s" s="300">
        <f>C54</f>
        <v>401</v>
      </c>
      <c r="D55" t="s" s="300">
        <v>388</v>
      </c>
      <c r="E55" s="301">
        <v>3</v>
      </c>
      <c r="F55" t="s" s="300">
        <v>429</v>
      </c>
      <c r="G55" t="s" s="352">
        <v>430</v>
      </c>
      <c r="H55" t="s" s="353">
        <v>171</v>
      </c>
      <c r="I55" s="305">
        <v>5</v>
      </c>
      <c r="J55" s="284"/>
      <c r="K55" t="s" s="306">
        <v>171</v>
      </c>
      <c r="L55" s="312"/>
      <c r="M55" s="284"/>
      <c r="N55" s="284"/>
      <c r="O55" s="310">
        <f>_xlfn.IFERROR(VLOOKUP($P55,'Suppl'!$B$2:$N$57,MATCH($B55,'Suppl'!$C$1:$N$1,0)+1,FALSE),"")</f>
        <v>0</v>
      </c>
      <c r="P55" t="s" s="306">
        <f>E55&amp;I55</f>
        <v>338</v>
      </c>
      <c r="Q55" s="286"/>
      <c r="R55" s="298"/>
      <c r="S55" s="298"/>
    </row>
    <row r="56" ht="15" customHeight="1">
      <c r="A56" t="s" s="276">
        <f>B56&amp;E56&amp;I56</f>
        <v>443</v>
      </c>
      <c r="B56" s="351">
        <f>B55</f>
        <v>2</v>
      </c>
      <c r="C56" t="s" s="300">
        <f>C55</f>
        <v>401</v>
      </c>
      <c r="D56" t="s" s="300">
        <v>388</v>
      </c>
      <c r="E56" s="301">
        <v>3</v>
      </c>
      <c r="F56" t="s" s="300">
        <v>429</v>
      </c>
      <c r="G56" t="s" s="352">
        <v>430</v>
      </c>
      <c r="H56" t="s" s="353">
        <v>171</v>
      </c>
      <c r="I56" s="305">
        <v>6</v>
      </c>
      <c r="J56" s="284"/>
      <c r="K56" t="s" s="306">
        <v>171</v>
      </c>
      <c r="L56" s="312"/>
      <c r="M56" s="284"/>
      <c r="N56" s="284"/>
      <c r="O56" s="310">
        <f>_xlfn.IFERROR(VLOOKUP($P56,'Suppl'!$B$2:$N$57,MATCH($B56,'Suppl'!$C$1:$N$1,0)+1,FALSE),"")</f>
        <v>0</v>
      </c>
      <c r="P56" t="s" s="306">
        <f>E56&amp;I56</f>
        <v>340</v>
      </c>
      <c r="Q56" s="286"/>
      <c r="R56" s="298"/>
      <c r="S56" s="298"/>
    </row>
    <row r="57" ht="15" customHeight="1">
      <c r="A57" t="s" s="276">
        <f>B57&amp;E57&amp;I57</f>
        <v>444</v>
      </c>
      <c r="B57" s="354">
        <f>B56</f>
        <v>2</v>
      </c>
      <c r="C57" t="s" s="315">
        <f>C56</f>
        <v>401</v>
      </c>
      <c r="D57" t="s" s="315">
        <v>388</v>
      </c>
      <c r="E57" s="316">
        <v>3</v>
      </c>
      <c r="F57" t="s" s="315">
        <v>429</v>
      </c>
      <c r="G57" t="s" s="355">
        <v>430</v>
      </c>
      <c r="H57" t="s" s="353">
        <v>171</v>
      </c>
      <c r="I57" s="319">
        <v>7</v>
      </c>
      <c r="J57" s="330"/>
      <c r="K57" t="s" s="320">
        <v>171</v>
      </c>
      <c r="L57" s="321"/>
      <c r="M57" s="330"/>
      <c r="N57" s="330"/>
      <c r="O57" s="324">
        <f>_xlfn.IFERROR(VLOOKUP($P57,'Suppl'!$B$2:$N$57,MATCH($B57,'Suppl'!$C$1:$N$1,0)+1,FALSE),"")</f>
        <v>0</v>
      </c>
      <c r="P57" t="s" s="320">
        <f>E57&amp;I57</f>
        <v>342</v>
      </c>
      <c r="Q57" s="286"/>
      <c r="R57" s="298"/>
      <c r="S57" s="298"/>
    </row>
    <row r="58" ht="15" customHeight="1">
      <c r="A58" t="s" s="276">
        <f>B58&amp;E58&amp;I58</f>
        <v>48</v>
      </c>
      <c r="B58" s="356">
        <f>B57</f>
        <v>2</v>
      </c>
      <c r="C58" t="s" s="326">
        <f>C57</f>
        <v>401</v>
      </c>
      <c r="D58" t="s" s="326">
        <v>388</v>
      </c>
      <c r="E58" s="289">
        <v>4</v>
      </c>
      <c r="F58" t="s" s="288">
        <v>445</v>
      </c>
      <c r="G58" t="s" s="357">
        <v>446</v>
      </c>
      <c r="H58" t="s" s="353">
        <v>447</v>
      </c>
      <c r="I58" s="292">
        <v>1</v>
      </c>
      <c r="J58" t="s" s="288">
        <v>448</v>
      </c>
      <c r="K58" t="s" s="288">
        <v>263</v>
      </c>
      <c r="L58" t="s" s="293">
        <v>449</v>
      </c>
      <c r="M58" s="328"/>
      <c r="N58" s="328"/>
      <c r="O58" s="296">
        <f>_xlfn.IFERROR(VLOOKUP($P58,'Suppl'!$B$2:$N$57,MATCH($B58,'Suppl'!$C$1:$N$1,0)+1,FALSE),"")</f>
        <v>0</v>
      </c>
      <c r="P58" t="s" s="288">
        <f>E58&amp;I58</f>
        <v>348</v>
      </c>
      <c r="Q58" s="286"/>
      <c r="R58" s="298"/>
      <c r="S58" s="298"/>
    </row>
    <row r="59" ht="15" customHeight="1">
      <c r="A59" t="s" s="276">
        <f>B59&amp;E59&amp;I59</f>
        <v>450</v>
      </c>
      <c r="B59" s="351">
        <f>B58</f>
        <v>2</v>
      </c>
      <c r="C59" t="s" s="300">
        <f>C58</f>
        <v>401</v>
      </c>
      <c r="D59" t="s" s="300">
        <v>388</v>
      </c>
      <c r="E59" s="301">
        <v>4</v>
      </c>
      <c r="F59" t="s" s="300">
        <v>445</v>
      </c>
      <c r="G59" t="s" s="352">
        <v>446</v>
      </c>
      <c r="H59" t="s" s="353">
        <v>171</v>
      </c>
      <c r="I59" s="305">
        <v>2</v>
      </c>
      <c r="J59" t="s" s="306">
        <v>451</v>
      </c>
      <c r="K59" t="s" s="306">
        <v>271</v>
      </c>
      <c r="L59" t="s" s="307">
        <v>452</v>
      </c>
      <c r="M59" s="284"/>
      <c r="N59" s="284"/>
      <c r="O59" s="310">
        <f>_xlfn.IFERROR(VLOOKUP($P59,'Suppl'!$B$2:$N$57,MATCH($B59,'Suppl'!$C$1:$N$1,0)+1,FALSE),"")</f>
        <v>0</v>
      </c>
      <c r="P59" t="s" s="306">
        <f>E59&amp;I59</f>
        <v>351</v>
      </c>
      <c r="Q59" s="286"/>
      <c r="R59" s="298"/>
      <c r="S59" s="298"/>
    </row>
    <row r="60" ht="15" customHeight="1">
      <c r="A60" t="s" s="276">
        <f>B60&amp;E60&amp;I60</f>
        <v>453</v>
      </c>
      <c r="B60" s="351">
        <f>B59</f>
        <v>2</v>
      </c>
      <c r="C60" t="s" s="300">
        <f>C59</f>
        <v>401</v>
      </c>
      <c r="D60" t="s" s="300">
        <v>388</v>
      </c>
      <c r="E60" s="301">
        <v>4</v>
      </c>
      <c r="F60" t="s" s="300">
        <v>445</v>
      </c>
      <c r="G60" t="s" s="352">
        <v>446</v>
      </c>
      <c r="H60" t="s" s="353">
        <v>171</v>
      </c>
      <c r="I60" s="305">
        <v>3</v>
      </c>
      <c r="J60" t="s" s="306">
        <v>454</v>
      </c>
      <c r="K60" t="s" s="306">
        <v>291</v>
      </c>
      <c r="L60" s="312"/>
      <c r="M60" s="284"/>
      <c r="N60" s="284"/>
      <c r="O60" s="310">
        <f>_xlfn.IFERROR(VLOOKUP($P60,'Suppl'!$B$2:$N$57,MATCH($B60,'Suppl'!$C$1:$N$1,0)+1,FALSE),"")</f>
        <v>0</v>
      </c>
      <c r="P60" t="s" s="306">
        <f>E60&amp;I60</f>
        <v>354</v>
      </c>
      <c r="Q60" s="286"/>
      <c r="R60" s="298"/>
      <c r="S60" s="298"/>
    </row>
    <row r="61" ht="15" customHeight="1">
      <c r="A61" t="s" s="276">
        <f>B61&amp;E61&amp;I61</f>
        <v>455</v>
      </c>
      <c r="B61" s="351">
        <f>B60</f>
        <v>2</v>
      </c>
      <c r="C61" t="s" s="300">
        <f>C60</f>
        <v>401</v>
      </c>
      <c r="D61" t="s" s="300">
        <v>388</v>
      </c>
      <c r="E61" s="301">
        <v>4</v>
      </c>
      <c r="F61" t="s" s="300">
        <v>445</v>
      </c>
      <c r="G61" t="s" s="352">
        <v>446</v>
      </c>
      <c r="H61" t="s" s="353">
        <v>171</v>
      </c>
      <c r="I61" s="305">
        <v>4</v>
      </c>
      <c r="J61" t="s" s="306">
        <v>456</v>
      </c>
      <c r="K61" t="s" s="306">
        <v>271</v>
      </c>
      <c r="L61" s="312"/>
      <c r="M61" s="284"/>
      <c r="N61" s="284"/>
      <c r="O61" s="310">
        <f>_xlfn.IFERROR(VLOOKUP($P61,'Suppl'!$B$2:$N$57,MATCH($B61,'Suppl'!$C$1:$N$1,0)+1,FALSE),"")</f>
        <v>0</v>
      </c>
      <c r="P61" t="s" s="358">
        <f>E61&amp;I61</f>
        <v>357</v>
      </c>
      <c r="Q61" s="286"/>
      <c r="R61" s="298"/>
      <c r="S61" s="298"/>
    </row>
    <row r="62" ht="15" customHeight="1">
      <c r="A62" t="s" s="276">
        <f>B62&amp;E62&amp;I62</f>
        <v>457</v>
      </c>
      <c r="B62" s="351">
        <f>B61</f>
        <v>2</v>
      </c>
      <c r="C62" t="s" s="300">
        <f>C61</f>
        <v>401</v>
      </c>
      <c r="D62" t="s" s="300">
        <v>388</v>
      </c>
      <c r="E62" s="301">
        <v>4</v>
      </c>
      <c r="F62" t="s" s="300">
        <v>445</v>
      </c>
      <c r="G62" t="s" s="352">
        <v>446</v>
      </c>
      <c r="H62" t="s" s="353">
        <v>171</v>
      </c>
      <c r="I62" s="305">
        <v>5</v>
      </c>
      <c r="J62" t="s" s="306">
        <v>458</v>
      </c>
      <c r="K62" t="s" s="306">
        <v>291</v>
      </c>
      <c r="L62" t="s" s="307">
        <v>459</v>
      </c>
      <c r="M62" s="284"/>
      <c r="N62" s="284"/>
      <c r="O62" s="310">
        <f>_xlfn.IFERROR(VLOOKUP($P62,'Suppl'!$B$2:$N$57,MATCH($B62,'Suppl'!$C$1:$N$1,0)+1,FALSE),"")</f>
        <v>0</v>
      </c>
      <c r="P62" t="s" s="359">
        <f>E62&amp;I62</f>
        <v>360</v>
      </c>
      <c r="Q62" s="286"/>
      <c r="R62" s="298"/>
      <c r="S62" s="298"/>
    </row>
    <row r="63" ht="15" customHeight="1">
      <c r="A63" t="s" s="276">
        <f>B63&amp;E63&amp;I63</f>
        <v>460</v>
      </c>
      <c r="B63" s="351">
        <f>B62</f>
        <v>2</v>
      </c>
      <c r="C63" t="s" s="300">
        <f>C62</f>
        <v>401</v>
      </c>
      <c r="D63" t="s" s="300">
        <v>388</v>
      </c>
      <c r="E63" s="301">
        <v>4</v>
      </c>
      <c r="F63" t="s" s="300">
        <v>445</v>
      </c>
      <c r="G63" t="s" s="352">
        <v>446</v>
      </c>
      <c r="H63" t="s" s="353">
        <v>171</v>
      </c>
      <c r="I63" s="305">
        <v>6</v>
      </c>
      <c r="J63" s="284"/>
      <c r="K63" t="s" s="306">
        <v>171</v>
      </c>
      <c r="L63" s="312"/>
      <c r="M63" s="284"/>
      <c r="N63" s="284"/>
      <c r="O63" s="310">
        <f>_xlfn.IFERROR(VLOOKUP($P63,'Suppl'!$B$2:$N$57,MATCH($B63,'Suppl'!$C$1:$N$1,0)+1,FALSE),"")</f>
        <v>0</v>
      </c>
      <c r="P63" t="s" s="359">
        <f>E63&amp;I63</f>
        <v>363</v>
      </c>
      <c r="Q63" s="286"/>
      <c r="R63" s="298"/>
      <c r="S63" s="298"/>
    </row>
    <row r="64" ht="15" customHeight="1">
      <c r="A64" t="s" s="276">
        <f>B64&amp;E64&amp;I64</f>
        <v>461</v>
      </c>
      <c r="B64" s="354">
        <f>B63</f>
        <v>2</v>
      </c>
      <c r="C64" t="s" s="315">
        <f>C63</f>
        <v>401</v>
      </c>
      <c r="D64" t="s" s="315">
        <v>388</v>
      </c>
      <c r="E64" s="316">
        <v>4</v>
      </c>
      <c r="F64" t="s" s="315">
        <v>445</v>
      </c>
      <c r="G64" t="s" s="355">
        <v>446</v>
      </c>
      <c r="H64" t="s" s="353">
        <v>171</v>
      </c>
      <c r="I64" s="319">
        <v>7</v>
      </c>
      <c r="J64" s="330"/>
      <c r="K64" t="s" s="320">
        <v>171</v>
      </c>
      <c r="L64" s="321"/>
      <c r="M64" s="330"/>
      <c r="N64" s="330"/>
      <c r="O64" s="324">
        <f>_xlfn.IFERROR(VLOOKUP($P64,'Suppl'!$B$2:$N$57,MATCH($B64,'Suppl'!$C$1:$N$1,0)+1,FALSE),"")</f>
        <v>0</v>
      </c>
      <c r="P64" t="s" s="360">
        <f>E64&amp;I64</f>
        <v>365</v>
      </c>
      <c r="Q64" s="286"/>
      <c r="R64" s="298"/>
      <c r="S64" s="298"/>
    </row>
    <row r="65" ht="15" customHeight="1">
      <c r="A65" t="s" s="276">
        <f>B65&amp;E65&amp;I65</f>
        <v>51</v>
      </c>
      <c r="B65" s="356">
        <f>B64</f>
        <v>2</v>
      </c>
      <c r="C65" t="s" s="326">
        <f>C64</f>
        <v>401</v>
      </c>
      <c r="D65" t="s" s="326">
        <v>388</v>
      </c>
      <c r="E65" s="289">
        <v>5</v>
      </c>
      <c r="F65" t="s" s="288">
        <v>462</v>
      </c>
      <c r="G65" t="s" s="357">
        <v>463</v>
      </c>
      <c r="H65" t="s" s="353">
        <v>464</v>
      </c>
      <c r="I65" s="292">
        <v>1</v>
      </c>
      <c r="J65" t="s" s="288">
        <v>465</v>
      </c>
      <c r="K65" t="s" s="288">
        <v>263</v>
      </c>
      <c r="L65" t="s" s="293">
        <v>466</v>
      </c>
      <c r="M65" s="328"/>
      <c r="N65" s="328"/>
      <c r="O65" s="296">
        <f>_xlfn.IFERROR(VLOOKUP($P65,'Suppl'!$B$2:$N$57,MATCH($B65,'Suppl'!$C$1:$N$1,0)+1,FALSE),"")</f>
        <v>0</v>
      </c>
      <c r="P65" t="s" s="288">
        <f>E65&amp;I65</f>
        <v>370</v>
      </c>
      <c r="Q65" s="286"/>
      <c r="R65" s="298"/>
      <c r="S65" s="298"/>
    </row>
    <row r="66" ht="15" customHeight="1">
      <c r="A66" t="s" s="276">
        <f>B66&amp;E66&amp;I66</f>
        <v>467</v>
      </c>
      <c r="B66" s="351">
        <f>B65</f>
        <v>2</v>
      </c>
      <c r="C66" t="s" s="300">
        <f>C65</f>
        <v>401</v>
      </c>
      <c r="D66" t="s" s="300">
        <v>388</v>
      </c>
      <c r="E66" s="301">
        <v>5</v>
      </c>
      <c r="F66" t="s" s="300">
        <v>462</v>
      </c>
      <c r="G66" t="s" s="352">
        <v>463</v>
      </c>
      <c r="H66" t="s" s="353">
        <v>171</v>
      </c>
      <c r="I66" s="305">
        <v>2</v>
      </c>
      <c r="J66" t="s" s="306">
        <v>468</v>
      </c>
      <c r="K66" t="s" s="306">
        <v>291</v>
      </c>
      <c r="L66" s="312"/>
      <c r="M66" s="284"/>
      <c r="N66" s="284"/>
      <c r="O66" s="310">
        <f>_xlfn.IFERROR(VLOOKUP($P66,'Suppl'!$B$2:$N$57,MATCH($B66,'Suppl'!$C$1:$N$1,0)+1,FALSE),"")</f>
        <v>0</v>
      </c>
      <c r="P66" t="s" s="306">
        <f>E66&amp;I66</f>
        <v>374</v>
      </c>
      <c r="Q66" s="286"/>
      <c r="R66" s="298"/>
      <c r="S66" s="298"/>
    </row>
    <row r="67" ht="15" customHeight="1">
      <c r="A67" t="s" s="276">
        <f>B67&amp;E67&amp;I67</f>
        <v>469</v>
      </c>
      <c r="B67" s="351">
        <f>B66</f>
        <v>2</v>
      </c>
      <c r="C67" t="s" s="300">
        <f>C66</f>
        <v>401</v>
      </c>
      <c r="D67" t="s" s="300">
        <v>388</v>
      </c>
      <c r="E67" s="301">
        <v>5</v>
      </c>
      <c r="F67" t="s" s="300">
        <v>462</v>
      </c>
      <c r="G67" t="s" s="352">
        <v>463</v>
      </c>
      <c r="H67" t="s" s="353">
        <v>171</v>
      </c>
      <c r="I67" s="305">
        <v>3</v>
      </c>
      <c r="J67" t="s" s="306">
        <v>470</v>
      </c>
      <c r="K67" t="s" s="306">
        <v>271</v>
      </c>
      <c r="L67" s="312"/>
      <c r="M67" s="284"/>
      <c r="N67" s="284"/>
      <c r="O67" s="310">
        <f>_xlfn.IFERROR(VLOOKUP($P67,'Suppl'!$B$2:$N$57,MATCH($B67,'Suppl'!$C$1:$N$1,0)+1,FALSE),"")</f>
        <v>0</v>
      </c>
      <c r="P67" t="s" s="306">
        <f>E67&amp;I67</f>
        <v>377</v>
      </c>
      <c r="Q67" s="286"/>
      <c r="R67" s="298"/>
      <c r="S67" s="298"/>
    </row>
    <row r="68" ht="15" customHeight="1">
      <c r="A68" t="s" s="276">
        <f>B68&amp;E68&amp;I68</f>
        <v>471</v>
      </c>
      <c r="B68" s="351">
        <f>B67</f>
        <v>2</v>
      </c>
      <c r="C68" t="s" s="300">
        <f>C67</f>
        <v>401</v>
      </c>
      <c r="D68" t="s" s="300">
        <v>388</v>
      </c>
      <c r="E68" s="301">
        <v>5</v>
      </c>
      <c r="F68" t="s" s="300">
        <v>462</v>
      </c>
      <c r="G68" t="s" s="352">
        <v>463</v>
      </c>
      <c r="H68" t="s" s="353">
        <v>171</v>
      </c>
      <c r="I68" s="305">
        <v>4</v>
      </c>
      <c r="J68" t="s" s="306">
        <v>472</v>
      </c>
      <c r="K68" t="s" s="306">
        <v>256</v>
      </c>
      <c r="L68" s="312"/>
      <c r="M68" s="284"/>
      <c r="N68" s="284"/>
      <c r="O68" s="310">
        <f>_xlfn.IFERROR(VLOOKUP($P68,'Suppl'!$B$2:$N$57,MATCH($B68,'Suppl'!$C$1:$N$1,0)+1,FALSE),"")</f>
        <v>0</v>
      </c>
      <c r="P68" t="s" s="306">
        <f>E68&amp;I68</f>
        <v>380</v>
      </c>
      <c r="Q68" s="286"/>
      <c r="R68" s="298"/>
      <c r="S68" s="298"/>
    </row>
    <row r="69" ht="15" customHeight="1">
      <c r="A69" t="s" s="276">
        <f>B69&amp;E69&amp;I69</f>
        <v>473</v>
      </c>
      <c r="B69" s="351">
        <f>B68</f>
        <v>2</v>
      </c>
      <c r="C69" t="s" s="300">
        <f>C68</f>
        <v>401</v>
      </c>
      <c r="D69" t="s" s="300">
        <v>388</v>
      </c>
      <c r="E69" s="301">
        <v>5</v>
      </c>
      <c r="F69" t="s" s="300">
        <v>462</v>
      </c>
      <c r="G69" t="s" s="352">
        <v>463</v>
      </c>
      <c r="H69" t="s" s="353">
        <v>171</v>
      </c>
      <c r="I69" s="305">
        <v>5</v>
      </c>
      <c r="J69" s="284"/>
      <c r="K69" t="s" s="306">
        <v>171</v>
      </c>
      <c r="L69" s="312"/>
      <c r="M69" s="284"/>
      <c r="N69" s="284"/>
      <c r="O69" s="310">
        <f>_xlfn.IFERROR(VLOOKUP($P69,'Suppl'!$B$2:$N$57,MATCH($B69,'Suppl'!$C$1:$N$1,0)+1,FALSE),"")</f>
        <v>0</v>
      </c>
      <c r="P69" t="s" s="306">
        <f>E69&amp;I69</f>
        <v>383</v>
      </c>
      <c r="Q69" s="286"/>
      <c r="R69" s="298"/>
      <c r="S69" s="298"/>
    </row>
    <row r="70" ht="15" customHeight="1">
      <c r="A70" t="s" s="276">
        <f>B70&amp;E70&amp;I70</f>
        <v>474</v>
      </c>
      <c r="B70" s="351">
        <f>B69</f>
        <v>2</v>
      </c>
      <c r="C70" t="s" s="300">
        <f>C69</f>
        <v>401</v>
      </c>
      <c r="D70" t="s" s="300">
        <v>388</v>
      </c>
      <c r="E70" s="301">
        <v>5</v>
      </c>
      <c r="F70" t="s" s="300">
        <v>462</v>
      </c>
      <c r="G70" t="s" s="352">
        <v>463</v>
      </c>
      <c r="H70" t="s" s="353">
        <v>171</v>
      </c>
      <c r="I70" s="305">
        <v>6</v>
      </c>
      <c r="J70" s="284"/>
      <c r="K70" t="s" s="306">
        <v>171</v>
      </c>
      <c r="L70" s="312"/>
      <c r="M70" s="284"/>
      <c r="N70" s="284"/>
      <c r="O70" s="310">
        <f>_xlfn.IFERROR(VLOOKUP($P70,'Suppl'!$B$2:$N$57,MATCH($B70,'Suppl'!$C$1:$N$1,0)+1,FALSE),"")</f>
        <v>0</v>
      </c>
      <c r="P70" t="s" s="306">
        <f>E70&amp;I70</f>
        <v>385</v>
      </c>
      <c r="Q70" s="286"/>
      <c r="R70" s="298"/>
      <c r="S70" s="298"/>
    </row>
    <row r="71" ht="15" customHeight="1">
      <c r="A71" t="s" s="276">
        <f>B71&amp;E71&amp;I71</f>
        <v>475</v>
      </c>
      <c r="B71" s="354">
        <f>B70</f>
        <v>2</v>
      </c>
      <c r="C71" t="s" s="315">
        <f>C70</f>
        <v>401</v>
      </c>
      <c r="D71" t="s" s="315">
        <v>388</v>
      </c>
      <c r="E71" s="316">
        <v>5</v>
      </c>
      <c r="F71" t="s" s="315">
        <v>462</v>
      </c>
      <c r="G71" t="s" s="355">
        <v>463</v>
      </c>
      <c r="H71" t="s" s="353">
        <v>171</v>
      </c>
      <c r="I71" s="319">
        <v>7</v>
      </c>
      <c r="J71" s="330"/>
      <c r="K71" t="s" s="320">
        <v>171</v>
      </c>
      <c r="L71" s="321"/>
      <c r="M71" s="330"/>
      <c r="N71" s="330"/>
      <c r="O71" s="324">
        <f>_xlfn.IFERROR(VLOOKUP($P71,'Suppl'!$B$2:$N$57,MATCH($B71,'Suppl'!$C$1:$N$1,0)+1,FALSE),"")</f>
        <v>0</v>
      </c>
      <c r="P71" t="s" s="320">
        <f>E71&amp;I71</f>
        <v>387</v>
      </c>
      <c r="Q71" s="286"/>
      <c r="R71" s="298"/>
      <c r="S71" s="298"/>
    </row>
    <row r="72" ht="15" customHeight="1">
      <c r="A72" t="s" s="276">
        <f>B72&amp;E72&amp;I72</f>
        <v>53</v>
      </c>
      <c r="B72" s="356">
        <f>B71</f>
        <v>2</v>
      </c>
      <c r="C72" t="s" s="326">
        <f>C71</f>
        <v>401</v>
      </c>
      <c r="D72" t="s" s="326">
        <v>388</v>
      </c>
      <c r="E72" s="289">
        <v>6</v>
      </c>
      <c r="F72" t="s" s="288">
        <v>320</v>
      </c>
      <c r="G72" t="s" s="357">
        <v>476</v>
      </c>
      <c r="H72" t="s" s="353">
        <v>477</v>
      </c>
      <c r="I72" s="292">
        <v>1</v>
      </c>
      <c r="J72" t="s" s="288">
        <v>478</v>
      </c>
      <c r="K72" t="s" s="288">
        <v>263</v>
      </c>
      <c r="L72" s="327"/>
      <c r="M72" s="328"/>
      <c r="N72" s="328"/>
      <c r="O72" s="296">
        <f>_xlfn.IFERROR(VLOOKUP($P72,'Suppl'!$B$2:$N$57,MATCH($B72,'Suppl'!$C$1:$N$1,0)+1,FALSE),"")</f>
        <v>0</v>
      </c>
      <c r="P72" t="s" s="288">
        <f>E72&amp;I72</f>
        <v>479</v>
      </c>
      <c r="Q72" s="286"/>
      <c r="R72" s="298"/>
      <c r="S72" s="298"/>
    </row>
    <row r="73" ht="15" customHeight="1">
      <c r="A73" t="s" s="276">
        <f>B73&amp;E73&amp;I73</f>
        <v>480</v>
      </c>
      <c r="B73" s="351">
        <f>B72</f>
        <v>2</v>
      </c>
      <c r="C73" t="s" s="300">
        <f>C72</f>
        <v>401</v>
      </c>
      <c r="D73" t="s" s="300">
        <v>388</v>
      </c>
      <c r="E73" s="301">
        <v>6</v>
      </c>
      <c r="F73" t="s" s="300">
        <v>320</v>
      </c>
      <c r="G73" t="s" s="352">
        <v>476</v>
      </c>
      <c r="H73" t="s" s="353">
        <v>171</v>
      </c>
      <c r="I73" s="305">
        <v>2</v>
      </c>
      <c r="J73" t="s" s="306">
        <v>481</v>
      </c>
      <c r="K73" t="s" s="306">
        <v>271</v>
      </c>
      <c r="L73" t="s" s="307">
        <v>482</v>
      </c>
      <c r="M73" s="284"/>
      <c r="N73" s="284"/>
      <c r="O73" s="310">
        <f>_xlfn.IFERROR(VLOOKUP($P73,'Suppl'!$B$2:$N$57,MATCH($B73,'Suppl'!$C$1:$N$1,0)+1,FALSE),"")</f>
        <v>0</v>
      </c>
      <c r="P73" t="s" s="306">
        <f>E73&amp;I73</f>
        <v>483</v>
      </c>
      <c r="Q73" s="286"/>
      <c r="R73" s="298"/>
      <c r="S73" s="298"/>
    </row>
    <row r="74" ht="15" customHeight="1">
      <c r="A74" t="s" s="276">
        <f>B74&amp;E74&amp;I74</f>
        <v>484</v>
      </c>
      <c r="B74" s="351">
        <f>B73</f>
        <v>2</v>
      </c>
      <c r="C74" t="s" s="300">
        <f>C73</f>
        <v>401</v>
      </c>
      <c r="D74" t="s" s="300">
        <v>388</v>
      </c>
      <c r="E74" s="301">
        <v>6</v>
      </c>
      <c r="F74" t="s" s="300">
        <v>320</v>
      </c>
      <c r="G74" t="s" s="352">
        <v>476</v>
      </c>
      <c r="H74" t="s" s="353">
        <v>171</v>
      </c>
      <c r="I74" s="305">
        <v>3</v>
      </c>
      <c r="J74" t="s" s="306">
        <v>485</v>
      </c>
      <c r="K74" t="s" s="306">
        <v>291</v>
      </c>
      <c r="L74" t="s" s="307">
        <v>486</v>
      </c>
      <c r="M74" s="284"/>
      <c r="N74" s="284"/>
      <c r="O74" s="310">
        <f>_xlfn.IFERROR(VLOOKUP($P74,'Suppl'!$B$2:$N$57,MATCH($B74,'Suppl'!$C$1:$N$1,0)+1,FALSE),"")</f>
        <v>0</v>
      </c>
      <c r="P74" t="s" s="306">
        <f>E74&amp;I74</f>
        <v>487</v>
      </c>
      <c r="Q74" s="286"/>
      <c r="R74" s="298"/>
      <c r="S74" s="298"/>
    </row>
    <row r="75" ht="15" customHeight="1">
      <c r="A75" t="s" s="276">
        <f>B75&amp;E75&amp;I75</f>
        <v>488</v>
      </c>
      <c r="B75" s="351">
        <f>B74</f>
        <v>2</v>
      </c>
      <c r="C75" t="s" s="300">
        <f>C74</f>
        <v>401</v>
      </c>
      <c r="D75" t="s" s="300">
        <v>388</v>
      </c>
      <c r="E75" s="301">
        <v>6</v>
      </c>
      <c r="F75" t="s" s="300">
        <v>320</v>
      </c>
      <c r="G75" t="s" s="352">
        <v>476</v>
      </c>
      <c r="H75" t="s" s="353">
        <v>171</v>
      </c>
      <c r="I75" s="305">
        <v>4</v>
      </c>
      <c r="J75" t="s" s="306">
        <v>489</v>
      </c>
      <c r="K75" t="s" s="306">
        <v>256</v>
      </c>
      <c r="L75" s="312"/>
      <c r="M75" s="284"/>
      <c r="N75" s="284"/>
      <c r="O75" s="310">
        <f>_xlfn.IFERROR(VLOOKUP($P75,'Suppl'!$B$2:$N$57,MATCH($B75,'Suppl'!$C$1:$N$1,0)+1,FALSE),"")</f>
        <v>0</v>
      </c>
      <c r="P75" t="s" s="306">
        <f>E75&amp;I75</f>
        <v>490</v>
      </c>
      <c r="Q75" s="286"/>
      <c r="R75" s="298"/>
      <c r="S75" s="298"/>
    </row>
    <row r="76" ht="15" customHeight="1">
      <c r="A76" t="s" s="276">
        <f>B76&amp;E76&amp;I76</f>
        <v>491</v>
      </c>
      <c r="B76" s="351">
        <f>B75</f>
        <v>2</v>
      </c>
      <c r="C76" t="s" s="300">
        <f>C75</f>
        <v>401</v>
      </c>
      <c r="D76" t="s" s="300">
        <v>388</v>
      </c>
      <c r="E76" s="301">
        <v>6</v>
      </c>
      <c r="F76" t="s" s="300">
        <v>320</v>
      </c>
      <c r="G76" t="s" s="352">
        <v>476</v>
      </c>
      <c r="H76" t="s" s="353">
        <v>171</v>
      </c>
      <c r="I76" s="305">
        <v>5</v>
      </c>
      <c r="J76" s="284"/>
      <c r="K76" s="284"/>
      <c r="L76" s="312"/>
      <c r="M76" s="284"/>
      <c r="N76" s="284"/>
      <c r="O76" s="310">
        <f>_xlfn.IFERROR(VLOOKUP($P76,'Suppl'!$B$2:$N$57,MATCH($B76,'Suppl'!$C$1:$N$1,0)+1,FALSE),"")</f>
        <v>0</v>
      </c>
      <c r="P76" t="s" s="306">
        <f>E76&amp;I76</f>
        <v>492</v>
      </c>
      <c r="Q76" s="286"/>
      <c r="R76" s="298"/>
      <c r="S76" s="298"/>
    </row>
    <row r="77" ht="15" customHeight="1">
      <c r="A77" t="s" s="276">
        <f>B77&amp;E77&amp;I77</f>
        <v>493</v>
      </c>
      <c r="B77" s="351">
        <f>B76</f>
        <v>2</v>
      </c>
      <c r="C77" t="s" s="300">
        <f>C76</f>
        <v>401</v>
      </c>
      <c r="D77" t="s" s="300">
        <v>388</v>
      </c>
      <c r="E77" s="301">
        <v>6</v>
      </c>
      <c r="F77" t="s" s="300">
        <v>320</v>
      </c>
      <c r="G77" t="s" s="352">
        <v>476</v>
      </c>
      <c r="H77" t="s" s="353">
        <v>171</v>
      </c>
      <c r="I77" s="305">
        <v>6</v>
      </c>
      <c r="J77" s="284"/>
      <c r="K77" s="284"/>
      <c r="L77" s="312"/>
      <c r="M77" s="284"/>
      <c r="N77" s="284"/>
      <c r="O77" s="310">
        <f>_xlfn.IFERROR(VLOOKUP($P77,'Suppl'!$B$2:$N$57,MATCH($B77,'Suppl'!$C$1:$N$1,0)+1,FALSE),"")</f>
        <v>0</v>
      </c>
      <c r="P77" t="s" s="306">
        <f>E77&amp;I77</f>
        <v>494</v>
      </c>
      <c r="Q77" s="286"/>
      <c r="R77" s="298"/>
      <c r="S77" s="298"/>
    </row>
    <row r="78" ht="15" customHeight="1">
      <c r="A78" t="s" s="276">
        <f>B78&amp;E78&amp;I78</f>
        <v>495</v>
      </c>
      <c r="B78" s="354">
        <f>B77</f>
        <v>2</v>
      </c>
      <c r="C78" t="s" s="315">
        <f>C77</f>
        <v>401</v>
      </c>
      <c r="D78" t="s" s="315">
        <v>388</v>
      </c>
      <c r="E78" s="316">
        <v>6</v>
      </c>
      <c r="F78" t="s" s="332">
        <v>320</v>
      </c>
      <c r="G78" t="s" s="361">
        <v>476</v>
      </c>
      <c r="H78" t="s" s="362">
        <v>171</v>
      </c>
      <c r="I78" s="319">
        <v>7</v>
      </c>
      <c r="J78" s="338"/>
      <c r="K78" s="338"/>
      <c r="L78" s="339"/>
      <c r="M78" s="330"/>
      <c r="N78" s="330"/>
      <c r="O78" s="340">
        <f>_xlfn.IFERROR(VLOOKUP($P78,'Suppl'!$B$2:$N$57,MATCH($B78,'Suppl'!$C$1:$N$1,0)+1,FALSE),"")</f>
        <v>0</v>
      </c>
      <c r="P78" t="s" s="341">
        <f>E78&amp;I78</f>
        <v>496</v>
      </c>
      <c r="Q78" s="286"/>
      <c r="R78" s="298"/>
      <c r="S78" s="298"/>
    </row>
    <row r="79" ht="15" customHeight="1">
      <c r="A79" t="s" s="276">
        <f>B79&amp;E79&amp;I79</f>
        <v>55</v>
      </c>
      <c r="B79" s="287">
        <v>3</v>
      </c>
      <c r="C79" t="s" s="288">
        <v>226</v>
      </c>
      <c r="D79" t="s" s="288">
        <v>497</v>
      </c>
      <c r="E79" s="289">
        <v>1</v>
      </c>
      <c r="F79" t="s" s="363">
        <v>498</v>
      </c>
      <c r="G79" t="s" s="363">
        <v>499</v>
      </c>
      <c r="H79" t="s" s="304">
        <v>171</v>
      </c>
      <c r="I79" s="292">
        <v>1</v>
      </c>
      <c r="J79" t="s" s="343">
        <v>500</v>
      </c>
      <c r="K79" t="s" s="343">
        <v>283</v>
      </c>
      <c r="L79" t="s" s="347">
        <v>501</v>
      </c>
      <c r="M79" t="s" s="294">
        <v>502</v>
      </c>
      <c r="N79" t="s" s="295">
        <v>503</v>
      </c>
      <c r="O79" s="350">
        <f>_xlfn.IFERROR(VLOOKUP($P79,'Suppl'!$B$2:$N$57,MATCH($B79,'Suppl'!$C$1:$N$1,0)+1,FALSE),"")</f>
        <v>0</v>
      </c>
      <c r="P79" t="s" s="343">
        <f>E79&amp;I79</f>
        <v>260</v>
      </c>
      <c r="Q79" s="286"/>
      <c r="R79" s="298"/>
      <c r="S79" s="298"/>
    </row>
    <row r="80" ht="15" customHeight="1">
      <c r="A80" t="s" s="276">
        <f>B80&amp;E80&amp;I80</f>
        <v>504</v>
      </c>
      <c r="B80" s="299">
        <f>B79</f>
        <v>3</v>
      </c>
      <c r="C80" t="s" s="300">
        <f>C79</f>
        <v>226</v>
      </c>
      <c r="D80" t="s" s="300">
        <v>497</v>
      </c>
      <c r="E80" s="301">
        <v>1</v>
      </c>
      <c r="F80" t="s" s="302">
        <v>498</v>
      </c>
      <c r="G80" t="s" s="303">
        <v>499</v>
      </c>
      <c r="H80" t="s" s="304">
        <v>171</v>
      </c>
      <c r="I80" s="305">
        <v>2</v>
      </c>
      <c r="J80" t="s" s="306">
        <v>505</v>
      </c>
      <c r="K80" t="s" s="306">
        <v>271</v>
      </c>
      <c r="L80" t="s" s="307">
        <v>506</v>
      </c>
      <c r="M80" t="s" s="308">
        <v>507</v>
      </c>
      <c r="N80" t="s" s="309">
        <v>508</v>
      </c>
      <c r="O80" s="310">
        <f>_xlfn.IFERROR(VLOOKUP($P80,'Suppl'!$B$2:$N$57,MATCH($B80,'Suppl'!$C$1:$N$1,0)+1,FALSE),"")</f>
        <v>0</v>
      </c>
      <c r="P80" t="s" s="306">
        <f>E80&amp;I80</f>
        <v>267</v>
      </c>
      <c r="Q80" s="286"/>
      <c r="R80" s="298"/>
      <c r="S80" s="298"/>
    </row>
    <row r="81" ht="15" customHeight="1">
      <c r="A81" t="s" s="276">
        <f>B81&amp;E81&amp;I81</f>
        <v>509</v>
      </c>
      <c r="B81" s="299">
        <f>B80</f>
        <v>3</v>
      </c>
      <c r="C81" t="s" s="300">
        <f>C80</f>
        <v>510</v>
      </c>
      <c r="D81" t="s" s="300">
        <v>497</v>
      </c>
      <c r="E81" s="301">
        <v>1</v>
      </c>
      <c r="F81" t="s" s="302">
        <v>498</v>
      </c>
      <c r="G81" t="s" s="303">
        <v>499</v>
      </c>
      <c r="H81" t="s" s="304">
        <v>171</v>
      </c>
      <c r="I81" s="305">
        <v>3</v>
      </c>
      <c r="J81" t="s" s="306">
        <v>511</v>
      </c>
      <c r="K81" t="s" s="306">
        <v>291</v>
      </c>
      <c r="L81" t="s" s="307">
        <v>512</v>
      </c>
      <c r="M81" t="s" s="308">
        <v>513</v>
      </c>
      <c r="N81" t="s" s="309">
        <v>514</v>
      </c>
      <c r="O81" s="310">
        <f>_xlfn.IFERROR(VLOOKUP($P81,'Suppl'!$B$2:$N$57,MATCH($B81,'Suppl'!$C$1:$N$1,0)+1,FALSE),"")</f>
        <v>0</v>
      </c>
      <c r="P81" t="s" s="306">
        <f>E81&amp;I81</f>
        <v>275</v>
      </c>
      <c r="Q81" s="286"/>
      <c r="R81" s="298"/>
      <c r="S81" s="298"/>
    </row>
    <row r="82" ht="15" customHeight="1">
      <c r="A82" t="s" s="276">
        <f>B82&amp;E82&amp;I82</f>
        <v>515</v>
      </c>
      <c r="B82" s="299">
        <f>B81</f>
        <v>3</v>
      </c>
      <c r="C82" t="s" s="300">
        <f>C81</f>
        <v>510</v>
      </c>
      <c r="D82" t="s" s="300">
        <v>497</v>
      </c>
      <c r="E82" s="301">
        <v>1</v>
      </c>
      <c r="F82" t="s" s="302">
        <v>498</v>
      </c>
      <c r="G82" t="s" s="303">
        <v>499</v>
      </c>
      <c r="H82" t="s" s="304">
        <v>171</v>
      </c>
      <c r="I82" s="305">
        <v>4</v>
      </c>
      <c r="J82" t="s" s="306">
        <v>516</v>
      </c>
      <c r="K82" t="s" s="306">
        <v>263</v>
      </c>
      <c r="L82" t="s" s="307">
        <v>517</v>
      </c>
      <c r="M82" t="s" s="308">
        <v>518</v>
      </c>
      <c r="N82" t="s" s="309">
        <v>519</v>
      </c>
      <c r="O82" s="310">
        <f>_xlfn.IFERROR(VLOOKUP($P82,'Suppl'!$B$2:$N$57,MATCH($B82,'Suppl'!$C$1:$N$1,0)+1,FALSE),"")</f>
        <v>0</v>
      </c>
      <c r="P82" t="s" s="306">
        <f>E82&amp;I82</f>
        <v>280</v>
      </c>
      <c r="Q82" s="286"/>
      <c r="R82" s="298"/>
      <c r="S82" s="298"/>
    </row>
    <row r="83" ht="15" customHeight="1">
      <c r="A83" t="s" s="276">
        <f>B83&amp;E83&amp;I83</f>
        <v>520</v>
      </c>
      <c r="B83" s="299">
        <f>B82</f>
        <v>3</v>
      </c>
      <c r="C83" t="s" s="300">
        <f>C82</f>
        <v>510</v>
      </c>
      <c r="D83" t="s" s="300">
        <v>497</v>
      </c>
      <c r="E83" s="301">
        <v>1</v>
      </c>
      <c r="F83" t="s" s="302">
        <v>498</v>
      </c>
      <c r="G83" t="s" s="303">
        <v>499</v>
      </c>
      <c r="H83" t="s" s="304">
        <v>171</v>
      </c>
      <c r="I83" s="305">
        <v>5</v>
      </c>
      <c r="J83" t="s" s="306">
        <v>521</v>
      </c>
      <c r="K83" t="s" s="306">
        <v>271</v>
      </c>
      <c r="L83" t="s" s="307">
        <v>522</v>
      </c>
      <c r="M83" t="s" s="308">
        <v>523</v>
      </c>
      <c r="N83" t="s" s="309">
        <v>524</v>
      </c>
      <c r="O83" s="310">
        <f>_xlfn.IFERROR(VLOOKUP($P83,'Suppl'!$B$2:$N$57,MATCH($B83,'Suppl'!$C$1:$N$1,0)+1,FALSE),"")</f>
        <v>0</v>
      </c>
      <c r="P83" t="s" s="306">
        <f>E83&amp;I83</f>
        <v>284</v>
      </c>
      <c r="Q83" s="286"/>
      <c r="R83" s="298"/>
      <c r="S83" s="298"/>
    </row>
    <row r="84" ht="15" customHeight="1">
      <c r="A84" t="s" s="276">
        <f>B84&amp;E84&amp;I84</f>
        <v>525</v>
      </c>
      <c r="B84" s="299">
        <f>B83</f>
        <v>3</v>
      </c>
      <c r="C84" t="s" s="300">
        <f>C83</f>
        <v>510</v>
      </c>
      <c r="D84" t="s" s="300">
        <v>497</v>
      </c>
      <c r="E84" s="301">
        <v>1</v>
      </c>
      <c r="F84" t="s" s="302">
        <v>498</v>
      </c>
      <c r="G84" t="s" s="303">
        <v>499</v>
      </c>
      <c r="H84" t="s" s="304">
        <v>171</v>
      </c>
      <c r="I84" s="305">
        <v>6</v>
      </c>
      <c r="J84" t="s" s="306">
        <v>526</v>
      </c>
      <c r="K84" t="s" s="306">
        <v>263</v>
      </c>
      <c r="L84" t="s" s="307">
        <v>527</v>
      </c>
      <c r="M84" s="311"/>
      <c r="N84" t="s" s="309">
        <v>528</v>
      </c>
      <c r="O84" s="310">
        <f>_xlfn.IFERROR(VLOOKUP($P84,'Suppl'!$B$2:$N$57,MATCH($B84,'Suppl'!$C$1:$N$1,0)+1,FALSE),"")</f>
        <v>0</v>
      </c>
      <c r="P84" t="s" s="306">
        <f>E84&amp;I84</f>
        <v>288</v>
      </c>
      <c r="Q84" s="286"/>
      <c r="R84" s="298"/>
      <c r="S84" s="298"/>
    </row>
    <row r="85" ht="15" customHeight="1">
      <c r="A85" t="s" s="276">
        <f>B85&amp;E85&amp;I85</f>
        <v>529</v>
      </c>
      <c r="B85" s="314">
        <f>B84</f>
        <v>3</v>
      </c>
      <c r="C85" t="s" s="315">
        <f>C84</f>
        <v>510</v>
      </c>
      <c r="D85" t="s" s="315">
        <v>497</v>
      </c>
      <c r="E85" s="316">
        <v>1</v>
      </c>
      <c r="F85" t="s" s="317">
        <v>498</v>
      </c>
      <c r="G85" t="s" s="318">
        <v>499</v>
      </c>
      <c r="H85" t="s" s="304">
        <v>171</v>
      </c>
      <c r="I85" s="319">
        <v>7</v>
      </c>
      <c r="J85" t="s" s="320">
        <v>530</v>
      </c>
      <c r="K85" t="s" s="320">
        <v>271</v>
      </c>
      <c r="L85" s="321"/>
      <c r="M85" s="322"/>
      <c r="N85" s="323"/>
      <c r="O85" s="324">
        <f>_xlfn.IFERROR(VLOOKUP($P85,'Suppl'!$B$2:$N$57,MATCH($B85,'Suppl'!$C$1:$N$1,0)+1,FALSE),"")</f>
        <v>0</v>
      </c>
      <c r="P85" t="s" s="320">
        <f>E85&amp;I85</f>
        <v>292</v>
      </c>
      <c r="Q85" s="286"/>
      <c r="R85" s="298"/>
      <c r="S85" s="298"/>
    </row>
    <row r="86" ht="15" customHeight="1">
      <c r="A86" t="s" s="276">
        <f>B86&amp;E86&amp;I86</f>
        <v>60</v>
      </c>
      <c r="B86" s="325">
        <f>B85</f>
        <v>3</v>
      </c>
      <c r="C86" t="s" s="326">
        <f>C85</f>
        <v>510</v>
      </c>
      <c r="D86" t="s" s="326">
        <v>497</v>
      </c>
      <c r="E86" s="289">
        <v>2</v>
      </c>
      <c r="F86" t="s" s="290">
        <v>531</v>
      </c>
      <c r="G86" t="s" s="290">
        <v>532</v>
      </c>
      <c r="H86" t="s" s="304">
        <v>171</v>
      </c>
      <c r="I86" s="292">
        <v>1</v>
      </c>
      <c r="J86" t="s" s="288">
        <v>533</v>
      </c>
      <c r="K86" t="s" s="288">
        <v>283</v>
      </c>
      <c r="L86" t="s" s="364">
        <v>534</v>
      </c>
      <c r="M86" s="328"/>
      <c r="N86" s="328"/>
      <c r="O86" s="296">
        <f>_xlfn.IFERROR(VLOOKUP($P86,'Suppl'!$B$2:$N$57,MATCH($B86,'Suppl'!$C$1:$N$1,0)+1,FALSE),"")</f>
        <v>0</v>
      </c>
      <c r="P86" t="s" s="288">
        <f>E86&amp;I86</f>
        <v>297</v>
      </c>
      <c r="Q86" s="286"/>
      <c r="R86" s="298"/>
      <c r="S86" s="298"/>
    </row>
    <row r="87" ht="15" customHeight="1">
      <c r="A87" t="s" s="276">
        <f>B87&amp;E87&amp;I87</f>
        <v>535</v>
      </c>
      <c r="B87" s="299">
        <f>B86</f>
        <v>3</v>
      </c>
      <c r="C87" t="s" s="300">
        <f>C86</f>
        <v>510</v>
      </c>
      <c r="D87" t="s" s="300">
        <v>497</v>
      </c>
      <c r="E87" s="301">
        <v>2</v>
      </c>
      <c r="F87" t="s" s="302">
        <v>531</v>
      </c>
      <c r="G87" t="s" s="303">
        <v>532</v>
      </c>
      <c r="H87" t="s" s="304">
        <v>171</v>
      </c>
      <c r="I87" s="305">
        <v>2</v>
      </c>
      <c r="J87" t="s" s="306">
        <v>536</v>
      </c>
      <c r="K87" t="s" s="306">
        <v>263</v>
      </c>
      <c r="L87" t="s" s="307">
        <v>537</v>
      </c>
      <c r="M87" s="284"/>
      <c r="N87" s="284"/>
      <c r="O87" s="310">
        <f>_xlfn.IFERROR(VLOOKUP($P87,'Suppl'!$B$2:$N$57,MATCH($B87,'Suppl'!$C$1:$N$1,0)+1,FALSE),"")</f>
        <v>0</v>
      </c>
      <c r="P87" t="s" s="306">
        <f>E87&amp;I87</f>
        <v>300</v>
      </c>
      <c r="Q87" s="286"/>
      <c r="R87" s="298"/>
      <c r="S87" s="298"/>
    </row>
    <row r="88" ht="15" customHeight="1">
      <c r="A88" t="s" s="276">
        <f>B88&amp;E88&amp;I88</f>
        <v>538</v>
      </c>
      <c r="B88" s="299">
        <f>B87</f>
        <v>3</v>
      </c>
      <c r="C88" t="s" s="300">
        <f>C87</f>
        <v>510</v>
      </c>
      <c r="D88" t="s" s="300">
        <v>497</v>
      </c>
      <c r="E88" s="301">
        <v>2</v>
      </c>
      <c r="F88" t="s" s="302">
        <v>531</v>
      </c>
      <c r="G88" t="s" s="303">
        <v>532</v>
      </c>
      <c r="H88" t="s" s="304">
        <v>171</v>
      </c>
      <c r="I88" s="305">
        <v>3</v>
      </c>
      <c r="J88" t="s" s="306">
        <v>539</v>
      </c>
      <c r="K88" t="s" s="306">
        <v>263</v>
      </c>
      <c r="L88" t="s" s="307">
        <v>540</v>
      </c>
      <c r="M88" s="284"/>
      <c r="N88" s="284"/>
      <c r="O88" s="310">
        <f>_xlfn.IFERROR(VLOOKUP($P88,'Suppl'!$B$2:$N$57,MATCH($B88,'Suppl'!$C$1:$N$1,0)+1,FALSE),"")</f>
        <v>0</v>
      </c>
      <c r="P88" t="s" s="306">
        <f>E88&amp;I88</f>
        <v>303</v>
      </c>
      <c r="Q88" s="286"/>
      <c r="R88" s="298"/>
      <c r="S88" s="298"/>
    </row>
    <row r="89" ht="15" customHeight="1">
      <c r="A89" t="s" s="276">
        <f>B89&amp;E89&amp;I89</f>
        <v>541</v>
      </c>
      <c r="B89" s="299">
        <f>B88</f>
        <v>3</v>
      </c>
      <c r="C89" t="s" s="300">
        <f>C88</f>
        <v>510</v>
      </c>
      <c r="D89" t="s" s="300">
        <v>497</v>
      </c>
      <c r="E89" s="301">
        <v>2</v>
      </c>
      <c r="F89" t="s" s="302">
        <v>531</v>
      </c>
      <c r="G89" t="s" s="303">
        <v>532</v>
      </c>
      <c r="H89" t="s" s="304">
        <v>171</v>
      </c>
      <c r="I89" s="305">
        <v>4</v>
      </c>
      <c r="J89" t="s" s="306">
        <v>542</v>
      </c>
      <c r="K89" t="s" s="306">
        <v>271</v>
      </c>
      <c r="L89" t="s" s="307">
        <v>543</v>
      </c>
      <c r="M89" s="284"/>
      <c r="N89" s="284"/>
      <c r="O89" s="310">
        <f>_xlfn.IFERROR(VLOOKUP($P89,'Suppl'!$B$2:$N$57,MATCH($B89,'Suppl'!$C$1:$N$1,0)+1,FALSE),"")</f>
        <v>0</v>
      </c>
      <c r="P89" t="s" s="306">
        <f>E89&amp;I89</f>
        <v>307</v>
      </c>
      <c r="Q89" s="286"/>
      <c r="R89" s="298"/>
      <c r="S89" s="298"/>
    </row>
    <row r="90" ht="15" customHeight="1">
      <c r="A90" t="s" s="276">
        <f>B90&amp;E90&amp;I90</f>
        <v>544</v>
      </c>
      <c r="B90" s="299">
        <f>B89</f>
        <v>3</v>
      </c>
      <c r="C90" t="s" s="300">
        <f>C89</f>
        <v>510</v>
      </c>
      <c r="D90" t="s" s="300">
        <v>497</v>
      </c>
      <c r="E90" s="301">
        <v>2</v>
      </c>
      <c r="F90" t="s" s="302">
        <v>531</v>
      </c>
      <c r="G90" t="s" s="303">
        <v>532</v>
      </c>
      <c r="H90" t="s" s="304">
        <v>171</v>
      </c>
      <c r="I90" s="305">
        <v>5</v>
      </c>
      <c r="J90" t="s" s="306">
        <v>545</v>
      </c>
      <c r="K90" t="s" s="306">
        <v>263</v>
      </c>
      <c r="L90" t="s" s="307">
        <v>546</v>
      </c>
      <c r="M90" s="284"/>
      <c r="N90" s="284"/>
      <c r="O90" s="310">
        <f>_xlfn.IFERROR(VLOOKUP($P90,'Suppl'!$B$2:$N$57,MATCH($B90,'Suppl'!$C$1:$N$1,0)+1,FALSE),"")</f>
        <v>0</v>
      </c>
      <c r="P90" t="s" s="306">
        <f>E90&amp;I90</f>
        <v>311</v>
      </c>
      <c r="Q90" s="286"/>
      <c r="R90" s="298"/>
      <c r="S90" s="298"/>
    </row>
    <row r="91" ht="15" customHeight="1">
      <c r="A91" t="s" s="276">
        <f>B91&amp;E91&amp;I91</f>
        <v>547</v>
      </c>
      <c r="B91" s="299">
        <f>B90</f>
        <v>3</v>
      </c>
      <c r="C91" t="s" s="300">
        <f>C90</f>
        <v>510</v>
      </c>
      <c r="D91" t="s" s="300">
        <v>497</v>
      </c>
      <c r="E91" s="301">
        <v>2</v>
      </c>
      <c r="F91" t="s" s="302">
        <v>531</v>
      </c>
      <c r="G91" t="s" s="303">
        <v>532</v>
      </c>
      <c r="H91" t="s" s="304">
        <v>171</v>
      </c>
      <c r="I91" s="305">
        <v>6</v>
      </c>
      <c r="J91" t="s" s="306">
        <v>548</v>
      </c>
      <c r="K91" t="s" s="306">
        <v>283</v>
      </c>
      <c r="L91" t="s" s="307">
        <v>549</v>
      </c>
      <c r="M91" s="284"/>
      <c r="N91" s="284"/>
      <c r="O91" s="310">
        <f>_xlfn.IFERROR(VLOOKUP($P91,'Suppl'!$B$2:$N$57,MATCH($B91,'Suppl'!$C$1:$N$1,0)+1,FALSE),"")</f>
        <v>0</v>
      </c>
      <c r="P91" t="s" s="306">
        <f>E91&amp;I91</f>
        <v>315</v>
      </c>
      <c r="Q91" s="286"/>
      <c r="R91" s="298"/>
      <c r="S91" s="298"/>
    </row>
    <row r="92" ht="15" customHeight="1">
      <c r="A92" t="s" s="276">
        <f>B92&amp;E92&amp;I92</f>
        <v>550</v>
      </c>
      <c r="B92" s="314">
        <f>B91</f>
        <v>3</v>
      </c>
      <c r="C92" t="s" s="315">
        <f>C91</f>
        <v>510</v>
      </c>
      <c r="D92" t="s" s="315">
        <v>497</v>
      </c>
      <c r="E92" s="316">
        <v>2</v>
      </c>
      <c r="F92" t="s" s="317">
        <v>531</v>
      </c>
      <c r="G92" t="s" s="318">
        <v>532</v>
      </c>
      <c r="H92" t="s" s="304">
        <v>171</v>
      </c>
      <c r="I92" s="319">
        <v>7</v>
      </c>
      <c r="J92" t="s" s="320">
        <v>551</v>
      </c>
      <c r="K92" t="s" s="320">
        <v>291</v>
      </c>
      <c r="L92" t="s" s="365">
        <v>552</v>
      </c>
      <c r="M92" s="330"/>
      <c r="N92" s="330"/>
      <c r="O92" s="324">
        <f>_xlfn.IFERROR(VLOOKUP($P92,'Suppl'!$B$2:$N$57,MATCH($B92,'Suppl'!$C$1:$N$1,0)+1,FALSE),"")</f>
        <v>0</v>
      </c>
      <c r="P92" t="s" s="320">
        <f>E92&amp;I92</f>
        <v>319</v>
      </c>
      <c r="Q92" s="286"/>
      <c r="R92" s="298"/>
      <c r="S92" s="298"/>
    </row>
    <row r="93" ht="15" customHeight="1">
      <c r="A93" t="s" s="276">
        <f>B93&amp;E93&amp;I93</f>
        <v>62</v>
      </c>
      <c r="B93" s="325">
        <f>B92</f>
        <v>3</v>
      </c>
      <c r="C93" t="s" s="326">
        <f>C92</f>
        <v>510</v>
      </c>
      <c r="D93" t="s" s="326">
        <v>497</v>
      </c>
      <c r="E93" s="289">
        <v>3</v>
      </c>
      <c r="F93" t="s" s="290">
        <v>553</v>
      </c>
      <c r="G93" t="s" s="290">
        <v>554</v>
      </c>
      <c r="H93" t="s" s="304">
        <v>171</v>
      </c>
      <c r="I93" s="292">
        <v>1</v>
      </c>
      <c r="J93" t="s" s="288">
        <v>555</v>
      </c>
      <c r="K93" t="s" s="288">
        <v>291</v>
      </c>
      <c r="L93" t="s" s="293">
        <v>556</v>
      </c>
      <c r="M93" s="328"/>
      <c r="N93" s="328"/>
      <c r="O93" s="296">
        <f>_xlfn.IFERROR(VLOOKUP($P93,'Suppl'!$B$2:$N$57,MATCH($B93,'Suppl'!$C$1:$N$1,0)+1,FALSE),"")</f>
        <v>0</v>
      </c>
      <c r="P93" t="s" s="288">
        <f>E93&amp;I93</f>
        <v>325</v>
      </c>
      <c r="Q93" s="286"/>
      <c r="R93" s="298"/>
      <c r="S93" s="298"/>
    </row>
    <row r="94" ht="15" customHeight="1">
      <c r="A94" t="s" s="276">
        <f>B94&amp;E94&amp;I94</f>
        <v>557</v>
      </c>
      <c r="B94" s="299">
        <f>B93</f>
        <v>3</v>
      </c>
      <c r="C94" t="s" s="300">
        <f>C93</f>
        <v>510</v>
      </c>
      <c r="D94" t="s" s="300">
        <v>497</v>
      </c>
      <c r="E94" s="301">
        <v>3</v>
      </c>
      <c r="F94" t="s" s="302">
        <v>553</v>
      </c>
      <c r="G94" t="s" s="303">
        <v>554</v>
      </c>
      <c r="H94" t="s" s="304">
        <v>171</v>
      </c>
      <c r="I94" s="305">
        <v>2</v>
      </c>
      <c r="J94" t="s" s="306">
        <v>558</v>
      </c>
      <c r="K94" t="s" s="306">
        <v>291</v>
      </c>
      <c r="L94" t="s" s="307">
        <v>559</v>
      </c>
      <c r="M94" s="284"/>
      <c r="N94" s="284"/>
      <c r="O94" s="310">
        <f>_xlfn.IFERROR(VLOOKUP($P94,'Suppl'!$B$2:$N$57,MATCH($B94,'Suppl'!$C$1:$N$1,0)+1,FALSE),"")</f>
        <v>0</v>
      </c>
      <c r="P94" t="s" s="306">
        <f>E94&amp;I94</f>
        <v>329</v>
      </c>
      <c r="Q94" s="286"/>
      <c r="R94" s="298"/>
      <c r="S94" s="298"/>
    </row>
    <row r="95" ht="15" customHeight="1">
      <c r="A95" t="s" s="276">
        <f>B95&amp;E95&amp;I95</f>
        <v>560</v>
      </c>
      <c r="B95" s="299">
        <f>B94</f>
        <v>3</v>
      </c>
      <c r="C95" t="s" s="300">
        <f>C94</f>
        <v>510</v>
      </c>
      <c r="D95" t="s" s="300">
        <v>497</v>
      </c>
      <c r="E95" s="301">
        <v>3</v>
      </c>
      <c r="F95" t="s" s="302">
        <v>553</v>
      </c>
      <c r="G95" t="s" s="303">
        <v>554</v>
      </c>
      <c r="H95" t="s" s="304">
        <v>171</v>
      </c>
      <c r="I95" s="305">
        <v>3</v>
      </c>
      <c r="J95" t="s" s="306">
        <v>561</v>
      </c>
      <c r="K95" t="s" s="306">
        <v>271</v>
      </c>
      <c r="L95" s="312"/>
      <c r="M95" s="284"/>
      <c r="N95" s="284"/>
      <c r="O95" s="310">
        <f>_xlfn.IFERROR(VLOOKUP($P95,'Suppl'!$B$2:$N$57,MATCH($B95,'Suppl'!$C$1:$N$1,0)+1,FALSE),"")</f>
        <v>0</v>
      </c>
      <c r="P95" t="s" s="306">
        <f>E95&amp;I95</f>
        <v>333</v>
      </c>
      <c r="Q95" s="286"/>
      <c r="R95" s="298"/>
      <c r="S95" s="298"/>
    </row>
    <row r="96" ht="15" customHeight="1">
      <c r="A96" t="s" s="276">
        <f>B96&amp;E96&amp;I96</f>
        <v>562</v>
      </c>
      <c r="B96" s="299">
        <f>B95</f>
        <v>3</v>
      </c>
      <c r="C96" t="s" s="300">
        <f>C95</f>
        <v>510</v>
      </c>
      <c r="D96" t="s" s="300">
        <v>497</v>
      </c>
      <c r="E96" s="301">
        <v>3</v>
      </c>
      <c r="F96" t="s" s="302">
        <v>553</v>
      </c>
      <c r="G96" t="s" s="303">
        <v>554</v>
      </c>
      <c r="H96" t="s" s="304">
        <v>171</v>
      </c>
      <c r="I96" s="305">
        <v>4</v>
      </c>
      <c r="J96" s="284"/>
      <c r="K96" t="s" s="306">
        <v>171</v>
      </c>
      <c r="L96" s="312"/>
      <c r="M96" s="284"/>
      <c r="N96" s="284"/>
      <c r="O96" s="310">
        <f>_xlfn.IFERROR(VLOOKUP($P96,'Suppl'!$B$2:$N$57,MATCH($B96,'Suppl'!$C$1:$N$1,0)+1,FALSE),"")</f>
        <v>0</v>
      </c>
      <c r="P96" t="s" s="306">
        <f>E96&amp;I96</f>
        <v>336</v>
      </c>
      <c r="Q96" s="286"/>
      <c r="R96" s="298"/>
      <c r="S96" s="298"/>
    </row>
    <row r="97" ht="15" customHeight="1">
      <c r="A97" t="s" s="276">
        <f>B97&amp;E97&amp;I97</f>
        <v>563</v>
      </c>
      <c r="B97" s="299">
        <f>B96</f>
        <v>3</v>
      </c>
      <c r="C97" t="s" s="300">
        <f>C96</f>
        <v>510</v>
      </c>
      <c r="D97" t="s" s="300">
        <v>497</v>
      </c>
      <c r="E97" s="301">
        <v>3</v>
      </c>
      <c r="F97" t="s" s="302">
        <v>553</v>
      </c>
      <c r="G97" t="s" s="303">
        <v>554</v>
      </c>
      <c r="H97" t="s" s="304">
        <v>171</v>
      </c>
      <c r="I97" s="305">
        <v>5</v>
      </c>
      <c r="J97" s="284"/>
      <c r="K97" t="s" s="306">
        <v>171</v>
      </c>
      <c r="L97" s="312"/>
      <c r="M97" s="284"/>
      <c r="N97" s="284"/>
      <c r="O97" s="310">
        <f>_xlfn.IFERROR(VLOOKUP($P97,'Suppl'!$B$2:$N$57,MATCH($B97,'Suppl'!$C$1:$N$1,0)+1,FALSE),"")</f>
        <v>0</v>
      </c>
      <c r="P97" t="s" s="306">
        <f>E97&amp;I97</f>
        <v>338</v>
      </c>
      <c r="Q97" s="286"/>
      <c r="R97" s="298"/>
      <c r="S97" s="298"/>
    </row>
    <row r="98" ht="15" customHeight="1">
      <c r="A98" t="s" s="276">
        <f>B98&amp;E98&amp;I98</f>
        <v>564</v>
      </c>
      <c r="B98" s="299">
        <f>B97</f>
        <v>3</v>
      </c>
      <c r="C98" t="s" s="300">
        <f>C97</f>
        <v>510</v>
      </c>
      <c r="D98" t="s" s="300">
        <v>497</v>
      </c>
      <c r="E98" s="301">
        <v>3</v>
      </c>
      <c r="F98" t="s" s="302">
        <v>553</v>
      </c>
      <c r="G98" t="s" s="303">
        <v>554</v>
      </c>
      <c r="H98" t="s" s="304">
        <v>171</v>
      </c>
      <c r="I98" s="305">
        <v>6</v>
      </c>
      <c r="J98" s="284"/>
      <c r="K98" t="s" s="306">
        <v>171</v>
      </c>
      <c r="L98" s="312"/>
      <c r="M98" s="284"/>
      <c r="N98" s="284"/>
      <c r="O98" s="310">
        <f>_xlfn.IFERROR(VLOOKUP($P98,'Suppl'!$B$2:$N$57,MATCH($B98,'Suppl'!$C$1:$N$1,0)+1,FALSE),"")</f>
        <v>0</v>
      </c>
      <c r="P98" t="s" s="306">
        <f>E98&amp;I98</f>
        <v>340</v>
      </c>
      <c r="Q98" s="286"/>
      <c r="R98" s="298"/>
      <c r="S98" s="298"/>
    </row>
    <row r="99" ht="15" customHeight="1">
      <c r="A99" t="s" s="276">
        <f>B99&amp;E99&amp;I99</f>
        <v>565</v>
      </c>
      <c r="B99" s="314">
        <f>B98</f>
        <v>3</v>
      </c>
      <c r="C99" t="s" s="315">
        <f>C98</f>
        <v>510</v>
      </c>
      <c r="D99" t="s" s="315">
        <v>497</v>
      </c>
      <c r="E99" s="316">
        <v>3</v>
      </c>
      <c r="F99" t="s" s="317">
        <v>553</v>
      </c>
      <c r="G99" t="s" s="318">
        <v>554</v>
      </c>
      <c r="H99" t="s" s="304">
        <v>171</v>
      </c>
      <c r="I99" s="319">
        <v>7</v>
      </c>
      <c r="J99" s="330"/>
      <c r="K99" t="s" s="320">
        <v>171</v>
      </c>
      <c r="L99" s="321"/>
      <c r="M99" s="330"/>
      <c r="N99" s="330"/>
      <c r="O99" s="324">
        <f>_xlfn.IFERROR(VLOOKUP($P99,'Suppl'!$B$2:$N$57,MATCH($B99,'Suppl'!$C$1:$N$1,0)+1,FALSE),"")</f>
        <v>0</v>
      </c>
      <c r="P99" t="s" s="320">
        <f>E99&amp;I99</f>
        <v>342</v>
      </c>
      <c r="Q99" s="286"/>
      <c r="R99" s="298"/>
      <c r="S99" s="298"/>
    </row>
    <row r="100" ht="15" customHeight="1">
      <c r="A100" t="s" s="276">
        <f>B100&amp;E100&amp;I100</f>
        <v>65</v>
      </c>
      <c r="B100" s="325">
        <f>B99</f>
        <v>3</v>
      </c>
      <c r="C100" t="s" s="326">
        <f>C99</f>
        <v>510</v>
      </c>
      <c r="D100" t="s" s="326">
        <v>497</v>
      </c>
      <c r="E100" s="289">
        <v>4</v>
      </c>
      <c r="F100" t="s" s="290">
        <v>566</v>
      </c>
      <c r="G100" t="s" s="290">
        <v>567</v>
      </c>
      <c r="H100" t="s" s="304">
        <v>171</v>
      </c>
      <c r="I100" s="292">
        <v>1</v>
      </c>
      <c r="J100" t="s" s="288">
        <v>568</v>
      </c>
      <c r="K100" t="s" s="288">
        <v>283</v>
      </c>
      <c r="L100" s="327"/>
      <c r="M100" s="328"/>
      <c r="N100" s="328"/>
      <c r="O100" s="296">
        <f>_xlfn.IFERROR(VLOOKUP($P100,'Suppl'!$B$2:$N$57,MATCH($B100,'Suppl'!$C$1:$N$1,0)+1,FALSE),"")</f>
        <v>0</v>
      </c>
      <c r="P100" t="s" s="288">
        <f>E100&amp;I100</f>
        <v>348</v>
      </c>
      <c r="Q100" s="286"/>
      <c r="R100" s="298"/>
      <c r="S100" s="298"/>
    </row>
    <row r="101" ht="15" customHeight="1">
      <c r="A101" t="s" s="276">
        <f>B101&amp;E101&amp;I101</f>
        <v>569</v>
      </c>
      <c r="B101" s="299">
        <f>B100</f>
        <v>3</v>
      </c>
      <c r="C101" t="s" s="300">
        <f>C100</f>
        <v>510</v>
      </c>
      <c r="D101" t="s" s="300">
        <v>497</v>
      </c>
      <c r="E101" s="301">
        <v>4</v>
      </c>
      <c r="F101" t="s" s="302">
        <v>566</v>
      </c>
      <c r="G101" t="s" s="303">
        <v>567</v>
      </c>
      <c r="H101" t="s" s="304">
        <v>171</v>
      </c>
      <c r="I101" s="305">
        <v>2</v>
      </c>
      <c r="J101" t="s" s="306">
        <v>570</v>
      </c>
      <c r="K101" t="s" s="306">
        <v>283</v>
      </c>
      <c r="L101" t="s" s="307">
        <v>571</v>
      </c>
      <c r="M101" s="284"/>
      <c r="N101" s="284"/>
      <c r="O101" s="310">
        <f>_xlfn.IFERROR(VLOOKUP($P101,'Suppl'!$B$2:$N$57,MATCH($B101,'Suppl'!$C$1:$N$1,0)+1,FALSE),"")</f>
        <v>0</v>
      </c>
      <c r="P101" t="s" s="306">
        <f>E101&amp;I101</f>
        <v>351</v>
      </c>
      <c r="Q101" s="286"/>
      <c r="R101" s="298"/>
      <c r="S101" s="298"/>
    </row>
    <row r="102" ht="15" customHeight="1">
      <c r="A102" t="s" s="276">
        <f>B102&amp;E102&amp;I102</f>
        <v>572</v>
      </c>
      <c r="B102" s="299">
        <f>B101</f>
        <v>3</v>
      </c>
      <c r="C102" t="s" s="300">
        <f>C101</f>
        <v>510</v>
      </c>
      <c r="D102" t="s" s="300">
        <v>497</v>
      </c>
      <c r="E102" s="301">
        <v>4</v>
      </c>
      <c r="F102" t="s" s="302">
        <v>566</v>
      </c>
      <c r="G102" t="s" s="303">
        <v>567</v>
      </c>
      <c r="H102" t="s" s="304">
        <v>171</v>
      </c>
      <c r="I102" s="305">
        <v>3</v>
      </c>
      <c r="J102" t="s" s="306">
        <v>573</v>
      </c>
      <c r="K102" t="s" s="306">
        <v>283</v>
      </c>
      <c r="L102" t="s" s="307">
        <v>574</v>
      </c>
      <c r="M102" s="284"/>
      <c r="N102" s="284"/>
      <c r="O102" s="310">
        <f>_xlfn.IFERROR(VLOOKUP($P102,'Suppl'!$B$2:$N$57,MATCH($B102,'Suppl'!$C$1:$N$1,0)+1,FALSE),"")</f>
        <v>0</v>
      </c>
      <c r="P102" t="s" s="306">
        <f>E102&amp;I102</f>
        <v>354</v>
      </c>
      <c r="Q102" s="286"/>
      <c r="R102" s="298"/>
      <c r="S102" s="298"/>
    </row>
    <row r="103" ht="15" customHeight="1">
      <c r="A103" t="s" s="276">
        <f>B103&amp;E103&amp;I103</f>
        <v>575</v>
      </c>
      <c r="B103" s="299">
        <f>B102</f>
        <v>3</v>
      </c>
      <c r="C103" t="s" s="300">
        <f>C102</f>
        <v>510</v>
      </c>
      <c r="D103" t="s" s="300">
        <v>497</v>
      </c>
      <c r="E103" s="301">
        <v>4</v>
      </c>
      <c r="F103" t="s" s="302">
        <v>566</v>
      </c>
      <c r="G103" t="s" s="303">
        <v>567</v>
      </c>
      <c r="H103" t="s" s="304">
        <v>171</v>
      </c>
      <c r="I103" s="305">
        <v>4</v>
      </c>
      <c r="J103" t="s" s="306">
        <v>576</v>
      </c>
      <c r="K103" t="s" s="306">
        <v>263</v>
      </c>
      <c r="L103" t="s" s="307">
        <v>577</v>
      </c>
      <c r="M103" s="284"/>
      <c r="N103" s="284"/>
      <c r="O103" s="310">
        <f>_xlfn.IFERROR(VLOOKUP($P103,'Suppl'!$B$2:$N$57,MATCH($B103,'Suppl'!$C$1:$N$1,0)+1,FALSE),"")</f>
        <v>0</v>
      </c>
      <c r="P103" t="s" s="306">
        <f>E103&amp;I103</f>
        <v>357</v>
      </c>
      <c r="Q103" s="286"/>
      <c r="R103" s="298"/>
      <c r="S103" s="298"/>
    </row>
    <row r="104" ht="15" customHeight="1">
      <c r="A104" t="s" s="276">
        <f>B104&amp;E104&amp;I104</f>
        <v>578</v>
      </c>
      <c r="B104" s="299">
        <f>B103</f>
        <v>3</v>
      </c>
      <c r="C104" t="s" s="300">
        <f>C103</f>
        <v>510</v>
      </c>
      <c r="D104" t="s" s="300">
        <v>497</v>
      </c>
      <c r="E104" s="301">
        <v>4</v>
      </c>
      <c r="F104" t="s" s="302">
        <v>566</v>
      </c>
      <c r="G104" t="s" s="303">
        <v>567</v>
      </c>
      <c r="H104" t="s" s="304">
        <v>171</v>
      </c>
      <c r="I104" s="305">
        <v>5</v>
      </c>
      <c r="J104" t="s" s="306">
        <v>579</v>
      </c>
      <c r="K104" t="s" s="306">
        <v>291</v>
      </c>
      <c r="L104" s="312"/>
      <c r="M104" s="284"/>
      <c r="N104" s="284"/>
      <c r="O104" s="310">
        <f>_xlfn.IFERROR(VLOOKUP($P104,'Suppl'!$B$2:$N$57,MATCH($B104,'Suppl'!$C$1:$N$1,0)+1,FALSE),"")</f>
        <v>0</v>
      </c>
      <c r="P104" t="s" s="306">
        <f>E104&amp;I104</f>
        <v>360</v>
      </c>
      <c r="Q104" s="286"/>
      <c r="R104" s="298"/>
      <c r="S104" s="298"/>
    </row>
    <row r="105" ht="15" customHeight="1">
      <c r="A105" t="s" s="276">
        <f>B105&amp;E105&amp;I105</f>
        <v>580</v>
      </c>
      <c r="B105" s="299">
        <f>B104</f>
        <v>3</v>
      </c>
      <c r="C105" t="s" s="300">
        <f>C104</f>
        <v>510</v>
      </c>
      <c r="D105" t="s" s="300">
        <v>497</v>
      </c>
      <c r="E105" s="301">
        <v>4</v>
      </c>
      <c r="F105" t="s" s="302">
        <v>566</v>
      </c>
      <c r="G105" t="s" s="303">
        <v>567</v>
      </c>
      <c r="H105" t="s" s="304">
        <v>171</v>
      </c>
      <c r="I105" s="305">
        <v>6</v>
      </c>
      <c r="J105" t="s" s="306">
        <v>581</v>
      </c>
      <c r="K105" t="s" s="306">
        <v>263</v>
      </c>
      <c r="L105" t="s" s="307">
        <v>582</v>
      </c>
      <c r="M105" s="284"/>
      <c r="N105" s="284"/>
      <c r="O105" s="310">
        <f>_xlfn.IFERROR(VLOOKUP($P105,'Suppl'!$B$2:$N$57,MATCH($B105,'Suppl'!$C$1:$N$1,0)+1,FALSE),"")</f>
        <v>0</v>
      </c>
      <c r="P105" t="s" s="306">
        <f>E105&amp;I105</f>
        <v>363</v>
      </c>
      <c r="Q105" s="286"/>
      <c r="R105" s="298"/>
      <c r="S105" s="298"/>
    </row>
    <row r="106" ht="15" customHeight="1">
      <c r="A106" t="s" s="276">
        <f>B106&amp;E106&amp;I106</f>
        <v>583</v>
      </c>
      <c r="B106" s="314">
        <f>B105</f>
        <v>3</v>
      </c>
      <c r="C106" t="s" s="315">
        <f>C105</f>
        <v>510</v>
      </c>
      <c r="D106" t="s" s="315">
        <v>497</v>
      </c>
      <c r="E106" s="316">
        <v>4</v>
      </c>
      <c r="F106" t="s" s="317">
        <v>566</v>
      </c>
      <c r="G106" t="s" s="318">
        <v>567</v>
      </c>
      <c r="H106" t="s" s="304">
        <v>171</v>
      </c>
      <c r="I106" s="319">
        <v>7</v>
      </c>
      <c r="J106" s="330"/>
      <c r="K106" t="s" s="320">
        <v>171</v>
      </c>
      <c r="L106" s="321"/>
      <c r="M106" s="330"/>
      <c r="N106" s="330"/>
      <c r="O106" s="324">
        <f>_xlfn.IFERROR(VLOOKUP($P106,'Suppl'!$B$2:$N$57,MATCH($B106,'Suppl'!$C$1:$N$1,0)+1,FALSE),"")</f>
        <v>0</v>
      </c>
      <c r="P106" t="s" s="320">
        <f>E106&amp;I106</f>
        <v>365</v>
      </c>
      <c r="Q106" s="286"/>
      <c r="R106" s="298"/>
      <c r="S106" s="298"/>
    </row>
    <row r="107" ht="15" customHeight="1">
      <c r="A107" t="s" s="276">
        <f>B107&amp;E107&amp;I107</f>
        <v>67</v>
      </c>
      <c r="B107" s="325">
        <f>B106</f>
        <v>3</v>
      </c>
      <c r="C107" t="s" s="326">
        <f>C106</f>
        <v>510</v>
      </c>
      <c r="D107" t="s" s="326">
        <v>497</v>
      </c>
      <c r="E107" s="289">
        <v>5</v>
      </c>
      <c r="F107" t="s" s="290">
        <v>584</v>
      </c>
      <c r="G107" t="s" s="290">
        <v>585</v>
      </c>
      <c r="H107" t="s" s="304">
        <v>171</v>
      </c>
      <c r="I107" s="292">
        <v>1</v>
      </c>
      <c r="J107" t="s" s="288">
        <v>586</v>
      </c>
      <c r="K107" t="s" s="288">
        <v>283</v>
      </c>
      <c r="L107" t="s" s="293">
        <v>587</v>
      </c>
      <c r="M107" s="328"/>
      <c r="N107" s="328"/>
      <c r="O107" s="296">
        <f>_xlfn.IFERROR(VLOOKUP($P107,'Suppl'!$B$2:$N$57,MATCH($B107,'Suppl'!$C$1:$N$1,0)+1,FALSE),"")</f>
        <v>0</v>
      </c>
      <c r="P107" t="s" s="288">
        <f>E107&amp;I107</f>
        <v>370</v>
      </c>
      <c r="Q107" s="286"/>
      <c r="R107" s="298"/>
      <c r="S107" s="298"/>
    </row>
    <row r="108" ht="15" customHeight="1">
      <c r="A108" t="s" s="276">
        <f>B108&amp;E108&amp;I108</f>
        <v>588</v>
      </c>
      <c r="B108" s="299">
        <f>B107</f>
        <v>3</v>
      </c>
      <c r="C108" t="s" s="300">
        <f>C107</f>
        <v>510</v>
      </c>
      <c r="D108" t="s" s="300">
        <v>497</v>
      </c>
      <c r="E108" s="301">
        <v>5</v>
      </c>
      <c r="F108" t="s" s="302">
        <v>584</v>
      </c>
      <c r="G108" t="s" s="303">
        <v>585</v>
      </c>
      <c r="H108" t="s" s="304">
        <v>171</v>
      </c>
      <c r="I108" s="305">
        <v>2</v>
      </c>
      <c r="J108" t="s" s="306">
        <v>589</v>
      </c>
      <c r="K108" t="s" s="306">
        <v>283</v>
      </c>
      <c r="L108" t="s" s="307">
        <v>590</v>
      </c>
      <c r="M108" s="284"/>
      <c r="N108" s="284"/>
      <c r="O108" s="310">
        <f>_xlfn.IFERROR(VLOOKUP($P108,'Suppl'!$B$2:$N$57,MATCH($B108,'Suppl'!$C$1:$N$1,0)+1,FALSE),"")</f>
        <v>0</v>
      </c>
      <c r="P108" t="s" s="306">
        <f>E108&amp;I108</f>
        <v>374</v>
      </c>
      <c r="Q108" s="286"/>
      <c r="R108" s="298"/>
      <c r="S108" s="298"/>
    </row>
    <row r="109" ht="15" customHeight="1">
      <c r="A109" t="s" s="276">
        <f>B109&amp;E109&amp;I109</f>
        <v>591</v>
      </c>
      <c r="B109" s="299">
        <f>B108</f>
        <v>3</v>
      </c>
      <c r="C109" t="s" s="300">
        <f>C108</f>
        <v>510</v>
      </c>
      <c r="D109" t="s" s="300">
        <v>497</v>
      </c>
      <c r="E109" s="301">
        <v>5</v>
      </c>
      <c r="F109" t="s" s="302">
        <v>584</v>
      </c>
      <c r="G109" t="s" s="303">
        <v>585</v>
      </c>
      <c r="H109" t="s" s="304">
        <v>171</v>
      </c>
      <c r="I109" s="305">
        <v>3</v>
      </c>
      <c r="J109" t="s" s="306">
        <v>592</v>
      </c>
      <c r="K109" t="s" s="306">
        <v>263</v>
      </c>
      <c r="L109" s="312"/>
      <c r="M109" s="284"/>
      <c r="N109" s="284"/>
      <c r="O109" s="310">
        <f>_xlfn.IFERROR(VLOOKUP($P109,'Suppl'!$B$2:$N$57,MATCH($B109,'Suppl'!$C$1:$N$1,0)+1,FALSE),"")</f>
        <v>0</v>
      </c>
      <c r="P109" t="s" s="306">
        <f>E109&amp;I109</f>
        <v>377</v>
      </c>
      <c r="Q109" s="286"/>
      <c r="R109" s="298"/>
      <c r="S109" s="298"/>
    </row>
    <row r="110" ht="15" customHeight="1">
      <c r="A110" t="s" s="276">
        <f>B110&amp;E110&amp;I110</f>
        <v>593</v>
      </c>
      <c r="B110" s="299">
        <f>B109</f>
        <v>3</v>
      </c>
      <c r="C110" t="s" s="300">
        <f>C109</f>
        <v>510</v>
      </c>
      <c r="D110" t="s" s="300">
        <v>497</v>
      </c>
      <c r="E110" s="301">
        <v>5</v>
      </c>
      <c r="F110" t="s" s="302">
        <v>584</v>
      </c>
      <c r="G110" t="s" s="303">
        <v>585</v>
      </c>
      <c r="H110" t="s" s="304">
        <v>171</v>
      </c>
      <c r="I110" s="305">
        <v>4</v>
      </c>
      <c r="J110" t="s" s="306">
        <v>594</v>
      </c>
      <c r="K110" t="s" s="306">
        <v>263</v>
      </c>
      <c r="L110" t="s" s="307">
        <v>595</v>
      </c>
      <c r="M110" s="284"/>
      <c r="N110" s="284"/>
      <c r="O110" s="310">
        <f>_xlfn.IFERROR(VLOOKUP($P110,'Suppl'!$B$2:$N$57,MATCH($B110,'Suppl'!$C$1:$N$1,0)+1,FALSE),"")</f>
        <v>0</v>
      </c>
      <c r="P110" t="s" s="306">
        <f>E110&amp;I110</f>
        <v>380</v>
      </c>
      <c r="Q110" s="286"/>
      <c r="R110" s="298"/>
      <c r="S110" s="298"/>
    </row>
    <row r="111" ht="15" customHeight="1">
      <c r="A111" t="s" s="276">
        <f>B111&amp;E111&amp;I111</f>
        <v>596</v>
      </c>
      <c r="B111" s="299">
        <f>B110</f>
        <v>3</v>
      </c>
      <c r="C111" t="s" s="300">
        <f>C110</f>
        <v>510</v>
      </c>
      <c r="D111" t="s" s="300">
        <v>497</v>
      </c>
      <c r="E111" s="301">
        <v>5</v>
      </c>
      <c r="F111" t="s" s="302">
        <v>584</v>
      </c>
      <c r="G111" t="s" s="303">
        <v>585</v>
      </c>
      <c r="H111" t="s" s="304">
        <v>171</v>
      </c>
      <c r="I111" s="305">
        <v>5</v>
      </c>
      <c r="J111" t="s" s="306">
        <v>597</v>
      </c>
      <c r="K111" t="s" s="306">
        <v>283</v>
      </c>
      <c r="L111" t="s" s="307">
        <v>598</v>
      </c>
      <c r="M111" s="284"/>
      <c r="N111" s="284"/>
      <c r="O111" s="310">
        <f>_xlfn.IFERROR(VLOOKUP($P111,'Suppl'!$B$2:$N$57,MATCH($B111,'Suppl'!$C$1:$N$1,0)+1,FALSE),"")</f>
        <v>0</v>
      </c>
      <c r="P111" t="s" s="306">
        <f>E111&amp;I111</f>
        <v>383</v>
      </c>
      <c r="Q111" s="286"/>
      <c r="R111" s="298"/>
      <c r="S111" s="298"/>
    </row>
    <row r="112" ht="15" customHeight="1">
      <c r="A112" t="s" s="276">
        <f>B112&amp;E112&amp;I112</f>
        <v>599</v>
      </c>
      <c r="B112" s="299">
        <f>B111</f>
        <v>3</v>
      </c>
      <c r="C112" t="s" s="300">
        <f>C111</f>
        <v>510</v>
      </c>
      <c r="D112" t="s" s="300">
        <v>497</v>
      </c>
      <c r="E112" s="301">
        <v>5</v>
      </c>
      <c r="F112" t="s" s="302">
        <v>584</v>
      </c>
      <c r="G112" t="s" s="303">
        <v>585</v>
      </c>
      <c r="H112" t="s" s="304">
        <v>171</v>
      </c>
      <c r="I112" s="305">
        <v>6</v>
      </c>
      <c r="J112" s="284"/>
      <c r="K112" t="s" s="306">
        <v>171</v>
      </c>
      <c r="L112" s="312"/>
      <c r="M112" s="284"/>
      <c r="N112" s="284"/>
      <c r="O112" s="310">
        <f>_xlfn.IFERROR(VLOOKUP($P112,'Suppl'!$B$2:$N$57,MATCH($B112,'Suppl'!$C$1:$N$1,0)+1,FALSE),"")</f>
        <v>0</v>
      </c>
      <c r="P112" t="s" s="306">
        <f>E112&amp;I112</f>
        <v>385</v>
      </c>
      <c r="Q112" s="286"/>
      <c r="R112" s="298"/>
      <c r="S112" s="298"/>
    </row>
    <row r="113" ht="15" customHeight="1">
      <c r="A113" t="s" s="276">
        <f>B113&amp;E113&amp;I113</f>
        <v>600</v>
      </c>
      <c r="B113" s="314">
        <f>B112</f>
        <v>3</v>
      </c>
      <c r="C113" t="s" s="315">
        <f>C112</f>
        <v>510</v>
      </c>
      <c r="D113" t="s" s="315">
        <v>497</v>
      </c>
      <c r="E113" s="316">
        <v>5</v>
      </c>
      <c r="F113" t="s" s="317">
        <v>584</v>
      </c>
      <c r="G113" t="s" s="318">
        <v>585</v>
      </c>
      <c r="H113" t="s" s="304">
        <v>171</v>
      </c>
      <c r="I113" s="319">
        <v>7</v>
      </c>
      <c r="J113" s="330"/>
      <c r="K113" t="s" s="320">
        <v>171</v>
      </c>
      <c r="L113" s="321"/>
      <c r="M113" s="330"/>
      <c r="N113" s="330"/>
      <c r="O113" s="324">
        <f>_xlfn.IFERROR(VLOOKUP($P113,'Suppl'!$B$2:$N$57,MATCH($B113,'Suppl'!$C$1:$N$1,0)+1,FALSE),"")</f>
        <v>0</v>
      </c>
      <c r="P113" t="s" s="320">
        <f>E113&amp;I113</f>
        <v>387</v>
      </c>
      <c r="Q113" s="286"/>
      <c r="R113" s="298"/>
      <c r="S113" s="298"/>
    </row>
    <row r="114" ht="15" customHeight="1">
      <c r="A114" t="s" s="276">
        <f>B114&amp;E114&amp;I114</f>
        <v>70</v>
      </c>
      <c r="B114" s="325">
        <f>B113</f>
        <v>3</v>
      </c>
      <c r="C114" t="s" s="326">
        <f>C113</f>
        <v>510</v>
      </c>
      <c r="D114" t="s" s="326">
        <v>497</v>
      </c>
      <c r="E114" s="289">
        <v>6</v>
      </c>
      <c r="F114" t="s" s="290">
        <v>601</v>
      </c>
      <c r="G114" t="s" s="290">
        <v>602</v>
      </c>
      <c r="H114" t="s" s="304">
        <v>603</v>
      </c>
      <c r="I114" s="292">
        <v>1</v>
      </c>
      <c r="J114" t="s" s="288">
        <v>604</v>
      </c>
      <c r="K114" t="s" s="288">
        <v>283</v>
      </c>
      <c r="L114" s="327"/>
      <c r="M114" s="328"/>
      <c r="N114" s="366"/>
      <c r="O114" s="367">
        <f>_xlfn.IFERROR(VLOOKUP($P114,'Suppl'!$B$2:$N$57,MATCH($B114,'Suppl'!$C$1:$N$1,0)+1,FALSE),"")</f>
        <v>0</v>
      </c>
      <c r="P114" t="s" s="368">
        <f>E114&amp;I114</f>
        <v>479</v>
      </c>
      <c r="Q114" s="286"/>
      <c r="R114" s="298"/>
      <c r="S114" s="298"/>
    </row>
    <row r="115" ht="15" customHeight="1">
      <c r="A115" t="s" s="276">
        <f>B115&amp;E115&amp;I115</f>
        <v>605</v>
      </c>
      <c r="B115" s="299">
        <f>B114</f>
        <v>3</v>
      </c>
      <c r="C115" t="s" s="300">
        <f>C114</f>
        <v>510</v>
      </c>
      <c r="D115" t="s" s="300">
        <v>497</v>
      </c>
      <c r="E115" s="301">
        <v>6</v>
      </c>
      <c r="F115" t="s" s="302">
        <v>601</v>
      </c>
      <c r="G115" t="s" s="303">
        <v>606</v>
      </c>
      <c r="H115" t="s" s="304">
        <v>171</v>
      </c>
      <c r="I115" s="305">
        <v>2</v>
      </c>
      <c r="J115" t="s" s="306">
        <v>607</v>
      </c>
      <c r="K115" t="s" s="306">
        <v>271</v>
      </c>
      <c r="L115" s="312"/>
      <c r="M115" s="284"/>
      <c r="N115" s="369"/>
      <c r="O115" s="370">
        <f>_xlfn.IFERROR(VLOOKUP($P115,'Suppl'!$B$2:$N$57,MATCH($B115,'Suppl'!$C$1:$N$1,0)+1,FALSE),"")</f>
        <v>0</v>
      </c>
      <c r="P115" t="s" s="371">
        <f>E115&amp;I115</f>
        <v>483</v>
      </c>
      <c r="Q115" s="286"/>
      <c r="R115" s="298"/>
      <c r="S115" s="298"/>
    </row>
    <row r="116" ht="15" customHeight="1">
      <c r="A116" t="s" s="276">
        <f>B116&amp;E116&amp;I116</f>
        <v>608</v>
      </c>
      <c r="B116" s="299">
        <f>B115</f>
        <v>3</v>
      </c>
      <c r="C116" t="s" s="300">
        <f>C115</f>
        <v>510</v>
      </c>
      <c r="D116" t="s" s="300">
        <v>497</v>
      </c>
      <c r="E116" s="301">
        <v>6</v>
      </c>
      <c r="F116" t="s" s="302">
        <v>601</v>
      </c>
      <c r="G116" t="s" s="303">
        <v>606</v>
      </c>
      <c r="H116" t="s" s="304">
        <v>171</v>
      </c>
      <c r="I116" s="305">
        <v>3</v>
      </c>
      <c r="J116" t="s" s="306">
        <v>609</v>
      </c>
      <c r="K116" t="s" s="306">
        <v>291</v>
      </c>
      <c r="L116" t="s" s="307">
        <v>610</v>
      </c>
      <c r="M116" s="284"/>
      <c r="N116" s="369"/>
      <c r="O116" s="370">
        <f>_xlfn.IFERROR(VLOOKUP($P116,'Suppl'!$B$2:$N$57,MATCH($B116,'Suppl'!$C$1:$N$1,0)+1,FALSE),"")</f>
        <v>0</v>
      </c>
      <c r="P116" t="s" s="371">
        <f>E116&amp;I116</f>
        <v>487</v>
      </c>
      <c r="Q116" s="286"/>
      <c r="R116" s="298"/>
      <c r="S116" s="298"/>
    </row>
    <row r="117" ht="15" customHeight="1">
      <c r="A117" t="s" s="276">
        <f>B117&amp;E117&amp;I117</f>
        <v>611</v>
      </c>
      <c r="B117" s="299">
        <f>B116</f>
        <v>3</v>
      </c>
      <c r="C117" t="s" s="300">
        <f>C116</f>
        <v>510</v>
      </c>
      <c r="D117" t="s" s="300">
        <v>497</v>
      </c>
      <c r="E117" s="301">
        <v>6</v>
      </c>
      <c r="F117" t="s" s="302">
        <v>601</v>
      </c>
      <c r="G117" t="s" s="303">
        <v>606</v>
      </c>
      <c r="H117" t="s" s="304">
        <v>171</v>
      </c>
      <c r="I117" s="305">
        <v>4</v>
      </c>
      <c r="J117" t="s" s="306">
        <v>612</v>
      </c>
      <c r="K117" t="s" s="306">
        <v>256</v>
      </c>
      <c r="L117" s="312"/>
      <c r="M117" s="284"/>
      <c r="N117" s="369"/>
      <c r="O117" s="370">
        <f>_xlfn.IFERROR(VLOOKUP($P117,'Suppl'!$B$2:$N$57,MATCH($B117,'Suppl'!$C$1:$N$1,0)+1,FALSE),"")</f>
        <v>0</v>
      </c>
      <c r="P117" t="s" s="371">
        <f>E117&amp;I117</f>
        <v>490</v>
      </c>
      <c r="Q117" s="286"/>
      <c r="R117" s="298"/>
      <c r="S117" s="298"/>
    </row>
    <row r="118" ht="15" customHeight="1">
      <c r="A118" t="s" s="276">
        <f>B118&amp;E118&amp;I118</f>
        <v>613</v>
      </c>
      <c r="B118" s="299">
        <f>B117</f>
        <v>3</v>
      </c>
      <c r="C118" t="s" s="300">
        <f>C117</f>
        <v>510</v>
      </c>
      <c r="D118" t="s" s="300">
        <v>497</v>
      </c>
      <c r="E118" s="301">
        <v>6</v>
      </c>
      <c r="F118" t="s" s="302">
        <v>601</v>
      </c>
      <c r="G118" t="s" s="303">
        <v>606</v>
      </c>
      <c r="H118" t="s" s="304">
        <v>171</v>
      </c>
      <c r="I118" s="305">
        <v>5</v>
      </c>
      <c r="J118" t="s" s="306">
        <v>614</v>
      </c>
      <c r="K118" t="s" s="306">
        <v>256</v>
      </c>
      <c r="L118" t="s" s="307">
        <v>615</v>
      </c>
      <c r="M118" s="284"/>
      <c r="N118" s="369"/>
      <c r="O118" s="370">
        <f>_xlfn.IFERROR(VLOOKUP($P118,'Suppl'!$B$2:$N$57,MATCH($B118,'Suppl'!$C$1:$N$1,0)+1,FALSE),"")</f>
        <v>0</v>
      </c>
      <c r="P118" t="s" s="371">
        <f>E118&amp;I118</f>
        <v>492</v>
      </c>
      <c r="Q118" s="286"/>
      <c r="R118" s="298"/>
      <c r="S118" s="298"/>
    </row>
    <row r="119" ht="15" customHeight="1">
      <c r="A119" t="s" s="276">
        <f>B119&amp;E119&amp;I119</f>
        <v>616</v>
      </c>
      <c r="B119" s="299">
        <f>B118</f>
        <v>3</v>
      </c>
      <c r="C119" t="s" s="300">
        <f>C118</f>
        <v>510</v>
      </c>
      <c r="D119" t="s" s="300">
        <v>497</v>
      </c>
      <c r="E119" s="301">
        <v>6</v>
      </c>
      <c r="F119" t="s" s="302">
        <v>601</v>
      </c>
      <c r="G119" t="s" s="303">
        <v>606</v>
      </c>
      <c r="H119" t="s" s="304">
        <v>171</v>
      </c>
      <c r="I119" s="305">
        <v>6</v>
      </c>
      <c r="J119" s="284"/>
      <c r="K119" t="s" s="306">
        <v>171</v>
      </c>
      <c r="L119" s="312"/>
      <c r="M119" s="284"/>
      <c r="N119" s="369"/>
      <c r="O119" s="370">
        <f>_xlfn.IFERROR(VLOOKUP($P119,'Suppl'!$B$2:$N$57,MATCH($B119,'Suppl'!$C$1:$N$1,0)+1,FALSE),"")</f>
        <v>0</v>
      </c>
      <c r="P119" t="s" s="371">
        <f>E119&amp;I119</f>
        <v>494</v>
      </c>
      <c r="Q119" s="286"/>
      <c r="R119" s="298"/>
      <c r="S119" s="298"/>
    </row>
    <row r="120" ht="15" customHeight="1">
      <c r="A120" t="s" s="276">
        <f>B120&amp;E120&amp;I120</f>
        <v>617</v>
      </c>
      <c r="B120" s="314">
        <f>B119</f>
        <v>3</v>
      </c>
      <c r="C120" t="s" s="315">
        <f>C119</f>
        <v>510</v>
      </c>
      <c r="D120" t="s" s="315">
        <v>497</v>
      </c>
      <c r="E120" s="316">
        <v>6</v>
      </c>
      <c r="F120" t="s" s="317">
        <v>601</v>
      </c>
      <c r="G120" t="s" s="318">
        <v>606</v>
      </c>
      <c r="H120" t="s" s="304">
        <v>171</v>
      </c>
      <c r="I120" s="319">
        <v>7</v>
      </c>
      <c r="J120" s="330"/>
      <c r="K120" t="s" s="320">
        <v>171</v>
      </c>
      <c r="L120" s="321"/>
      <c r="M120" s="330"/>
      <c r="N120" s="330"/>
      <c r="O120" s="324">
        <f>_xlfn.IFERROR(VLOOKUP($P120,'Suppl'!$B$2:$N$57,MATCH($B120,'Suppl'!$C$1:$N$1,0)+1,FALSE),"")</f>
        <v>0</v>
      </c>
      <c r="P120" t="s" s="320">
        <f>E120&amp;I120</f>
        <v>496</v>
      </c>
      <c r="Q120" s="286"/>
      <c r="R120" s="298"/>
      <c r="S120" s="298"/>
    </row>
    <row r="121" ht="15" customHeight="1">
      <c r="A121" t="s" s="276">
        <f>B121&amp;E121&amp;I121</f>
        <v>72</v>
      </c>
      <c r="B121" s="325">
        <f>B120</f>
        <v>3</v>
      </c>
      <c r="C121" t="s" s="326">
        <f>C120</f>
        <v>510</v>
      </c>
      <c r="D121" t="s" s="326">
        <v>497</v>
      </c>
      <c r="E121" s="289">
        <v>7</v>
      </c>
      <c r="F121" t="s" s="290">
        <v>618</v>
      </c>
      <c r="G121" t="s" s="290">
        <v>619</v>
      </c>
      <c r="H121" t="s" s="304">
        <v>620</v>
      </c>
      <c r="I121" s="292">
        <v>1</v>
      </c>
      <c r="J121" t="s" s="288">
        <v>621</v>
      </c>
      <c r="K121" t="s" s="288">
        <v>283</v>
      </c>
      <c r="L121" t="s" s="293">
        <v>622</v>
      </c>
      <c r="M121" s="328"/>
      <c r="N121" t="s" s="288">
        <v>171</v>
      </c>
      <c r="O121" s="296">
        <f>_xlfn.IFERROR(VLOOKUP($P121,'Suppl'!$B$2:$N$57,MATCH($B121,'Suppl'!$C$1:$N$1,0)+1,FALSE),"")</f>
        <v>0</v>
      </c>
      <c r="P121" t="s" s="288">
        <f>E121&amp;I121</f>
        <v>623</v>
      </c>
      <c r="Q121" s="286"/>
      <c r="R121" s="298"/>
      <c r="S121" s="298"/>
    </row>
    <row r="122" ht="15" customHeight="1">
      <c r="A122" t="s" s="276">
        <f>B122&amp;E122&amp;I122</f>
        <v>624</v>
      </c>
      <c r="B122" s="299">
        <f>B121</f>
        <v>3</v>
      </c>
      <c r="C122" t="s" s="300">
        <f>C121</f>
        <v>510</v>
      </c>
      <c r="D122" t="s" s="300">
        <v>497</v>
      </c>
      <c r="E122" s="301">
        <v>7</v>
      </c>
      <c r="F122" t="s" s="302">
        <v>618</v>
      </c>
      <c r="G122" t="s" s="303">
        <v>619</v>
      </c>
      <c r="H122" t="s" s="304">
        <v>171</v>
      </c>
      <c r="I122" s="305">
        <v>2</v>
      </c>
      <c r="J122" t="s" s="306">
        <v>625</v>
      </c>
      <c r="K122" t="s" s="306">
        <v>283</v>
      </c>
      <c r="L122" t="s" s="307">
        <v>626</v>
      </c>
      <c r="M122" s="284"/>
      <c r="N122" s="369"/>
      <c r="O122" s="370">
        <f>_xlfn.IFERROR(VLOOKUP($P122,'Suppl'!$B$2:$N$57,MATCH($B122,'Suppl'!$C$1:$N$1,0)+1,FALSE),"")</f>
        <v>0</v>
      </c>
      <c r="P122" t="s" s="371">
        <f>E122&amp;I122</f>
        <v>627</v>
      </c>
      <c r="Q122" s="286"/>
      <c r="R122" s="298"/>
      <c r="S122" s="298"/>
    </row>
    <row r="123" ht="15" customHeight="1">
      <c r="A123" t="s" s="276">
        <f>B123&amp;E123&amp;I123</f>
        <v>628</v>
      </c>
      <c r="B123" s="299">
        <f>B122</f>
        <v>3</v>
      </c>
      <c r="C123" t="s" s="300">
        <f>C122</f>
        <v>510</v>
      </c>
      <c r="D123" t="s" s="300">
        <v>497</v>
      </c>
      <c r="E123" s="301">
        <v>7</v>
      </c>
      <c r="F123" t="s" s="302">
        <v>618</v>
      </c>
      <c r="G123" t="s" s="303">
        <v>619</v>
      </c>
      <c r="H123" t="s" s="304">
        <v>171</v>
      </c>
      <c r="I123" s="305">
        <v>3</v>
      </c>
      <c r="J123" t="s" s="306">
        <v>629</v>
      </c>
      <c r="K123" t="s" s="306">
        <v>271</v>
      </c>
      <c r="L123" s="312"/>
      <c r="M123" s="284"/>
      <c r="N123" s="369"/>
      <c r="O123" s="370">
        <f>_xlfn.IFERROR(VLOOKUP($P123,'Suppl'!$B$2:$N$57,MATCH($B123,'Suppl'!$C$1:$N$1,0)+1,FALSE),"")</f>
        <v>0</v>
      </c>
      <c r="P123" t="s" s="371">
        <f>E123&amp;I123</f>
        <v>630</v>
      </c>
      <c r="Q123" s="286"/>
      <c r="R123" s="298"/>
      <c r="S123" s="298"/>
    </row>
    <row r="124" ht="15" customHeight="1">
      <c r="A124" t="s" s="276">
        <f>B124&amp;E124&amp;I124</f>
        <v>631</v>
      </c>
      <c r="B124" s="299">
        <f>B123</f>
        <v>3</v>
      </c>
      <c r="C124" t="s" s="300">
        <f>C123</f>
        <v>510</v>
      </c>
      <c r="D124" t="s" s="300">
        <v>497</v>
      </c>
      <c r="E124" s="301">
        <v>7</v>
      </c>
      <c r="F124" t="s" s="302">
        <v>618</v>
      </c>
      <c r="G124" t="s" s="303">
        <v>619</v>
      </c>
      <c r="H124" t="s" s="304">
        <v>171</v>
      </c>
      <c r="I124" s="305">
        <v>4</v>
      </c>
      <c r="J124" t="s" s="306">
        <v>632</v>
      </c>
      <c r="K124" t="s" s="306">
        <v>263</v>
      </c>
      <c r="L124" t="s" s="307">
        <v>633</v>
      </c>
      <c r="M124" s="284"/>
      <c r="N124" s="369"/>
      <c r="O124" s="370">
        <f>_xlfn.IFERROR(VLOOKUP($P124,'Suppl'!$B$2:$N$57,MATCH($B124,'Suppl'!$C$1:$N$1,0)+1,FALSE),"")</f>
        <v>0</v>
      </c>
      <c r="P124" t="s" s="371">
        <f>E124&amp;I124</f>
        <v>634</v>
      </c>
      <c r="Q124" s="286"/>
      <c r="R124" s="298"/>
      <c r="S124" s="298"/>
    </row>
    <row r="125" ht="15" customHeight="1">
      <c r="A125" t="s" s="276">
        <f>B125&amp;E125&amp;I125</f>
        <v>635</v>
      </c>
      <c r="B125" s="299">
        <f>B124</f>
        <v>3</v>
      </c>
      <c r="C125" t="s" s="300">
        <f>C124</f>
        <v>510</v>
      </c>
      <c r="D125" t="s" s="300">
        <v>497</v>
      </c>
      <c r="E125" s="301">
        <v>7</v>
      </c>
      <c r="F125" t="s" s="302">
        <v>618</v>
      </c>
      <c r="G125" t="s" s="303">
        <v>619</v>
      </c>
      <c r="H125" t="s" s="304">
        <v>171</v>
      </c>
      <c r="I125" s="305">
        <v>5</v>
      </c>
      <c r="J125" t="s" s="306">
        <v>636</v>
      </c>
      <c r="K125" t="s" s="306">
        <v>271</v>
      </c>
      <c r="L125" s="312"/>
      <c r="M125" s="284"/>
      <c r="N125" s="369"/>
      <c r="O125" s="370">
        <f>_xlfn.IFERROR(VLOOKUP($P125,'Suppl'!$B$2:$N$57,MATCH($B125,'Suppl'!$C$1:$N$1,0)+1,FALSE),"")</f>
        <v>0</v>
      </c>
      <c r="P125" t="s" s="371">
        <f>E125&amp;I125</f>
        <v>637</v>
      </c>
      <c r="Q125" s="286"/>
      <c r="R125" s="298"/>
      <c r="S125" s="298"/>
    </row>
    <row r="126" ht="15" customHeight="1">
      <c r="A126" t="s" s="276">
        <f>B126&amp;E126&amp;I126</f>
        <v>638</v>
      </c>
      <c r="B126" s="299">
        <f>B125</f>
        <v>3</v>
      </c>
      <c r="C126" t="s" s="300">
        <f>C125</f>
        <v>510</v>
      </c>
      <c r="D126" t="s" s="300">
        <v>497</v>
      </c>
      <c r="E126" s="301">
        <v>7</v>
      </c>
      <c r="F126" t="s" s="302">
        <v>618</v>
      </c>
      <c r="G126" t="s" s="303">
        <v>619</v>
      </c>
      <c r="H126" t="s" s="304">
        <v>171</v>
      </c>
      <c r="I126" s="305">
        <v>6</v>
      </c>
      <c r="J126" s="284"/>
      <c r="K126" t="s" s="306">
        <v>171</v>
      </c>
      <c r="L126" s="312"/>
      <c r="M126" s="284"/>
      <c r="N126" s="369"/>
      <c r="O126" s="370">
        <f>_xlfn.IFERROR(VLOOKUP($P126,'Suppl'!$B$2:$N$57,MATCH($B126,'Suppl'!$C$1:$N$1,0)+1,FALSE),"")</f>
        <v>0</v>
      </c>
      <c r="P126" t="s" s="371">
        <f>E126&amp;I126</f>
        <v>639</v>
      </c>
      <c r="Q126" s="286"/>
      <c r="R126" s="298"/>
      <c r="S126" s="298"/>
    </row>
    <row r="127" ht="15" customHeight="1">
      <c r="A127" t="s" s="276">
        <f>B127&amp;E127&amp;I127</f>
        <v>640</v>
      </c>
      <c r="B127" s="314">
        <f>B126</f>
        <v>3</v>
      </c>
      <c r="C127" t="s" s="315">
        <f>C126</f>
        <v>510</v>
      </c>
      <c r="D127" t="s" s="315">
        <v>497</v>
      </c>
      <c r="E127" s="316">
        <v>7</v>
      </c>
      <c r="F127" t="s" s="317">
        <v>618</v>
      </c>
      <c r="G127" t="s" s="318">
        <v>619</v>
      </c>
      <c r="H127" t="s" s="304">
        <v>171</v>
      </c>
      <c r="I127" s="319">
        <v>7</v>
      </c>
      <c r="J127" s="330"/>
      <c r="K127" s="330"/>
      <c r="L127" s="321"/>
      <c r="M127" s="330"/>
      <c r="N127" s="330"/>
      <c r="O127" s="324">
        <f>_xlfn.IFERROR(VLOOKUP($P127,'Suppl'!$B$2:$N$57,MATCH($B127,'Suppl'!$C$1:$N$1,0)+1,FALSE),"")</f>
        <v>0</v>
      </c>
      <c r="P127" t="s" s="320">
        <f>E127&amp;I127</f>
        <v>641</v>
      </c>
      <c r="Q127" s="286"/>
      <c r="R127" s="298"/>
      <c r="S127" s="298"/>
    </row>
    <row r="128" ht="15" customHeight="1">
      <c r="A128" t="s" s="276">
        <f>B128&amp;E128&amp;I128</f>
        <v>74</v>
      </c>
      <c r="B128" s="325">
        <f>B127</f>
        <v>3</v>
      </c>
      <c r="C128" s="372">
        <f>C127</f>
      </c>
      <c r="D128" t="s" s="326">
        <v>497</v>
      </c>
      <c r="E128" s="289">
        <v>8</v>
      </c>
      <c r="F128" t="s" s="290">
        <v>642</v>
      </c>
      <c r="G128" t="s" s="290">
        <v>643</v>
      </c>
      <c r="H128" t="s" s="304">
        <v>644</v>
      </c>
      <c r="I128" s="292">
        <v>1</v>
      </c>
      <c r="J128" t="s" s="293">
        <v>645</v>
      </c>
      <c r="K128" t="s" s="288">
        <v>283</v>
      </c>
      <c r="L128" t="s" s="293">
        <v>646</v>
      </c>
      <c r="M128" s="328"/>
      <c r="N128" t="s" s="288">
        <v>171</v>
      </c>
      <c r="O128" s="296">
        <f>_xlfn.IFERROR(VLOOKUP($P128,'Suppl'!$B$2:$N$57,MATCH($B128,'Suppl'!$C$1:$N$1,0)+1,FALSE),"")</f>
        <v>0</v>
      </c>
      <c r="P128" t="s" s="288">
        <f>E128&amp;I128</f>
        <v>647</v>
      </c>
      <c r="Q128" s="286"/>
      <c r="R128" s="298"/>
      <c r="S128" s="298"/>
    </row>
    <row r="129" ht="15" customHeight="1">
      <c r="A129" t="s" s="276">
        <f>B129&amp;E129&amp;I129</f>
        <v>648</v>
      </c>
      <c r="B129" s="299">
        <f>B128</f>
        <v>3</v>
      </c>
      <c r="C129" s="373">
        <f>C128</f>
      </c>
      <c r="D129" t="s" s="300">
        <v>497</v>
      </c>
      <c r="E129" s="301">
        <v>8</v>
      </c>
      <c r="F129" t="s" s="302">
        <v>642</v>
      </c>
      <c r="G129" t="s" s="303">
        <v>643</v>
      </c>
      <c r="H129" t="s" s="304">
        <v>171</v>
      </c>
      <c r="I129" s="305">
        <v>2</v>
      </c>
      <c r="J129" t="s" s="307">
        <v>649</v>
      </c>
      <c r="K129" t="s" s="306">
        <v>263</v>
      </c>
      <c r="L129" t="s" s="307">
        <v>650</v>
      </c>
      <c r="M129" s="284"/>
      <c r="N129" s="369"/>
      <c r="O129" s="370">
        <f>_xlfn.IFERROR(VLOOKUP($P129,'Suppl'!$B$2:$N$57,MATCH($B129,'Suppl'!$C$1:$N$1,0)+1,FALSE),"")</f>
        <v>0</v>
      </c>
      <c r="P129" t="s" s="371">
        <f>E129&amp;I129</f>
        <v>651</v>
      </c>
      <c r="Q129" s="286"/>
      <c r="R129" s="298"/>
      <c r="S129" s="298"/>
    </row>
    <row r="130" ht="15" customHeight="1">
      <c r="A130" t="s" s="276">
        <f>B130&amp;E130&amp;I130</f>
        <v>652</v>
      </c>
      <c r="B130" s="299">
        <f>B129</f>
        <v>3</v>
      </c>
      <c r="C130" s="373">
        <f>C129</f>
      </c>
      <c r="D130" t="s" s="300">
        <v>497</v>
      </c>
      <c r="E130" s="301">
        <v>8</v>
      </c>
      <c r="F130" t="s" s="302">
        <v>642</v>
      </c>
      <c r="G130" t="s" s="303">
        <v>643</v>
      </c>
      <c r="H130" t="s" s="304">
        <v>171</v>
      </c>
      <c r="I130" s="305">
        <v>3</v>
      </c>
      <c r="J130" t="s" s="307">
        <v>653</v>
      </c>
      <c r="K130" t="s" s="306">
        <v>271</v>
      </c>
      <c r="L130" t="s" s="307">
        <v>654</v>
      </c>
      <c r="M130" s="284"/>
      <c r="N130" s="369"/>
      <c r="O130" s="370">
        <f>_xlfn.IFERROR(VLOOKUP($P130,'Suppl'!$B$2:$N$57,MATCH($B130,'Suppl'!$C$1:$N$1,0)+1,FALSE),"")</f>
        <v>0</v>
      </c>
      <c r="P130" t="s" s="371">
        <f>E130&amp;I130</f>
        <v>655</v>
      </c>
      <c r="Q130" s="286"/>
      <c r="R130" s="298"/>
      <c r="S130" s="298"/>
    </row>
    <row r="131" ht="15" customHeight="1">
      <c r="A131" t="s" s="276">
        <f>B131&amp;E131&amp;I131</f>
        <v>656</v>
      </c>
      <c r="B131" s="299">
        <f>B130</f>
        <v>3</v>
      </c>
      <c r="C131" s="373">
        <f>C130</f>
      </c>
      <c r="D131" t="s" s="300">
        <v>497</v>
      </c>
      <c r="E131" s="301">
        <v>8</v>
      </c>
      <c r="F131" t="s" s="302">
        <v>642</v>
      </c>
      <c r="G131" t="s" s="303">
        <v>643</v>
      </c>
      <c r="H131" t="s" s="304">
        <v>171</v>
      </c>
      <c r="I131" s="305">
        <v>4</v>
      </c>
      <c r="J131" t="s" s="374">
        <v>657</v>
      </c>
      <c r="K131" t="s" s="306">
        <v>263</v>
      </c>
      <c r="L131" t="s" s="307">
        <v>658</v>
      </c>
      <c r="M131" s="284"/>
      <c r="N131" s="369"/>
      <c r="O131" s="370">
        <f>_xlfn.IFERROR(VLOOKUP($P131,'Suppl'!$B$2:$N$57,MATCH($B131,'Suppl'!$C$1:$N$1,0)+1,FALSE),"")</f>
        <v>0</v>
      </c>
      <c r="P131" t="s" s="371">
        <f>E131&amp;I131</f>
        <v>659</v>
      </c>
      <c r="Q131" s="286"/>
      <c r="R131" s="298"/>
      <c r="S131" s="298"/>
    </row>
    <row r="132" ht="15" customHeight="1">
      <c r="A132" t="s" s="276">
        <f>B132&amp;E132&amp;I132</f>
        <v>660</v>
      </c>
      <c r="B132" s="299">
        <f>B131</f>
        <v>3</v>
      </c>
      <c r="C132" s="373">
        <f>C131</f>
      </c>
      <c r="D132" t="s" s="300">
        <v>497</v>
      </c>
      <c r="E132" s="301">
        <v>8</v>
      </c>
      <c r="F132" t="s" s="302">
        <v>642</v>
      </c>
      <c r="G132" t="s" s="303">
        <v>643</v>
      </c>
      <c r="H132" t="s" s="304">
        <v>171</v>
      </c>
      <c r="I132" s="305">
        <v>5</v>
      </c>
      <c r="J132" t="s" s="374">
        <v>661</v>
      </c>
      <c r="K132" t="s" s="306">
        <v>271</v>
      </c>
      <c r="L132" s="312"/>
      <c r="M132" s="284"/>
      <c r="N132" s="369"/>
      <c r="O132" s="370">
        <f>_xlfn.IFERROR(VLOOKUP($P132,'Suppl'!$B$2:$N$57,MATCH($B132,'Suppl'!$C$1:$N$1,0)+1,FALSE),"")</f>
        <v>0</v>
      </c>
      <c r="P132" t="s" s="371">
        <f>E132&amp;I132</f>
        <v>662</v>
      </c>
      <c r="Q132" s="286"/>
      <c r="R132" s="298"/>
      <c r="S132" s="298"/>
    </row>
    <row r="133" ht="15" customHeight="1">
      <c r="A133" t="s" s="276">
        <f>B133&amp;E133&amp;I133</f>
        <v>663</v>
      </c>
      <c r="B133" s="299">
        <f>B132</f>
        <v>3</v>
      </c>
      <c r="C133" s="373">
        <f>C132</f>
      </c>
      <c r="D133" t="s" s="300">
        <v>497</v>
      </c>
      <c r="E133" s="301">
        <v>8</v>
      </c>
      <c r="F133" t="s" s="302">
        <v>642</v>
      </c>
      <c r="G133" t="s" s="303">
        <v>643</v>
      </c>
      <c r="H133" t="s" s="304">
        <v>171</v>
      </c>
      <c r="I133" s="305">
        <v>6</v>
      </c>
      <c r="J133" t="s" s="307">
        <v>664</v>
      </c>
      <c r="K133" t="s" s="306">
        <v>291</v>
      </c>
      <c r="L133" t="s" s="307">
        <v>665</v>
      </c>
      <c r="M133" s="284"/>
      <c r="N133" s="369"/>
      <c r="O133" s="370">
        <f>_xlfn.IFERROR(VLOOKUP($P133,'Suppl'!$B$2:$N$57,MATCH($B133,'Suppl'!$C$1:$N$1,0)+1,FALSE),"")</f>
        <v>0</v>
      </c>
      <c r="P133" t="s" s="371">
        <f>E133&amp;I133</f>
        <v>666</v>
      </c>
      <c r="Q133" s="286"/>
      <c r="R133" s="298"/>
      <c r="S133" s="298"/>
    </row>
    <row r="134" ht="15" customHeight="1">
      <c r="A134" t="s" s="276">
        <f>B134&amp;E134&amp;I134</f>
        <v>667</v>
      </c>
      <c r="B134" s="331">
        <f>B133</f>
        <v>3</v>
      </c>
      <c r="C134" s="375">
        <f>C133</f>
      </c>
      <c r="D134" t="s" s="332">
        <v>497</v>
      </c>
      <c r="E134" s="333">
        <v>8</v>
      </c>
      <c r="F134" t="s" s="334">
        <v>642</v>
      </c>
      <c r="G134" t="s" s="335">
        <v>643</v>
      </c>
      <c r="H134" t="s" s="336">
        <v>171</v>
      </c>
      <c r="I134" s="337">
        <v>7</v>
      </c>
      <c r="J134" t="s" s="376">
        <v>668</v>
      </c>
      <c r="K134" t="s" s="341">
        <v>271</v>
      </c>
      <c r="L134" t="s" s="377">
        <v>669</v>
      </c>
      <c r="M134" s="378"/>
      <c r="N134" s="379"/>
      <c r="O134" s="380">
        <f>_xlfn.IFERROR(VLOOKUP($P134,'Suppl'!$B$2:$N$57,MATCH($B134,'Suppl'!$C$1:$N$1,0)+1,FALSE),"")</f>
        <v>0</v>
      </c>
      <c r="P134" t="s" s="381">
        <f>E134&amp;I134</f>
        <v>670</v>
      </c>
      <c r="Q134" s="286"/>
      <c r="R134" s="298"/>
      <c r="S134" s="298"/>
    </row>
    <row r="135" ht="15" customHeight="1">
      <c r="A135" t="s" s="276">
        <f>B135&amp;E135&amp;I135</f>
        <v>76</v>
      </c>
      <c r="B135" s="342">
        <v>4</v>
      </c>
      <c r="C135" t="s" s="343">
        <v>227</v>
      </c>
      <c r="D135" t="s" s="343">
        <v>671</v>
      </c>
      <c r="E135" s="344">
        <v>1</v>
      </c>
      <c r="F135" t="s" s="343">
        <v>672</v>
      </c>
      <c r="G135" t="s" s="345">
        <v>673</v>
      </c>
      <c r="H135" t="s" s="346">
        <v>674</v>
      </c>
      <c r="I135" s="342">
        <v>1</v>
      </c>
      <c r="J135" t="s" s="343">
        <v>675</v>
      </c>
      <c r="K135" t="s" s="343">
        <v>263</v>
      </c>
      <c r="L135" t="s" s="347">
        <v>171</v>
      </c>
      <c r="M135" t="s" s="348">
        <v>676</v>
      </c>
      <c r="N135" t="s" s="349">
        <v>677</v>
      </c>
      <c r="O135" s="350">
        <f>_xlfn.IFERROR(VLOOKUP($P135,'Suppl'!$B$2:$N$57,MATCH($B135,'Suppl'!$C$1:$N$1,0)+1,FALSE),"")</f>
        <v>0</v>
      </c>
      <c r="P135" t="s" s="343">
        <f>E135&amp;I135</f>
        <v>260</v>
      </c>
      <c r="Q135" s="286"/>
      <c r="R135" s="298"/>
      <c r="S135" s="298"/>
    </row>
    <row r="136" ht="15" customHeight="1">
      <c r="A136" t="s" s="276">
        <f>B136&amp;E136&amp;I136</f>
        <v>678</v>
      </c>
      <c r="B136" s="351">
        <f>B135</f>
        <v>4</v>
      </c>
      <c r="C136" t="s" s="300">
        <f>C135</f>
        <v>227</v>
      </c>
      <c r="D136" t="s" s="300">
        <v>671</v>
      </c>
      <c r="E136" s="301">
        <v>1</v>
      </c>
      <c r="F136" t="s" s="300">
        <v>672</v>
      </c>
      <c r="G136" t="s" s="352">
        <v>673</v>
      </c>
      <c r="H136" t="s" s="353">
        <v>171</v>
      </c>
      <c r="I136" s="305">
        <v>2</v>
      </c>
      <c r="J136" t="s" s="306">
        <v>679</v>
      </c>
      <c r="K136" t="s" s="306">
        <v>263</v>
      </c>
      <c r="L136" s="312"/>
      <c r="M136" t="s" s="308">
        <v>680</v>
      </c>
      <c r="N136" t="s" s="309">
        <v>681</v>
      </c>
      <c r="O136" s="310">
        <f>_xlfn.IFERROR(VLOOKUP($P136,'Suppl'!$B$2:$N$57,MATCH($B136,'Suppl'!$C$1:$N$1,0)+1,FALSE),"")</f>
        <v>0</v>
      </c>
      <c r="P136" t="s" s="306">
        <f>E136&amp;I136</f>
        <v>267</v>
      </c>
      <c r="Q136" s="286"/>
      <c r="R136" s="298"/>
      <c r="S136" s="298"/>
    </row>
    <row r="137" ht="15" customHeight="1">
      <c r="A137" t="s" s="276">
        <f>B137&amp;E137&amp;I137</f>
        <v>682</v>
      </c>
      <c r="B137" s="351">
        <f>B136</f>
        <v>4</v>
      </c>
      <c r="C137" t="s" s="300">
        <f>C136</f>
        <v>683</v>
      </c>
      <c r="D137" t="s" s="300">
        <v>671</v>
      </c>
      <c r="E137" s="301">
        <v>1</v>
      </c>
      <c r="F137" t="s" s="300">
        <v>672</v>
      </c>
      <c r="G137" t="s" s="352">
        <v>673</v>
      </c>
      <c r="H137" t="s" s="353">
        <v>171</v>
      </c>
      <c r="I137" s="305">
        <v>3</v>
      </c>
      <c r="J137" t="s" s="306">
        <v>684</v>
      </c>
      <c r="K137" t="s" s="306">
        <v>283</v>
      </c>
      <c r="L137" s="312"/>
      <c r="M137" t="s" s="308">
        <v>685</v>
      </c>
      <c r="N137" t="s" s="309">
        <v>686</v>
      </c>
      <c r="O137" s="310">
        <f>_xlfn.IFERROR(VLOOKUP($P137,'Suppl'!$B$2:$N$57,MATCH($B137,'Suppl'!$C$1:$N$1,0)+1,FALSE),"")</f>
        <v>0</v>
      </c>
      <c r="P137" t="s" s="306">
        <f>E137&amp;I137</f>
        <v>275</v>
      </c>
      <c r="Q137" s="286"/>
      <c r="R137" s="298"/>
      <c r="S137" s="298"/>
    </row>
    <row r="138" ht="15" customHeight="1">
      <c r="A138" t="s" s="276">
        <f>B138&amp;E138&amp;I138</f>
        <v>687</v>
      </c>
      <c r="B138" s="351">
        <f>B137</f>
        <v>4</v>
      </c>
      <c r="C138" t="s" s="300">
        <f>C137</f>
        <v>683</v>
      </c>
      <c r="D138" t="s" s="300">
        <v>671</v>
      </c>
      <c r="E138" s="301">
        <v>1</v>
      </c>
      <c r="F138" t="s" s="300">
        <v>672</v>
      </c>
      <c r="G138" t="s" s="352">
        <v>673</v>
      </c>
      <c r="H138" t="s" s="353">
        <v>171</v>
      </c>
      <c r="I138" s="305">
        <v>4</v>
      </c>
      <c r="J138" s="284"/>
      <c r="K138" s="284"/>
      <c r="L138" s="312"/>
      <c r="M138" t="s" s="308">
        <v>688</v>
      </c>
      <c r="N138" t="s" s="309">
        <v>689</v>
      </c>
      <c r="O138" s="310">
        <f>_xlfn.IFERROR(VLOOKUP($P138,'Suppl'!$B$2:$N$57,MATCH($B138,'Suppl'!$C$1:$N$1,0)+1,FALSE),"")</f>
        <v>0</v>
      </c>
      <c r="P138" t="s" s="306">
        <f>E138&amp;I138</f>
        <v>280</v>
      </c>
      <c r="Q138" s="286"/>
      <c r="R138" s="298"/>
      <c r="S138" s="298"/>
    </row>
    <row r="139" ht="15" customHeight="1">
      <c r="A139" t="s" s="276">
        <f>B139&amp;E139&amp;I139</f>
        <v>690</v>
      </c>
      <c r="B139" s="351">
        <f>B138</f>
        <v>4</v>
      </c>
      <c r="C139" t="s" s="300">
        <f>C138</f>
        <v>683</v>
      </c>
      <c r="D139" t="s" s="300">
        <v>671</v>
      </c>
      <c r="E139" s="301">
        <v>1</v>
      </c>
      <c r="F139" t="s" s="300">
        <v>672</v>
      </c>
      <c r="G139" t="s" s="352">
        <v>673</v>
      </c>
      <c r="H139" t="s" s="353">
        <v>171</v>
      </c>
      <c r="I139" s="305">
        <v>5</v>
      </c>
      <c r="J139" s="284"/>
      <c r="K139" s="284"/>
      <c r="L139" s="312"/>
      <c r="M139" s="311"/>
      <c r="N139" t="s" s="309">
        <v>691</v>
      </c>
      <c r="O139" s="310">
        <f>_xlfn.IFERROR(VLOOKUP($P139,'Suppl'!$B$2:$N$57,MATCH($B139,'Suppl'!$C$1:$N$1,0)+1,FALSE),"")</f>
        <v>0</v>
      </c>
      <c r="P139" t="s" s="306">
        <f>E139&amp;I139</f>
        <v>284</v>
      </c>
      <c r="Q139" s="286"/>
      <c r="R139" s="298"/>
      <c r="S139" s="298"/>
    </row>
    <row r="140" ht="15" customHeight="1">
      <c r="A140" t="s" s="276">
        <f>B140&amp;E140&amp;I140</f>
        <v>692</v>
      </c>
      <c r="B140" s="351">
        <f>B139</f>
        <v>4</v>
      </c>
      <c r="C140" t="s" s="300">
        <f>C139</f>
        <v>683</v>
      </c>
      <c r="D140" t="s" s="300">
        <v>671</v>
      </c>
      <c r="E140" s="301">
        <v>1</v>
      </c>
      <c r="F140" t="s" s="300">
        <v>672</v>
      </c>
      <c r="G140" t="s" s="352">
        <v>673</v>
      </c>
      <c r="H140" t="s" s="353">
        <v>171</v>
      </c>
      <c r="I140" s="305">
        <v>6</v>
      </c>
      <c r="J140" s="284"/>
      <c r="K140" s="284"/>
      <c r="L140" s="312"/>
      <c r="M140" s="311"/>
      <c r="N140" t="s" s="309">
        <v>693</v>
      </c>
      <c r="O140" s="310">
        <f>_xlfn.IFERROR(VLOOKUP($P140,'Suppl'!$B$2:$N$57,MATCH($B140,'Suppl'!$C$1:$N$1,0)+1,FALSE),"")</f>
        <v>0</v>
      </c>
      <c r="P140" t="s" s="306">
        <f>E140&amp;I140</f>
        <v>288</v>
      </c>
      <c r="Q140" s="286"/>
      <c r="R140" s="298"/>
      <c r="S140" s="298"/>
    </row>
    <row r="141" ht="15" customHeight="1">
      <c r="A141" t="s" s="276">
        <f>B141&amp;E141&amp;I141</f>
        <v>694</v>
      </c>
      <c r="B141" s="354">
        <f>B140</f>
        <v>4</v>
      </c>
      <c r="C141" t="s" s="315">
        <f>C140</f>
        <v>683</v>
      </c>
      <c r="D141" t="s" s="315">
        <v>671</v>
      </c>
      <c r="E141" s="316">
        <v>1</v>
      </c>
      <c r="F141" t="s" s="315">
        <v>672</v>
      </c>
      <c r="G141" t="s" s="355">
        <v>673</v>
      </c>
      <c r="H141" t="s" s="353">
        <v>171</v>
      </c>
      <c r="I141" s="319">
        <v>7</v>
      </c>
      <c r="J141" s="330"/>
      <c r="K141" s="330"/>
      <c r="L141" s="321"/>
      <c r="M141" s="322"/>
      <c r="N141" s="323"/>
      <c r="O141" s="324">
        <f>_xlfn.IFERROR(VLOOKUP($P141,'Suppl'!$B$2:$N$57,MATCH($B141,'Suppl'!$C$1:$N$1,0)+1,FALSE),"")</f>
        <v>0</v>
      </c>
      <c r="P141" t="s" s="320">
        <f>E141&amp;I141</f>
        <v>292</v>
      </c>
      <c r="Q141" s="286"/>
      <c r="R141" s="298"/>
      <c r="S141" s="298"/>
    </row>
    <row r="142" ht="15" customHeight="1">
      <c r="A142" t="s" s="276">
        <f>B142&amp;E142&amp;I142</f>
        <v>79</v>
      </c>
      <c r="B142" s="356">
        <f>B141</f>
        <v>4</v>
      </c>
      <c r="C142" t="s" s="326">
        <f>C141</f>
        <v>683</v>
      </c>
      <c r="D142" t="s" s="326">
        <v>671</v>
      </c>
      <c r="E142" s="289">
        <v>2</v>
      </c>
      <c r="F142" t="s" s="288">
        <v>695</v>
      </c>
      <c r="G142" t="s" s="357">
        <v>696</v>
      </c>
      <c r="H142" t="s" s="353">
        <v>171</v>
      </c>
      <c r="I142" s="292">
        <v>1</v>
      </c>
      <c r="J142" t="s" s="288">
        <v>697</v>
      </c>
      <c r="K142" t="s" s="288">
        <v>263</v>
      </c>
      <c r="L142" t="s" s="293">
        <v>698</v>
      </c>
      <c r="M142" s="328"/>
      <c r="N142" s="328"/>
      <c r="O142" s="296">
        <f>_xlfn.IFERROR(VLOOKUP($P142,'Suppl'!$B$2:$N$57,MATCH($B142,'Suppl'!$C$1:$N$1,0)+1,FALSE),"")</f>
        <v>0</v>
      </c>
      <c r="P142" t="s" s="288">
        <f>E142&amp;I142</f>
        <v>297</v>
      </c>
      <c r="Q142" s="286"/>
      <c r="R142" s="298"/>
      <c r="S142" s="298"/>
    </row>
    <row r="143" ht="15" customHeight="1">
      <c r="A143" t="s" s="276">
        <f>B143&amp;E143&amp;I143</f>
        <v>699</v>
      </c>
      <c r="B143" s="351">
        <f>B142</f>
        <v>4</v>
      </c>
      <c r="C143" t="s" s="300">
        <f>C142</f>
        <v>683</v>
      </c>
      <c r="D143" t="s" s="300">
        <v>671</v>
      </c>
      <c r="E143" s="301">
        <v>2</v>
      </c>
      <c r="F143" t="s" s="300">
        <v>695</v>
      </c>
      <c r="G143" t="s" s="352">
        <v>696</v>
      </c>
      <c r="H143" t="s" s="353">
        <v>171</v>
      </c>
      <c r="I143" s="305">
        <v>2</v>
      </c>
      <c r="J143" t="s" s="306">
        <v>700</v>
      </c>
      <c r="K143" t="s" s="306">
        <v>263</v>
      </c>
      <c r="L143" s="312"/>
      <c r="M143" s="284"/>
      <c r="N143" s="284"/>
      <c r="O143" s="310">
        <f>_xlfn.IFERROR(VLOOKUP($P143,'Suppl'!$B$2:$N$57,MATCH($B143,'Suppl'!$C$1:$N$1,0)+1,FALSE),"")</f>
        <v>0</v>
      </c>
      <c r="P143" t="s" s="306">
        <f>E143&amp;I143</f>
        <v>300</v>
      </c>
      <c r="Q143" s="286"/>
      <c r="R143" s="298"/>
      <c r="S143" s="298"/>
    </row>
    <row r="144" ht="15" customHeight="1">
      <c r="A144" t="s" s="276">
        <f>B144&amp;E144&amp;I144</f>
        <v>701</v>
      </c>
      <c r="B144" s="351">
        <f>B143</f>
        <v>4</v>
      </c>
      <c r="C144" t="s" s="300">
        <f>C143</f>
        <v>683</v>
      </c>
      <c r="D144" t="s" s="300">
        <v>671</v>
      </c>
      <c r="E144" s="301">
        <v>2</v>
      </c>
      <c r="F144" t="s" s="300">
        <v>695</v>
      </c>
      <c r="G144" t="s" s="352">
        <v>696</v>
      </c>
      <c r="H144" t="s" s="353">
        <v>171</v>
      </c>
      <c r="I144" s="305">
        <v>3</v>
      </c>
      <c r="J144" t="s" s="306">
        <v>702</v>
      </c>
      <c r="K144" t="s" s="306">
        <v>271</v>
      </c>
      <c r="L144" t="s" s="307">
        <v>703</v>
      </c>
      <c r="M144" s="284"/>
      <c r="N144" s="284"/>
      <c r="O144" s="310">
        <f>_xlfn.IFERROR(VLOOKUP($P144,'Suppl'!$B$2:$N$57,MATCH($B144,'Suppl'!$C$1:$N$1,0)+1,FALSE),"")</f>
        <v>0</v>
      </c>
      <c r="P144" t="s" s="306">
        <f>E144&amp;I144</f>
        <v>303</v>
      </c>
      <c r="Q144" s="286"/>
      <c r="R144" s="298"/>
      <c r="S144" s="298"/>
    </row>
    <row r="145" ht="15" customHeight="1">
      <c r="A145" t="s" s="276">
        <f>B145&amp;E145&amp;I145</f>
        <v>704</v>
      </c>
      <c r="B145" s="351">
        <f>B144</f>
        <v>4</v>
      </c>
      <c r="C145" t="s" s="300">
        <f>C144</f>
        <v>683</v>
      </c>
      <c r="D145" t="s" s="300">
        <v>671</v>
      </c>
      <c r="E145" s="301">
        <v>2</v>
      </c>
      <c r="F145" t="s" s="300">
        <v>695</v>
      </c>
      <c r="G145" t="s" s="352">
        <v>696</v>
      </c>
      <c r="H145" t="s" s="353">
        <v>171</v>
      </c>
      <c r="I145" s="305">
        <v>4</v>
      </c>
      <c r="J145" s="284"/>
      <c r="K145" s="284"/>
      <c r="L145" s="312"/>
      <c r="M145" s="284"/>
      <c r="N145" s="284"/>
      <c r="O145" s="310">
        <f>_xlfn.IFERROR(VLOOKUP($P145,'Suppl'!$B$2:$N$57,MATCH($B145,'Suppl'!$C$1:$N$1,0)+1,FALSE),"")</f>
        <v>0</v>
      </c>
      <c r="P145" t="s" s="306">
        <f>E145&amp;I145</f>
        <v>307</v>
      </c>
      <c r="Q145" s="286"/>
      <c r="R145" s="298"/>
      <c r="S145" s="298"/>
    </row>
    <row r="146" ht="15" customHeight="1">
      <c r="A146" t="s" s="276">
        <f>B146&amp;E146&amp;I146</f>
        <v>705</v>
      </c>
      <c r="B146" s="351">
        <f>B145</f>
        <v>4</v>
      </c>
      <c r="C146" t="s" s="300">
        <f>C145</f>
        <v>683</v>
      </c>
      <c r="D146" t="s" s="300">
        <v>671</v>
      </c>
      <c r="E146" s="301">
        <v>2</v>
      </c>
      <c r="F146" t="s" s="300">
        <v>695</v>
      </c>
      <c r="G146" t="s" s="352">
        <v>696</v>
      </c>
      <c r="H146" t="s" s="353">
        <v>171</v>
      </c>
      <c r="I146" s="305">
        <v>5</v>
      </c>
      <c r="J146" s="284"/>
      <c r="K146" s="284"/>
      <c r="L146" s="312"/>
      <c r="M146" s="284"/>
      <c r="N146" s="284"/>
      <c r="O146" s="310">
        <f>_xlfn.IFERROR(VLOOKUP($P146,'Suppl'!$B$2:$N$57,MATCH($B146,'Suppl'!$C$1:$N$1,0)+1,FALSE),"")</f>
        <v>0</v>
      </c>
      <c r="P146" t="s" s="306">
        <f>E146&amp;I146</f>
        <v>311</v>
      </c>
      <c r="Q146" s="286"/>
      <c r="R146" s="298"/>
      <c r="S146" s="298"/>
    </row>
    <row r="147" ht="15" customHeight="1">
      <c r="A147" t="s" s="276">
        <f>B147&amp;E147&amp;I147</f>
        <v>706</v>
      </c>
      <c r="B147" s="351">
        <f>B146</f>
        <v>4</v>
      </c>
      <c r="C147" t="s" s="300">
        <f>C146</f>
        <v>683</v>
      </c>
      <c r="D147" t="s" s="300">
        <v>671</v>
      </c>
      <c r="E147" s="301">
        <v>2</v>
      </c>
      <c r="F147" t="s" s="300">
        <v>695</v>
      </c>
      <c r="G147" t="s" s="352">
        <v>696</v>
      </c>
      <c r="H147" t="s" s="353">
        <v>171</v>
      </c>
      <c r="I147" s="305">
        <v>6</v>
      </c>
      <c r="J147" s="284"/>
      <c r="K147" s="284"/>
      <c r="L147" s="312"/>
      <c r="M147" s="284"/>
      <c r="N147" s="284"/>
      <c r="O147" s="310">
        <f>_xlfn.IFERROR(VLOOKUP($P147,'Suppl'!$B$2:$N$57,MATCH($B147,'Suppl'!$C$1:$N$1,0)+1,FALSE),"")</f>
        <v>0</v>
      </c>
      <c r="P147" t="s" s="306">
        <f>E147&amp;I147</f>
        <v>315</v>
      </c>
      <c r="Q147" s="286"/>
      <c r="R147" s="298"/>
      <c r="S147" s="298"/>
    </row>
    <row r="148" ht="15" customHeight="1">
      <c r="A148" t="s" s="276">
        <f>B148&amp;E148&amp;I148</f>
        <v>707</v>
      </c>
      <c r="B148" s="354">
        <f>B147</f>
        <v>4</v>
      </c>
      <c r="C148" t="s" s="315">
        <f>C147</f>
        <v>683</v>
      </c>
      <c r="D148" t="s" s="315">
        <v>671</v>
      </c>
      <c r="E148" s="316">
        <v>2</v>
      </c>
      <c r="F148" t="s" s="315">
        <v>695</v>
      </c>
      <c r="G148" t="s" s="355">
        <v>696</v>
      </c>
      <c r="H148" t="s" s="353">
        <v>171</v>
      </c>
      <c r="I148" s="319">
        <v>7</v>
      </c>
      <c r="J148" s="330"/>
      <c r="K148" s="330"/>
      <c r="L148" s="321"/>
      <c r="M148" s="330"/>
      <c r="N148" s="330"/>
      <c r="O148" s="324">
        <f>_xlfn.IFERROR(VLOOKUP($P148,'Suppl'!$B$2:$N$57,MATCH($B148,'Suppl'!$C$1:$N$1,0)+1,FALSE),"")</f>
        <v>0</v>
      </c>
      <c r="P148" t="s" s="320">
        <f>E148&amp;I148</f>
        <v>319</v>
      </c>
      <c r="Q148" s="286"/>
      <c r="R148" s="298"/>
      <c r="S148" s="298"/>
    </row>
    <row r="149" ht="15" customHeight="1">
      <c r="A149" t="s" s="276">
        <f>B149&amp;E149&amp;I149</f>
        <v>82</v>
      </c>
      <c r="B149" s="356">
        <f>B148</f>
        <v>4</v>
      </c>
      <c r="C149" t="s" s="326">
        <f>C148</f>
        <v>683</v>
      </c>
      <c r="D149" t="s" s="326">
        <v>671</v>
      </c>
      <c r="E149" s="289">
        <v>3</v>
      </c>
      <c r="F149" t="s" s="288">
        <v>708</v>
      </c>
      <c r="G149" t="s" s="357">
        <v>709</v>
      </c>
      <c r="H149" t="s" s="353">
        <v>171</v>
      </c>
      <c r="I149" s="292">
        <v>1</v>
      </c>
      <c r="J149" t="s" s="288">
        <v>710</v>
      </c>
      <c r="K149" t="s" s="288">
        <v>291</v>
      </c>
      <c r="L149" t="s" s="293">
        <v>711</v>
      </c>
      <c r="M149" s="328"/>
      <c r="N149" s="328"/>
      <c r="O149" s="296">
        <f>_xlfn.IFERROR(VLOOKUP($P149,'Suppl'!$B$2:$N$57,MATCH($B149,'Suppl'!$C$1:$N$1,0)+1,FALSE),"")</f>
        <v>0</v>
      </c>
      <c r="P149" t="s" s="288">
        <f>E149&amp;I149</f>
        <v>325</v>
      </c>
      <c r="Q149" s="286"/>
      <c r="R149" s="298"/>
      <c r="S149" s="298"/>
    </row>
    <row r="150" ht="15" customHeight="1">
      <c r="A150" t="s" s="276">
        <f>B150&amp;E150&amp;I150</f>
        <v>712</v>
      </c>
      <c r="B150" s="351">
        <f>B149</f>
        <v>4</v>
      </c>
      <c r="C150" t="s" s="300">
        <f>C149</f>
        <v>683</v>
      </c>
      <c r="D150" t="s" s="300">
        <v>671</v>
      </c>
      <c r="E150" s="301">
        <v>3</v>
      </c>
      <c r="F150" t="s" s="300">
        <v>708</v>
      </c>
      <c r="G150" t="s" s="352">
        <v>709</v>
      </c>
      <c r="H150" t="s" s="353">
        <v>171</v>
      </c>
      <c r="I150" s="305">
        <v>2</v>
      </c>
      <c r="J150" t="s" s="306">
        <v>713</v>
      </c>
      <c r="K150" t="s" s="306">
        <v>271</v>
      </c>
      <c r="L150" s="312"/>
      <c r="M150" s="284"/>
      <c r="N150" s="284"/>
      <c r="O150" s="310">
        <f>_xlfn.IFERROR(VLOOKUP($P150,'Suppl'!$B$2:$N$57,MATCH($B150,'Suppl'!$C$1:$N$1,0)+1,FALSE),"")</f>
        <v>0</v>
      </c>
      <c r="P150" t="s" s="306">
        <f>E150&amp;I150</f>
        <v>329</v>
      </c>
      <c r="Q150" s="286"/>
      <c r="R150" s="298"/>
      <c r="S150" s="298"/>
    </row>
    <row r="151" ht="15" customHeight="1">
      <c r="A151" t="s" s="276">
        <f>B151&amp;E151&amp;I151</f>
        <v>714</v>
      </c>
      <c r="B151" s="351">
        <f>B150</f>
        <v>4</v>
      </c>
      <c r="C151" t="s" s="300">
        <f>C150</f>
        <v>683</v>
      </c>
      <c r="D151" t="s" s="300">
        <v>671</v>
      </c>
      <c r="E151" s="301">
        <v>3</v>
      </c>
      <c r="F151" t="s" s="300">
        <v>708</v>
      </c>
      <c r="G151" t="s" s="352">
        <v>709</v>
      </c>
      <c r="H151" t="s" s="353">
        <v>171</v>
      </c>
      <c r="I151" s="305">
        <v>3</v>
      </c>
      <c r="J151" t="s" s="306">
        <v>715</v>
      </c>
      <c r="K151" t="s" s="306">
        <v>271</v>
      </c>
      <c r="L151" t="s" s="307">
        <v>716</v>
      </c>
      <c r="M151" s="284"/>
      <c r="N151" s="284"/>
      <c r="O151" s="310">
        <f>_xlfn.IFERROR(VLOOKUP($P151,'Suppl'!$B$2:$N$57,MATCH($B151,'Suppl'!$C$1:$N$1,0)+1,FALSE),"")</f>
        <v>0</v>
      </c>
      <c r="P151" t="s" s="306">
        <f>E151&amp;I151</f>
        <v>333</v>
      </c>
      <c r="Q151" s="286"/>
      <c r="R151" s="298"/>
      <c r="S151" s="298"/>
    </row>
    <row r="152" ht="15" customHeight="1">
      <c r="A152" t="s" s="276">
        <f>B152&amp;E152&amp;I152</f>
        <v>717</v>
      </c>
      <c r="B152" s="351">
        <f>B151</f>
        <v>4</v>
      </c>
      <c r="C152" t="s" s="300">
        <f>C151</f>
        <v>683</v>
      </c>
      <c r="D152" t="s" s="300">
        <v>671</v>
      </c>
      <c r="E152" s="301">
        <v>3</v>
      </c>
      <c r="F152" t="s" s="300">
        <v>708</v>
      </c>
      <c r="G152" t="s" s="352">
        <v>709</v>
      </c>
      <c r="H152" t="s" s="353">
        <v>171</v>
      </c>
      <c r="I152" s="305">
        <v>4</v>
      </c>
      <c r="J152" t="s" s="306">
        <v>718</v>
      </c>
      <c r="K152" t="s" s="306">
        <v>271</v>
      </c>
      <c r="L152" s="312"/>
      <c r="M152" s="284"/>
      <c r="N152" s="284"/>
      <c r="O152" s="310">
        <f>_xlfn.IFERROR(VLOOKUP($P152,'Suppl'!$B$2:$N$57,MATCH($B152,'Suppl'!$C$1:$N$1,0)+1,FALSE),"")</f>
        <v>0</v>
      </c>
      <c r="P152" t="s" s="306">
        <f>E152&amp;I152</f>
        <v>336</v>
      </c>
      <c r="Q152" s="286"/>
      <c r="R152" s="298"/>
      <c r="S152" s="298"/>
    </row>
    <row r="153" ht="15" customHeight="1">
      <c r="A153" t="s" s="276">
        <f>B153&amp;E153&amp;I153</f>
        <v>719</v>
      </c>
      <c r="B153" s="351">
        <f>B152</f>
        <v>4</v>
      </c>
      <c r="C153" t="s" s="300">
        <f>C152</f>
        <v>683</v>
      </c>
      <c r="D153" t="s" s="300">
        <v>671</v>
      </c>
      <c r="E153" s="301">
        <v>3</v>
      </c>
      <c r="F153" t="s" s="300">
        <v>708</v>
      </c>
      <c r="G153" t="s" s="352">
        <v>709</v>
      </c>
      <c r="H153" t="s" s="353">
        <v>171</v>
      </c>
      <c r="I153" s="305">
        <v>5</v>
      </c>
      <c r="J153" t="s" s="306">
        <v>720</v>
      </c>
      <c r="K153" t="s" s="306">
        <v>271</v>
      </c>
      <c r="L153" t="s" s="307">
        <v>721</v>
      </c>
      <c r="M153" s="284"/>
      <c r="N153" s="284"/>
      <c r="O153" s="310">
        <f>_xlfn.IFERROR(VLOOKUP($P153,'Suppl'!$B$2:$N$57,MATCH($B153,'Suppl'!$C$1:$N$1,0)+1,FALSE),"")</f>
        <v>0</v>
      </c>
      <c r="P153" t="s" s="306">
        <f>E153&amp;I153</f>
        <v>338</v>
      </c>
      <c r="Q153" s="286"/>
      <c r="R153" s="298"/>
      <c r="S153" s="298"/>
    </row>
    <row r="154" ht="15" customHeight="1">
      <c r="A154" t="s" s="276">
        <f>B154&amp;E154&amp;I154</f>
        <v>722</v>
      </c>
      <c r="B154" s="351">
        <f>B153</f>
        <v>4</v>
      </c>
      <c r="C154" t="s" s="300">
        <f>C153</f>
        <v>683</v>
      </c>
      <c r="D154" t="s" s="300">
        <v>671</v>
      </c>
      <c r="E154" s="301">
        <v>3</v>
      </c>
      <c r="F154" t="s" s="300">
        <v>708</v>
      </c>
      <c r="G154" t="s" s="352">
        <v>709</v>
      </c>
      <c r="H154" t="s" s="353">
        <v>171</v>
      </c>
      <c r="I154" s="305">
        <v>6</v>
      </c>
      <c r="J154" t="s" s="306">
        <v>723</v>
      </c>
      <c r="K154" t="s" s="306">
        <v>263</v>
      </c>
      <c r="L154" s="312"/>
      <c r="M154" s="284"/>
      <c r="N154" s="284"/>
      <c r="O154" s="310">
        <f>_xlfn.IFERROR(VLOOKUP($P154,'Suppl'!$B$2:$N$57,MATCH($B154,'Suppl'!$C$1:$N$1,0)+1,FALSE),"")</f>
        <v>0</v>
      </c>
      <c r="P154" t="s" s="306">
        <f>E154&amp;I154</f>
        <v>340</v>
      </c>
      <c r="Q154" s="286"/>
      <c r="R154" s="298"/>
      <c r="S154" s="298"/>
    </row>
    <row r="155" ht="15" customHeight="1">
      <c r="A155" t="s" s="276">
        <f>B155&amp;E155&amp;I155</f>
        <v>724</v>
      </c>
      <c r="B155" s="354">
        <f>B154</f>
        <v>4</v>
      </c>
      <c r="C155" t="s" s="315">
        <f>C154</f>
        <v>683</v>
      </c>
      <c r="D155" t="s" s="315">
        <v>671</v>
      </c>
      <c r="E155" s="316">
        <v>3</v>
      </c>
      <c r="F155" t="s" s="315">
        <v>708</v>
      </c>
      <c r="G155" t="s" s="355">
        <v>709</v>
      </c>
      <c r="H155" t="s" s="353">
        <v>171</v>
      </c>
      <c r="I155" s="319">
        <v>7</v>
      </c>
      <c r="J155" t="s" s="320">
        <v>725</v>
      </c>
      <c r="K155" t="s" s="320">
        <v>256</v>
      </c>
      <c r="L155" s="321"/>
      <c r="M155" s="330"/>
      <c r="N155" s="330"/>
      <c r="O155" s="324">
        <f>_xlfn.IFERROR(VLOOKUP($P155,'Suppl'!$B$2:$N$57,MATCH($B155,'Suppl'!$C$1:$N$1,0)+1,FALSE),"")</f>
        <v>0</v>
      </c>
      <c r="P155" t="s" s="320">
        <f>E155&amp;I155</f>
        <v>342</v>
      </c>
      <c r="Q155" s="286"/>
      <c r="R155" s="298"/>
      <c r="S155" s="298"/>
    </row>
    <row r="156" ht="15" customHeight="1">
      <c r="A156" t="s" s="276">
        <f>B156&amp;E156&amp;I156</f>
        <v>85</v>
      </c>
      <c r="B156" s="356">
        <f>B155</f>
        <v>4</v>
      </c>
      <c r="C156" t="s" s="326">
        <f>C155</f>
        <v>683</v>
      </c>
      <c r="D156" t="s" s="326">
        <v>671</v>
      </c>
      <c r="E156" s="289">
        <v>4</v>
      </c>
      <c r="F156" t="s" s="288">
        <v>726</v>
      </c>
      <c r="G156" t="s" s="357">
        <v>727</v>
      </c>
      <c r="H156" t="s" s="353">
        <v>171</v>
      </c>
      <c r="I156" s="292">
        <v>1</v>
      </c>
      <c r="J156" t="s" s="288">
        <v>728</v>
      </c>
      <c r="K156" t="s" s="288">
        <v>283</v>
      </c>
      <c r="L156" t="s" s="293">
        <v>729</v>
      </c>
      <c r="M156" s="328"/>
      <c r="N156" s="328"/>
      <c r="O156" s="296">
        <f>_xlfn.IFERROR(VLOOKUP($P156,'Suppl'!$B$2:$N$57,MATCH($B156,'Suppl'!$C$1:$N$1,0)+1,FALSE),"")</f>
        <v>0</v>
      </c>
      <c r="P156" t="s" s="288">
        <f>E156&amp;I156</f>
        <v>348</v>
      </c>
      <c r="Q156" s="286"/>
      <c r="R156" s="298"/>
      <c r="S156" s="298"/>
    </row>
    <row r="157" ht="15" customHeight="1">
      <c r="A157" t="s" s="276">
        <f>B157&amp;E157&amp;I157</f>
        <v>730</v>
      </c>
      <c r="B157" s="351">
        <f>B156</f>
        <v>4</v>
      </c>
      <c r="C157" t="s" s="300">
        <f>C156</f>
        <v>683</v>
      </c>
      <c r="D157" t="s" s="300">
        <v>671</v>
      </c>
      <c r="E157" s="301">
        <v>4</v>
      </c>
      <c r="F157" t="s" s="300">
        <v>726</v>
      </c>
      <c r="G157" t="s" s="352">
        <v>731</v>
      </c>
      <c r="H157" t="s" s="353">
        <v>171</v>
      </c>
      <c r="I157" s="305">
        <v>2</v>
      </c>
      <c r="J157" t="s" s="306">
        <v>732</v>
      </c>
      <c r="K157" t="s" s="306">
        <v>271</v>
      </c>
      <c r="L157" t="s" s="307">
        <v>733</v>
      </c>
      <c r="M157" s="284"/>
      <c r="N157" s="284"/>
      <c r="O157" s="310">
        <f>_xlfn.IFERROR(VLOOKUP($P157,'Suppl'!$B$2:$N$57,MATCH($B157,'Suppl'!$C$1:$N$1,0)+1,FALSE),"")</f>
        <v>0</v>
      </c>
      <c r="P157" t="s" s="306">
        <f>E157&amp;I157</f>
        <v>351</v>
      </c>
      <c r="Q157" s="286"/>
      <c r="R157" s="298"/>
      <c r="S157" s="298"/>
    </row>
    <row r="158" ht="15" customHeight="1">
      <c r="A158" t="s" s="276">
        <f>B158&amp;E158&amp;I158</f>
        <v>734</v>
      </c>
      <c r="B158" s="351">
        <f>B157</f>
        <v>4</v>
      </c>
      <c r="C158" t="s" s="300">
        <f>C157</f>
        <v>683</v>
      </c>
      <c r="D158" t="s" s="300">
        <v>671</v>
      </c>
      <c r="E158" s="301">
        <v>4</v>
      </c>
      <c r="F158" t="s" s="300">
        <v>726</v>
      </c>
      <c r="G158" t="s" s="352">
        <v>731</v>
      </c>
      <c r="H158" t="s" s="353">
        <v>171</v>
      </c>
      <c r="I158" s="305">
        <v>3</v>
      </c>
      <c r="J158" s="284"/>
      <c r="K158" s="284"/>
      <c r="L158" s="312"/>
      <c r="M158" s="284"/>
      <c r="N158" s="284"/>
      <c r="O158" s="310">
        <f>_xlfn.IFERROR(VLOOKUP($P158,'Suppl'!$B$2:$N$57,MATCH($B158,'Suppl'!$C$1:$N$1,0)+1,FALSE),"")</f>
        <v>0</v>
      </c>
      <c r="P158" t="s" s="306">
        <f>E158&amp;I158</f>
        <v>354</v>
      </c>
      <c r="Q158" s="286"/>
      <c r="R158" s="298"/>
      <c r="S158" s="298"/>
    </row>
    <row r="159" ht="15" customHeight="1">
      <c r="A159" t="s" s="276">
        <f>B159&amp;E159&amp;I159</f>
        <v>735</v>
      </c>
      <c r="B159" s="351">
        <f>B158</f>
        <v>4</v>
      </c>
      <c r="C159" t="s" s="300">
        <f>C158</f>
        <v>683</v>
      </c>
      <c r="D159" t="s" s="300">
        <v>671</v>
      </c>
      <c r="E159" s="301">
        <v>4</v>
      </c>
      <c r="F159" t="s" s="300">
        <v>726</v>
      </c>
      <c r="G159" t="s" s="352">
        <v>731</v>
      </c>
      <c r="H159" t="s" s="353">
        <v>171</v>
      </c>
      <c r="I159" s="305">
        <v>4</v>
      </c>
      <c r="J159" s="284"/>
      <c r="K159" s="284"/>
      <c r="L159" s="312"/>
      <c r="M159" s="284"/>
      <c r="N159" s="284"/>
      <c r="O159" s="310">
        <f>_xlfn.IFERROR(VLOOKUP($P159,'Suppl'!$B$2:$N$57,MATCH($B159,'Suppl'!$C$1:$N$1,0)+1,FALSE),"")</f>
        <v>0</v>
      </c>
      <c r="P159" t="s" s="306">
        <f>E159&amp;I159</f>
        <v>357</v>
      </c>
      <c r="Q159" s="286"/>
      <c r="R159" s="298"/>
      <c r="S159" s="298"/>
    </row>
    <row r="160" ht="15" customHeight="1">
      <c r="A160" t="s" s="276">
        <f>B160&amp;E160&amp;I160</f>
        <v>736</v>
      </c>
      <c r="B160" s="351">
        <f>B159</f>
        <v>4</v>
      </c>
      <c r="C160" t="s" s="300">
        <f>C159</f>
        <v>683</v>
      </c>
      <c r="D160" t="s" s="300">
        <v>671</v>
      </c>
      <c r="E160" s="301">
        <v>4</v>
      </c>
      <c r="F160" t="s" s="300">
        <v>726</v>
      </c>
      <c r="G160" t="s" s="352">
        <v>731</v>
      </c>
      <c r="H160" t="s" s="353">
        <v>171</v>
      </c>
      <c r="I160" s="305">
        <v>5</v>
      </c>
      <c r="J160" s="284"/>
      <c r="K160" s="284"/>
      <c r="L160" s="312"/>
      <c r="M160" s="284"/>
      <c r="N160" s="284"/>
      <c r="O160" s="310">
        <f>_xlfn.IFERROR(VLOOKUP($P160,'Suppl'!$B$2:$N$57,MATCH($B160,'Suppl'!$C$1:$N$1,0)+1,FALSE),"")</f>
        <v>0</v>
      </c>
      <c r="P160" t="s" s="306">
        <f>E160&amp;I160</f>
        <v>360</v>
      </c>
      <c r="Q160" s="286"/>
      <c r="R160" s="298"/>
      <c r="S160" s="298"/>
    </row>
    <row r="161" ht="15" customHeight="1">
      <c r="A161" t="s" s="276">
        <f>B161&amp;E161&amp;I161</f>
        <v>737</v>
      </c>
      <c r="B161" s="351">
        <f>B160</f>
        <v>4</v>
      </c>
      <c r="C161" t="s" s="300">
        <f>C160</f>
        <v>683</v>
      </c>
      <c r="D161" t="s" s="300">
        <v>671</v>
      </c>
      <c r="E161" s="301">
        <v>4</v>
      </c>
      <c r="F161" t="s" s="300">
        <v>726</v>
      </c>
      <c r="G161" t="s" s="352">
        <v>731</v>
      </c>
      <c r="H161" t="s" s="353">
        <v>171</v>
      </c>
      <c r="I161" s="305">
        <v>6</v>
      </c>
      <c r="J161" s="284"/>
      <c r="K161" s="284"/>
      <c r="L161" s="312"/>
      <c r="M161" s="284"/>
      <c r="N161" s="284"/>
      <c r="O161" s="382">
        <f>_xlfn.IFERROR(VLOOKUP($P161,'Suppl'!$B$2:$N$57,MATCH($B161,'Suppl'!$C$1:$N$1,0)+1,FALSE),"")</f>
        <v>0</v>
      </c>
      <c r="P161" t="s" s="383">
        <f>E161&amp;I161</f>
        <v>363</v>
      </c>
      <c r="Q161" s="298"/>
      <c r="R161" s="298"/>
      <c r="S161" s="298"/>
    </row>
    <row r="162" ht="15" customHeight="1">
      <c r="A162" t="s" s="276">
        <f>B162&amp;E162&amp;I162</f>
        <v>738</v>
      </c>
      <c r="B162" s="354">
        <f>B161</f>
        <v>4</v>
      </c>
      <c r="C162" t="s" s="315">
        <f>C161</f>
        <v>683</v>
      </c>
      <c r="D162" t="s" s="315">
        <v>671</v>
      </c>
      <c r="E162" s="316">
        <v>4</v>
      </c>
      <c r="F162" t="s" s="315">
        <v>726</v>
      </c>
      <c r="G162" t="s" s="355">
        <v>731</v>
      </c>
      <c r="H162" t="s" s="353">
        <v>171</v>
      </c>
      <c r="I162" s="319">
        <v>7</v>
      </c>
      <c r="J162" s="330"/>
      <c r="K162" s="330"/>
      <c r="L162" s="321"/>
      <c r="M162" s="330"/>
      <c r="N162" s="330"/>
      <c r="O162" s="324">
        <f>_xlfn.IFERROR(VLOOKUP($P162,'Suppl'!$B$2:$N$57,MATCH($B162,'Suppl'!$C$1:$N$1,0)+1,FALSE),"")</f>
        <v>0</v>
      </c>
      <c r="P162" t="s" s="320">
        <f>E162&amp;I162</f>
        <v>365</v>
      </c>
      <c r="Q162" s="286"/>
      <c r="R162" s="298"/>
      <c r="S162" s="298"/>
    </row>
    <row r="163" ht="15" customHeight="1">
      <c r="A163" t="s" s="276">
        <f>B163&amp;E163&amp;I163</f>
        <v>87</v>
      </c>
      <c r="B163" s="356">
        <f>B162</f>
        <v>4</v>
      </c>
      <c r="C163" t="s" s="326">
        <f>C162</f>
        <v>683</v>
      </c>
      <c r="D163" t="s" s="326">
        <v>671</v>
      </c>
      <c r="E163" s="289">
        <v>5</v>
      </c>
      <c r="F163" t="s" s="288">
        <v>739</v>
      </c>
      <c r="G163" t="s" s="357">
        <v>740</v>
      </c>
      <c r="H163" t="s" s="353">
        <v>741</v>
      </c>
      <c r="I163" s="292">
        <v>1</v>
      </c>
      <c r="J163" t="s" s="288">
        <v>742</v>
      </c>
      <c r="K163" t="s" s="288">
        <v>271</v>
      </c>
      <c r="L163" t="s" s="293">
        <v>743</v>
      </c>
      <c r="M163" s="328"/>
      <c r="N163" s="328"/>
      <c r="O163" s="296">
        <f>_xlfn.IFERROR(VLOOKUP($P163,'Suppl'!$B$2:$N$57,MATCH($B163,'Suppl'!$C$1:$N$1,0)+1,FALSE),"")</f>
        <v>0</v>
      </c>
      <c r="P163" t="s" s="288">
        <f>E163&amp;I163</f>
        <v>370</v>
      </c>
      <c r="Q163" s="286"/>
      <c r="R163" s="298"/>
      <c r="S163" s="298"/>
    </row>
    <row r="164" ht="15" customHeight="1">
      <c r="A164" t="s" s="276">
        <f>B164&amp;E164&amp;I164</f>
        <v>744</v>
      </c>
      <c r="B164" s="351">
        <f>B163</f>
        <v>4</v>
      </c>
      <c r="C164" t="s" s="300">
        <f>C163</f>
        <v>683</v>
      </c>
      <c r="D164" t="s" s="300">
        <v>671</v>
      </c>
      <c r="E164" s="301">
        <v>5</v>
      </c>
      <c r="F164" t="s" s="300">
        <v>739</v>
      </c>
      <c r="G164" t="s" s="352">
        <v>740</v>
      </c>
      <c r="H164" t="s" s="353">
        <v>171</v>
      </c>
      <c r="I164" s="305">
        <v>2</v>
      </c>
      <c r="J164" t="s" s="306">
        <v>745</v>
      </c>
      <c r="K164" t="s" s="306">
        <v>263</v>
      </c>
      <c r="L164" t="s" s="307">
        <v>746</v>
      </c>
      <c r="M164" s="284"/>
      <c r="N164" s="284"/>
      <c r="O164" s="310">
        <f>_xlfn.IFERROR(VLOOKUP($P164,'Suppl'!$B$2:$N$57,MATCH($B164,'Suppl'!$C$1:$N$1,0)+1,FALSE),"")</f>
        <v>0</v>
      </c>
      <c r="P164" t="s" s="306">
        <f>E164&amp;I164</f>
        <v>374</v>
      </c>
      <c r="Q164" s="286"/>
      <c r="R164" s="298"/>
      <c r="S164" s="298"/>
    </row>
    <row r="165" ht="15" customHeight="1">
      <c r="A165" t="s" s="276">
        <f>B165&amp;E165&amp;I165</f>
        <v>747</v>
      </c>
      <c r="B165" s="351">
        <f>B164</f>
        <v>4</v>
      </c>
      <c r="C165" t="s" s="300">
        <f>C164</f>
        <v>683</v>
      </c>
      <c r="D165" t="s" s="300">
        <v>671</v>
      </c>
      <c r="E165" s="301">
        <v>5</v>
      </c>
      <c r="F165" t="s" s="300">
        <v>739</v>
      </c>
      <c r="G165" t="s" s="352">
        <v>740</v>
      </c>
      <c r="H165" t="s" s="353">
        <v>171</v>
      </c>
      <c r="I165" s="305">
        <v>3</v>
      </c>
      <c r="J165" t="s" s="306">
        <v>748</v>
      </c>
      <c r="K165" t="s" s="306">
        <v>291</v>
      </c>
      <c r="L165" t="s" s="307">
        <v>749</v>
      </c>
      <c r="M165" s="284"/>
      <c r="N165" s="284"/>
      <c r="O165" s="310">
        <f>_xlfn.IFERROR(VLOOKUP($P165,'Suppl'!$B$2:$N$57,MATCH($B165,'Suppl'!$C$1:$N$1,0)+1,FALSE),"")</f>
        <v>0</v>
      </c>
      <c r="P165" t="s" s="306">
        <f>E165&amp;I165</f>
        <v>377</v>
      </c>
      <c r="Q165" s="286"/>
      <c r="R165" s="298"/>
      <c r="S165" s="298"/>
    </row>
    <row r="166" ht="15" customHeight="1">
      <c r="A166" t="s" s="276">
        <f>B166&amp;E166&amp;I166</f>
        <v>750</v>
      </c>
      <c r="B166" s="351">
        <f>B165</f>
        <v>4</v>
      </c>
      <c r="C166" t="s" s="300">
        <f>C165</f>
        <v>683</v>
      </c>
      <c r="D166" t="s" s="300">
        <v>671</v>
      </c>
      <c r="E166" s="301">
        <v>5</v>
      </c>
      <c r="F166" t="s" s="300">
        <v>739</v>
      </c>
      <c r="G166" t="s" s="352">
        <v>740</v>
      </c>
      <c r="H166" t="s" s="353">
        <v>171</v>
      </c>
      <c r="I166" s="305">
        <v>4</v>
      </c>
      <c r="J166" s="284"/>
      <c r="K166" t="s" s="306">
        <v>171</v>
      </c>
      <c r="L166" s="312"/>
      <c r="M166" s="284"/>
      <c r="N166" s="284"/>
      <c r="O166" s="382">
        <f>_xlfn.IFERROR(VLOOKUP($P166,'Suppl'!$B$2:$N$57,MATCH($B166,'Suppl'!$C$1:$N$1,0)+1,FALSE),"")</f>
        <v>0</v>
      </c>
      <c r="P166" t="s" s="383">
        <f>E166&amp;I166</f>
        <v>380</v>
      </c>
      <c r="Q166" s="298"/>
      <c r="R166" s="298"/>
      <c r="S166" s="298"/>
    </row>
    <row r="167" ht="15" customHeight="1">
      <c r="A167" t="s" s="276">
        <f>B167&amp;E167&amp;I167</f>
        <v>751</v>
      </c>
      <c r="B167" s="351">
        <f>B166</f>
        <v>4</v>
      </c>
      <c r="C167" t="s" s="300">
        <f>C166</f>
        <v>683</v>
      </c>
      <c r="D167" t="s" s="300">
        <v>671</v>
      </c>
      <c r="E167" s="301">
        <v>5</v>
      </c>
      <c r="F167" t="s" s="300">
        <v>739</v>
      </c>
      <c r="G167" t="s" s="352">
        <v>740</v>
      </c>
      <c r="H167" t="s" s="353">
        <v>171</v>
      </c>
      <c r="I167" s="305">
        <v>5</v>
      </c>
      <c r="J167" s="284"/>
      <c r="K167" t="s" s="306">
        <v>171</v>
      </c>
      <c r="L167" s="312"/>
      <c r="M167" s="284"/>
      <c r="N167" s="284"/>
      <c r="O167" s="382">
        <f>_xlfn.IFERROR(VLOOKUP($P167,'Suppl'!$B$2:$N$57,MATCH($B167,'Suppl'!$C$1:$N$1,0)+1,FALSE),"")</f>
        <v>0</v>
      </c>
      <c r="P167" t="s" s="383">
        <f>E167&amp;I167</f>
        <v>383</v>
      </c>
      <c r="Q167" s="298"/>
      <c r="R167" s="298"/>
      <c r="S167" s="298"/>
    </row>
    <row r="168" ht="15" customHeight="1">
      <c r="A168" t="s" s="276">
        <f>B168&amp;E168&amp;I168</f>
        <v>752</v>
      </c>
      <c r="B168" s="351">
        <f>B167</f>
        <v>4</v>
      </c>
      <c r="C168" t="s" s="300">
        <f>C167</f>
        <v>683</v>
      </c>
      <c r="D168" t="s" s="300">
        <v>671</v>
      </c>
      <c r="E168" s="301">
        <v>5</v>
      </c>
      <c r="F168" t="s" s="300">
        <v>739</v>
      </c>
      <c r="G168" t="s" s="352">
        <v>740</v>
      </c>
      <c r="H168" t="s" s="353">
        <v>171</v>
      </c>
      <c r="I168" s="305">
        <v>6</v>
      </c>
      <c r="J168" s="284"/>
      <c r="K168" t="s" s="306">
        <v>171</v>
      </c>
      <c r="L168" s="312"/>
      <c r="M168" s="284"/>
      <c r="N168" s="284"/>
      <c r="O168" s="382">
        <f>_xlfn.IFERROR(VLOOKUP($P168,'Suppl'!$B$2:$N$57,MATCH($B168,'Suppl'!$C$1:$N$1,0)+1,FALSE),"")</f>
        <v>0</v>
      </c>
      <c r="P168" t="s" s="383">
        <f>E168&amp;I168</f>
        <v>385</v>
      </c>
      <c r="Q168" s="298"/>
      <c r="R168" s="298"/>
      <c r="S168" s="298"/>
    </row>
    <row r="169" ht="15" customHeight="1">
      <c r="A169" t="s" s="276">
        <f>B169&amp;E169&amp;I169</f>
        <v>753</v>
      </c>
      <c r="B169" s="384">
        <f>B168</f>
        <v>4</v>
      </c>
      <c r="C169" t="s" s="332">
        <f>C168</f>
        <v>683</v>
      </c>
      <c r="D169" t="s" s="332">
        <v>671</v>
      </c>
      <c r="E169" s="333">
        <v>5</v>
      </c>
      <c r="F169" t="s" s="332">
        <v>739</v>
      </c>
      <c r="G169" t="s" s="361">
        <v>740</v>
      </c>
      <c r="H169" t="s" s="385">
        <v>171</v>
      </c>
      <c r="I169" s="337">
        <v>7</v>
      </c>
      <c r="J169" s="338"/>
      <c r="K169" t="s" s="341">
        <v>171</v>
      </c>
      <c r="L169" s="339"/>
      <c r="M169" s="338"/>
      <c r="N169" s="338"/>
      <c r="O169" s="340">
        <f>_xlfn.IFERROR(VLOOKUP($P169,'Suppl'!$B$2:$N$57,MATCH($B169,'Suppl'!$C$1:$N$1,0)+1,FALSE),"")</f>
        <v>0</v>
      </c>
      <c r="P169" t="s" s="341">
        <f>E169&amp;I169</f>
        <v>387</v>
      </c>
      <c r="Q169" s="286"/>
      <c r="R169" s="298"/>
      <c r="S169" s="298"/>
    </row>
    <row r="170" ht="15" customHeight="1">
      <c r="A170" t="s" s="276">
        <f>B170&amp;E170&amp;I170</f>
        <v>90</v>
      </c>
      <c r="B170" s="386">
        <v>5</v>
      </c>
      <c r="C170" t="s" s="343">
        <v>228</v>
      </c>
      <c r="D170" t="s" s="343">
        <v>754</v>
      </c>
      <c r="E170" s="344">
        <v>1</v>
      </c>
      <c r="F170" t="s" s="343">
        <v>755</v>
      </c>
      <c r="G170" t="s" s="387">
        <v>756</v>
      </c>
      <c r="H170" t="s" s="388">
        <v>757</v>
      </c>
      <c r="I170" s="342">
        <v>1</v>
      </c>
      <c r="J170" t="s" s="343">
        <v>758</v>
      </c>
      <c r="K170" t="s" s="343">
        <v>283</v>
      </c>
      <c r="L170" s="389"/>
      <c r="M170" t="s" s="348">
        <v>759</v>
      </c>
      <c r="N170" t="s" s="349">
        <v>760</v>
      </c>
      <c r="O170" s="350">
        <f>_xlfn.IFERROR(VLOOKUP($P170,'Suppl'!$B$2:$N$57,MATCH($B170,'Suppl'!$C$1:$N$1,0)+1,FALSE),"")</f>
        <v>0</v>
      </c>
      <c r="P170" t="s" s="343">
        <f>E170&amp;I170</f>
        <v>260</v>
      </c>
      <c r="Q170" s="286"/>
      <c r="R170" s="298"/>
      <c r="S170" s="298"/>
    </row>
    <row r="171" ht="15" customHeight="1">
      <c r="A171" t="s" s="276">
        <f>B171&amp;E171&amp;I171</f>
        <v>761</v>
      </c>
      <c r="B171" s="299">
        <f>B170</f>
        <v>5</v>
      </c>
      <c r="C171" t="s" s="300">
        <f>C170</f>
        <v>228</v>
      </c>
      <c r="D171" t="s" s="300">
        <v>754</v>
      </c>
      <c r="E171" s="301">
        <v>1</v>
      </c>
      <c r="F171" t="s" s="300">
        <v>755</v>
      </c>
      <c r="G171" t="s" s="352">
        <v>756</v>
      </c>
      <c r="H171" t="s" s="353">
        <v>171</v>
      </c>
      <c r="I171" s="305">
        <v>2</v>
      </c>
      <c r="J171" t="s" s="306">
        <v>762</v>
      </c>
      <c r="K171" t="s" s="306">
        <v>263</v>
      </c>
      <c r="L171" t="s" s="307">
        <v>763</v>
      </c>
      <c r="M171" t="s" s="308">
        <v>764</v>
      </c>
      <c r="N171" t="s" s="309">
        <v>765</v>
      </c>
      <c r="O171" s="310">
        <f>_xlfn.IFERROR(VLOOKUP($P171,'Suppl'!$B$2:$N$57,MATCH($B171,'Suppl'!$C$1:$N$1,0)+1,FALSE),"")</f>
        <v>0</v>
      </c>
      <c r="P171" t="s" s="306">
        <f>E171&amp;I171</f>
        <v>267</v>
      </c>
      <c r="Q171" s="286"/>
      <c r="R171" s="298"/>
      <c r="S171" s="298"/>
    </row>
    <row r="172" ht="15" customHeight="1">
      <c r="A172" t="s" s="276">
        <f>B172&amp;E172&amp;I172</f>
        <v>766</v>
      </c>
      <c r="B172" s="299">
        <f>B171</f>
        <v>5</v>
      </c>
      <c r="C172" t="s" s="300">
        <f>C171</f>
        <v>767</v>
      </c>
      <c r="D172" t="s" s="300">
        <v>754</v>
      </c>
      <c r="E172" s="301">
        <v>1</v>
      </c>
      <c r="F172" t="s" s="300">
        <v>755</v>
      </c>
      <c r="G172" t="s" s="352">
        <v>756</v>
      </c>
      <c r="H172" t="s" s="353">
        <v>171</v>
      </c>
      <c r="I172" s="305">
        <v>3</v>
      </c>
      <c r="J172" t="s" s="306">
        <v>768</v>
      </c>
      <c r="K172" t="s" s="306">
        <v>291</v>
      </c>
      <c r="L172" t="s" s="307">
        <v>769</v>
      </c>
      <c r="M172" t="s" s="308">
        <v>770</v>
      </c>
      <c r="N172" t="s" s="309">
        <v>771</v>
      </c>
      <c r="O172" s="310">
        <f>_xlfn.IFERROR(VLOOKUP($P172,'Suppl'!$B$2:$N$57,MATCH($B172,'Suppl'!$C$1:$N$1,0)+1,FALSE),"")</f>
        <v>0</v>
      </c>
      <c r="P172" t="s" s="306">
        <f>E172&amp;I172</f>
        <v>275</v>
      </c>
      <c r="Q172" s="286"/>
      <c r="R172" s="298"/>
      <c r="S172" s="298"/>
    </row>
    <row r="173" ht="15" customHeight="1">
      <c r="A173" t="s" s="276">
        <f>B173&amp;E173&amp;I173</f>
        <v>772</v>
      </c>
      <c r="B173" s="299">
        <f>B172</f>
        <v>5</v>
      </c>
      <c r="C173" t="s" s="300">
        <f>C172</f>
        <v>767</v>
      </c>
      <c r="D173" t="s" s="300">
        <v>754</v>
      </c>
      <c r="E173" s="301">
        <v>1</v>
      </c>
      <c r="F173" t="s" s="300">
        <v>755</v>
      </c>
      <c r="G173" t="s" s="352">
        <v>756</v>
      </c>
      <c r="H173" t="s" s="353">
        <v>171</v>
      </c>
      <c r="I173" s="305">
        <v>4</v>
      </c>
      <c r="J173" t="s" s="306">
        <v>773</v>
      </c>
      <c r="K173" t="s" s="306">
        <v>291</v>
      </c>
      <c r="L173" s="312"/>
      <c r="M173" t="s" s="308">
        <v>774</v>
      </c>
      <c r="N173" t="s" s="309">
        <v>775</v>
      </c>
      <c r="O173" s="310">
        <f>_xlfn.IFERROR(VLOOKUP($P173,'Suppl'!$B$2:$N$57,MATCH($B173,'Suppl'!$C$1:$N$1,0)+1,FALSE),"")</f>
        <v>0</v>
      </c>
      <c r="P173" t="s" s="306">
        <f>E173&amp;I173</f>
        <v>280</v>
      </c>
      <c r="Q173" s="286"/>
      <c r="R173" s="298"/>
      <c r="S173" s="298"/>
    </row>
    <row r="174" ht="15" customHeight="1">
      <c r="A174" t="s" s="276">
        <f>B174&amp;E174&amp;I174</f>
        <v>776</v>
      </c>
      <c r="B174" s="299">
        <f>B173</f>
        <v>5</v>
      </c>
      <c r="C174" t="s" s="300">
        <f>C173</f>
        <v>767</v>
      </c>
      <c r="D174" t="s" s="300">
        <v>754</v>
      </c>
      <c r="E174" s="301">
        <v>1</v>
      </c>
      <c r="F174" t="s" s="300">
        <v>755</v>
      </c>
      <c r="G174" t="s" s="352">
        <v>756</v>
      </c>
      <c r="H174" t="s" s="353">
        <v>171</v>
      </c>
      <c r="I174" s="305">
        <v>5</v>
      </c>
      <c r="J174" t="s" s="306">
        <v>777</v>
      </c>
      <c r="K174" t="s" s="306">
        <v>256</v>
      </c>
      <c r="L174" t="s" s="307">
        <v>778</v>
      </c>
      <c r="M174" t="s" s="308">
        <v>779</v>
      </c>
      <c r="N174" t="s" s="309">
        <v>780</v>
      </c>
      <c r="O174" s="310">
        <f>_xlfn.IFERROR(VLOOKUP($P174,'Suppl'!$B$2:$N$57,MATCH($B174,'Suppl'!$C$1:$N$1,0)+1,FALSE),"")</f>
        <v>0</v>
      </c>
      <c r="P174" t="s" s="306">
        <f>E174&amp;I174</f>
        <v>284</v>
      </c>
      <c r="Q174" s="286"/>
      <c r="R174" s="298"/>
      <c r="S174" s="298"/>
    </row>
    <row r="175" ht="15" customHeight="1">
      <c r="A175" t="s" s="276">
        <f>B175&amp;E175&amp;I175</f>
        <v>781</v>
      </c>
      <c r="B175" s="299">
        <f>B174</f>
        <v>5</v>
      </c>
      <c r="C175" t="s" s="300">
        <f>C174</f>
        <v>767</v>
      </c>
      <c r="D175" t="s" s="300">
        <v>754</v>
      </c>
      <c r="E175" s="301">
        <v>1</v>
      </c>
      <c r="F175" t="s" s="300">
        <v>755</v>
      </c>
      <c r="G175" t="s" s="352">
        <v>756</v>
      </c>
      <c r="H175" t="s" s="353">
        <v>171</v>
      </c>
      <c r="I175" s="305">
        <v>6</v>
      </c>
      <c r="J175" s="284"/>
      <c r="K175" t="s" s="306">
        <v>171</v>
      </c>
      <c r="L175" s="312"/>
      <c r="M175" s="311"/>
      <c r="N175" s="313"/>
      <c r="O175" s="310">
        <f>_xlfn.IFERROR(VLOOKUP($P175,'Suppl'!$B$2:$N$57,MATCH($B175,'Suppl'!$C$1:$N$1,0)+1,FALSE),"")</f>
        <v>0</v>
      </c>
      <c r="P175" t="s" s="306">
        <f>E175&amp;I175</f>
        <v>288</v>
      </c>
      <c r="Q175" s="286"/>
      <c r="R175" s="298"/>
      <c r="S175" s="298"/>
    </row>
    <row r="176" ht="15" customHeight="1">
      <c r="A176" t="s" s="276">
        <f>B176&amp;E176&amp;I176</f>
        <v>782</v>
      </c>
      <c r="B176" s="314">
        <f>B175</f>
        <v>5</v>
      </c>
      <c r="C176" t="s" s="315">
        <f>C175</f>
        <v>767</v>
      </c>
      <c r="D176" t="s" s="315">
        <v>754</v>
      </c>
      <c r="E176" s="316">
        <v>1</v>
      </c>
      <c r="F176" t="s" s="315">
        <v>755</v>
      </c>
      <c r="G176" t="s" s="355">
        <v>756</v>
      </c>
      <c r="H176" t="s" s="353">
        <v>171</v>
      </c>
      <c r="I176" s="319">
        <v>7</v>
      </c>
      <c r="J176" s="330"/>
      <c r="K176" t="s" s="320">
        <v>171</v>
      </c>
      <c r="L176" s="321"/>
      <c r="M176" s="322"/>
      <c r="N176" s="323"/>
      <c r="O176" s="324">
        <f>_xlfn.IFERROR(VLOOKUP($P176,'Suppl'!$B$2:$N$57,MATCH($B176,'Suppl'!$C$1:$N$1,0)+1,FALSE),"")</f>
        <v>0</v>
      </c>
      <c r="P176" t="s" s="320">
        <f>E176&amp;I176</f>
        <v>292</v>
      </c>
      <c r="Q176" s="286"/>
      <c r="R176" s="298"/>
      <c r="S176" s="298"/>
    </row>
    <row r="177" ht="15" customHeight="1">
      <c r="A177" t="s" s="276">
        <f>B177&amp;E177&amp;I177</f>
        <v>93</v>
      </c>
      <c r="B177" s="325">
        <f>B176</f>
        <v>5</v>
      </c>
      <c r="C177" t="s" s="326">
        <f>C176</f>
        <v>767</v>
      </c>
      <c r="D177" t="s" s="326">
        <v>754</v>
      </c>
      <c r="E177" s="289">
        <v>2</v>
      </c>
      <c r="F177" t="s" s="288">
        <v>783</v>
      </c>
      <c r="G177" t="s" s="390">
        <v>784</v>
      </c>
      <c r="H177" t="s" s="391">
        <v>171</v>
      </c>
      <c r="I177" s="292">
        <v>1</v>
      </c>
      <c r="J177" t="s" s="288">
        <v>785</v>
      </c>
      <c r="K177" t="s" s="288">
        <v>283</v>
      </c>
      <c r="L177" t="s" s="293">
        <v>786</v>
      </c>
      <c r="M177" s="328"/>
      <c r="N177" s="328"/>
      <c r="O177" s="296">
        <f>_xlfn.IFERROR(VLOOKUP($P177,'Suppl'!$B$2:$N$57,MATCH($B177,'Suppl'!$C$1:$N$1,0)+1,FALSE),"")</f>
        <v>0</v>
      </c>
      <c r="P177" t="s" s="288">
        <f>E177&amp;I177</f>
        <v>297</v>
      </c>
      <c r="Q177" s="286"/>
      <c r="R177" s="298"/>
      <c r="S177" s="298"/>
    </row>
    <row r="178" ht="15" customHeight="1">
      <c r="A178" t="s" s="276">
        <f>B178&amp;E178&amp;I178</f>
        <v>787</v>
      </c>
      <c r="B178" s="299">
        <f>B177</f>
        <v>5</v>
      </c>
      <c r="C178" t="s" s="300">
        <f>C177</f>
        <v>767</v>
      </c>
      <c r="D178" t="s" s="300">
        <v>754</v>
      </c>
      <c r="E178" s="301">
        <v>2</v>
      </c>
      <c r="F178" t="s" s="300">
        <v>783</v>
      </c>
      <c r="G178" t="s" s="352">
        <v>784</v>
      </c>
      <c r="H178" t="s" s="353">
        <v>171</v>
      </c>
      <c r="I178" s="305">
        <v>2</v>
      </c>
      <c r="J178" t="s" s="306">
        <v>788</v>
      </c>
      <c r="K178" t="s" s="306">
        <v>263</v>
      </c>
      <c r="L178" t="s" s="307">
        <v>789</v>
      </c>
      <c r="M178" s="284"/>
      <c r="N178" s="284"/>
      <c r="O178" s="310">
        <f>_xlfn.IFERROR(VLOOKUP($P178,'Suppl'!$B$2:$N$57,MATCH($B178,'Suppl'!$C$1:$N$1,0)+1,FALSE),"")</f>
        <v>0</v>
      </c>
      <c r="P178" t="s" s="306">
        <f>E178&amp;I178</f>
        <v>300</v>
      </c>
      <c r="Q178" s="286"/>
      <c r="R178" s="298"/>
      <c r="S178" s="298"/>
    </row>
    <row r="179" ht="15" customHeight="1">
      <c r="A179" t="s" s="276">
        <f>B179&amp;E179&amp;I179</f>
        <v>790</v>
      </c>
      <c r="B179" s="299">
        <f>B178</f>
        <v>5</v>
      </c>
      <c r="C179" t="s" s="300">
        <f>C178</f>
        <v>767</v>
      </c>
      <c r="D179" t="s" s="300">
        <v>754</v>
      </c>
      <c r="E179" s="301">
        <v>2</v>
      </c>
      <c r="F179" t="s" s="300">
        <v>783</v>
      </c>
      <c r="G179" t="s" s="352">
        <v>784</v>
      </c>
      <c r="H179" t="s" s="353">
        <v>171</v>
      </c>
      <c r="I179" s="305">
        <v>3</v>
      </c>
      <c r="J179" t="s" s="306">
        <v>791</v>
      </c>
      <c r="K179" t="s" s="306">
        <v>271</v>
      </c>
      <c r="L179" t="s" s="307">
        <v>792</v>
      </c>
      <c r="M179" s="284"/>
      <c r="N179" s="284"/>
      <c r="O179" s="310">
        <f>_xlfn.IFERROR(VLOOKUP($P179,'Suppl'!$B$2:$N$57,MATCH($B179,'Suppl'!$C$1:$N$1,0)+1,FALSE),"")</f>
        <v>0</v>
      </c>
      <c r="P179" t="s" s="306">
        <f>E179&amp;I179</f>
        <v>303</v>
      </c>
      <c r="Q179" s="286"/>
      <c r="R179" s="298"/>
      <c r="S179" s="298"/>
    </row>
    <row r="180" ht="15" customHeight="1">
      <c r="A180" t="s" s="276">
        <f>B180&amp;E180&amp;I180</f>
        <v>793</v>
      </c>
      <c r="B180" s="299">
        <f>B179</f>
        <v>5</v>
      </c>
      <c r="C180" t="s" s="300">
        <f>C179</f>
        <v>767</v>
      </c>
      <c r="D180" t="s" s="300">
        <v>754</v>
      </c>
      <c r="E180" s="301">
        <v>2</v>
      </c>
      <c r="F180" t="s" s="300">
        <v>783</v>
      </c>
      <c r="G180" t="s" s="352">
        <v>784</v>
      </c>
      <c r="H180" t="s" s="353">
        <v>171</v>
      </c>
      <c r="I180" s="305">
        <v>4</v>
      </c>
      <c r="J180" t="s" s="306">
        <v>794</v>
      </c>
      <c r="K180" t="s" s="306">
        <v>271</v>
      </c>
      <c r="L180" t="s" s="307">
        <v>795</v>
      </c>
      <c r="M180" s="284"/>
      <c r="N180" s="284"/>
      <c r="O180" s="310">
        <f>_xlfn.IFERROR(VLOOKUP($P180,'Suppl'!$B$2:$N$57,MATCH($B180,'Suppl'!$C$1:$N$1,0)+1,FALSE),"")</f>
        <v>0</v>
      </c>
      <c r="P180" t="s" s="306">
        <f>E180&amp;I180</f>
        <v>307</v>
      </c>
      <c r="Q180" s="286"/>
      <c r="R180" s="298"/>
      <c r="S180" s="298"/>
    </row>
    <row r="181" ht="15" customHeight="1">
      <c r="A181" t="s" s="276">
        <f>B181&amp;E181&amp;I181</f>
        <v>796</v>
      </c>
      <c r="B181" s="299">
        <f>B180</f>
        <v>5</v>
      </c>
      <c r="C181" t="s" s="300">
        <f>C180</f>
        <v>767</v>
      </c>
      <c r="D181" t="s" s="300">
        <v>754</v>
      </c>
      <c r="E181" s="301">
        <v>2</v>
      </c>
      <c r="F181" t="s" s="300">
        <v>783</v>
      </c>
      <c r="G181" t="s" s="352">
        <v>784</v>
      </c>
      <c r="H181" t="s" s="353">
        <v>171</v>
      </c>
      <c r="I181" s="305">
        <v>5</v>
      </c>
      <c r="J181" t="s" s="306">
        <v>797</v>
      </c>
      <c r="K181" t="s" s="306">
        <v>263</v>
      </c>
      <c r="L181" t="s" s="307">
        <v>798</v>
      </c>
      <c r="M181" s="284"/>
      <c r="N181" s="284"/>
      <c r="O181" s="310">
        <f>_xlfn.IFERROR(VLOOKUP($P181,'Suppl'!$B$2:$N$57,MATCH($B181,'Suppl'!$C$1:$N$1,0)+1,FALSE),"")</f>
        <v>0</v>
      </c>
      <c r="P181" t="s" s="306">
        <f>E181&amp;I181</f>
        <v>311</v>
      </c>
      <c r="Q181" s="286"/>
      <c r="R181" s="298"/>
      <c r="S181" s="298"/>
    </row>
    <row r="182" ht="15" customHeight="1">
      <c r="A182" t="s" s="276">
        <f>B182&amp;E182&amp;I182</f>
        <v>799</v>
      </c>
      <c r="B182" s="299">
        <f>B181</f>
        <v>5</v>
      </c>
      <c r="C182" t="s" s="300">
        <f>C181</f>
        <v>767</v>
      </c>
      <c r="D182" t="s" s="300">
        <v>754</v>
      </c>
      <c r="E182" s="301">
        <v>2</v>
      </c>
      <c r="F182" t="s" s="300">
        <v>783</v>
      </c>
      <c r="G182" t="s" s="352">
        <v>784</v>
      </c>
      <c r="H182" t="s" s="353">
        <v>171</v>
      </c>
      <c r="I182" s="305">
        <v>6</v>
      </c>
      <c r="J182" t="s" s="306">
        <v>800</v>
      </c>
      <c r="K182" t="s" s="306">
        <v>291</v>
      </c>
      <c r="L182" t="s" s="307">
        <v>801</v>
      </c>
      <c r="M182" s="284"/>
      <c r="N182" s="284"/>
      <c r="O182" s="310">
        <f>_xlfn.IFERROR(VLOOKUP($P182,'Suppl'!$B$2:$N$57,MATCH($B182,'Suppl'!$C$1:$N$1,0)+1,FALSE),"")</f>
        <v>0</v>
      </c>
      <c r="P182" t="s" s="306">
        <f>E182&amp;I182</f>
        <v>315</v>
      </c>
      <c r="Q182" s="286"/>
      <c r="R182" s="298"/>
      <c r="S182" s="298"/>
    </row>
    <row r="183" ht="15" customHeight="1">
      <c r="A183" t="s" s="276">
        <f>B183&amp;E183&amp;I183</f>
        <v>802</v>
      </c>
      <c r="B183" s="314">
        <f>B182</f>
        <v>5</v>
      </c>
      <c r="C183" t="s" s="315">
        <f>C182</f>
        <v>767</v>
      </c>
      <c r="D183" t="s" s="315">
        <v>754</v>
      </c>
      <c r="E183" s="316">
        <v>2</v>
      </c>
      <c r="F183" t="s" s="315">
        <v>783</v>
      </c>
      <c r="G183" t="s" s="355">
        <v>784</v>
      </c>
      <c r="H183" t="s" s="353">
        <v>171</v>
      </c>
      <c r="I183" s="319">
        <v>7</v>
      </c>
      <c r="J183" t="s" s="320">
        <v>803</v>
      </c>
      <c r="K183" t="s" s="320">
        <v>256</v>
      </c>
      <c r="L183" s="321"/>
      <c r="M183" s="330"/>
      <c r="N183" s="330"/>
      <c r="O183" s="324">
        <f>_xlfn.IFERROR(VLOOKUP($P183,'Suppl'!$B$2:$N$57,MATCH($B183,'Suppl'!$C$1:$N$1,0)+1,FALSE),"")</f>
        <v>0</v>
      </c>
      <c r="P183" t="s" s="320">
        <f>E183&amp;I183</f>
        <v>319</v>
      </c>
      <c r="Q183" s="286"/>
      <c r="R183" s="298"/>
      <c r="S183" s="298"/>
    </row>
    <row r="184" ht="15" customHeight="1">
      <c r="A184" t="s" s="276">
        <f>B184&amp;E184&amp;I184</f>
        <v>96</v>
      </c>
      <c r="B184" s="325">
        <f>B183</f>
        <v>5</v>
      </c>
      <c r="C184" t="s" s="326">
        <f>C183</f>
        <v>767</v>
      </c>
      <c r="D184" t="s" s="326">
        <v>754</v>
      </c>
      <c r="E184" s="289">
        <v>3</v>
      </c>
      <c r="F184" t="s" s="288">
        <v>804</v>
      </c>
      <c r="G184" t="s" s="390">
        <v>805</v>
      </c>
      <c r="H184" t="s" s="391">
        <v>171</v>
      </c>
      <c r="I184" s="292">
        <v>1</v>
      </c>
      <c r="J184" t="s" s="288">
        <v>806</v>
      </c>
      <c r="K184" t="s" s="288">
        <v>263</v>
      </c>
      <c r="L184" t="s" s="293">
        <v>807</v>
      </c>
      <c r="M184" s="328"/>
      <c r="N184" s="328"/>
      <c r="O184" s="296">
        <f>_xlfn.IFERROR(VLOOKUP($P184,'Suppl'!$B$2:$N$57,MATCH($B184,'Suppl'!$C$1:$N$1,0)+1,FALSE),"")</f>
        <v>0</v>
      </c>
      <c r="P184" t="s" s="288">
        <f>E184&amp;I184</f>
        <v>325</v>
      </c>
      <c r="Q184" s="286"/>
      <c r="R184" s="298"/>
      <c r="S184" s="298"/>
    </row>
    <row r="185" ht="15" customHeight="1">
      <c r="A185" t="s" s="276">
        <f>B185&amp;E185&amp;I185</f>
        <v>808</v>
      </c>
      <c r="B185" s="299">
        <f>B184</f>
        <v>5</v>
      </c>
      <c r="C185" t="s" s="300">
        <f>C184</f>
        <v>767</v>
      </c>
      <c r="D185" t="s" s="300">
        <v>754</v>
      </c>
      <c r="E185" s="301">
        <v>3</v>
      </c>
      <c r="F185" t="s" s="300">
        <v>804</v>
      </c>
      <c r="G185" t="s" s="352">
        <v>805</v>
      </c>
      <c r="H185" t="s" s="353">
        <v>171</v>
      </c>
      <c r="I185" s="305">
        <v>2</v>
      </c>
      <c r="J185" t="s" s="306">
        <v>809</v>
      </c>
      <c r="K185" t="s" s="306">
        <v>271</v>
      </c>
      <c r="L185" t="s" s="307">
        <v>810</v>
      </c>
      <c r="M185" s="284"/>
      <c r="N185" s="284"/>
      <c r="O185" s="310">
        <f>_xlfn.IFERROR(VLOOKUP($P185,'Suppl'!$B$2:$N$57,MATCH($B185,'Suppl'!$C$1:$N$1,0)+1,FALSE),"")</f>
        <v>0</v>
      </c>
      <c r="P185" t="s" s="306">
        <f>E185&amp;I185</f>
        <v>329</v>
      </c>
      <c r="Q185" s="286"/>
      <c r="R185" s="298"/>
      <c r="S185" s="298"/>
    </row>
    <row r="186" ht="15" customHeight="1">
      <c r="A186" t="s" s="276">
        <f>B186&amp;E186&amp;I186</f>
        <v>811</v>
      </c>
      <c r="B186" s="299">
        <f>B185</f>
        <v>5</v>
      </c>
      <c r="C186" t="s" s="300">
        <f>C185</f>
        <v>767</v>
      </c>
      <c r="D186" t="s" s="300">
        <v>754</v>
      </c>
      <c r="E186" s="301">
        <v>3</v>
      </c>
      <c r="F186" t="s" s="300">
        <v>804</v>
      </c>
      <c r="G186" t="s" s="352">
        <v>805</v>
      </c>
      <c r="H186" t="s" s="353">
        <v>171</v>
      </c>
      <c r="I186" s="305">
        <v>3</v>
      </c>
      <c r="J186" t="s" s="306">
        <v>812</v>
      </c>
      <c r="K186" t="s" s="306">
        <v>271</v>
      </c>
      <c r="L186" t="s" s="307">
        <v>813</v>
      </c>
      <c r="M186" s="284"/>
      <c r="N186" s="284"/>
      <c r="O186" s="310">
        <f>_xlfn.IFERROR(VLOOKUP($P186,'Suppl'!$B$2:$N$57,MATCH($B186,'Suppl'!$C$1:$N$1,0)+1,FALSE),"")</f>
        <v>0</v>
      </c>
      <c r="P186" t="s" s="306">
        <f>E186&amp;I186</f>
        <v>333</v>
      </c>
      <c r="Q186" s="286"/>
      <c r="R186" s="298"/>
      <c r="S186" s="298"/>
    </row>
    <row r="187" ht="15" customHeight="1">
      <c r="A187" t="s" s="276">
        <f>B187&amp;E187&amp;I187</f>
        <v>814</v>
      </c>
      <c r="B187" s="299">
        <f>B186</f>
        <v>5</v>
      </c>
      <c r="C187" t="s" s="300">
        <f>C186</f>
        <v>767</v>
      </c>
      <c r="D187" t="s" s="300">
        <v>754</v>
      </c>
      <c r="E187" s="301">
        <v>3</v>
      </c>
      <c r="F187" t="s" s="300">
        <v>804</v>
      </c>
      <c r="G187" t="s" s="352">
        <v>805</v>
      </c>
      <c r="H187" t="s" s="353">
        <v>171</v>
      </c>
      <c r="I187" s="305">
        <v>4</v>
      </c>
      <c r="J187" t="s" s="306">
        <v>815</v>
      </c>
      <c r="K187" t="s" s="306">
        <v>256</v>
      </c>
      <c r="L187" t="s" s="307">
        <v>816</v>
      </c>
      <c r="M187" s="284"/>
      <c r="N187" s="284"/>
      <c r="O187" s="310">
        <f>_xlfn.IFERROR(VLOOKUP($P187,'Suppl'!$B$2:$N$57,MATCH($B187,'Suppl'!$C$1:$N$1,0)+1,FALSE),"")</f>
        <v>0</v>
      </c>
      <c r="P187" t="s" s="306">
        <f>E187&amp;I187</f>
        <v>336</v>
      </c>
      <c r="Q187" s="286"/>
      <c r="R187" s="298"/>
      <c r="S187" s="298"/>
    </row>
    <row r="188" ht="15" customHeight="1">
      <c r="A188" t="s" s="276">
        <f>B188&amp;E188&amp;I188</f>
        <v>817</v>
      </c>
      <c r="B188" s="299">
        <f>B187</f>
        <v>5</v>
      </c>
      <c r="C188" t="s" s="300">
        <f>C187</f>
        <v>767</v>
      </c>
      <c r="D188" t="s" s="300">
        <v>754</v>
      </c>
      <c r="E188" s="301">
        <v>3</v>
      </c>
      <c r="F188" t="s" s="300">
        <v>804</v>
      </c>
      <c r="G188" t="s" s="352">
        <v>805</v>
      </c>
      <c r="H188" t="s" s="353">
        <v>171</v>
      </c>
      <c r="I188" s="305">
        <v>5</v>
      </c>
      <c r="J188" t="s" s="306">
        <v>818</v>
      </c>
      <c r="K188" t="s" s="306">
        <v>271</v>
      </c>
      <c r="L188" t="s" s="307">
        <v>819</v>
      </c>
      <c r="M188" s="284"/>
      <c r="N188" s="284"/>
      <c r="O188" s="310">
        <f>_xlfn.IFERROR(VLOOKUP($P188,'Suppl'!$B$2:$N$57,MATCH($B188,'Suppl'!$C$1:$N$1,0)+1,FALSE),"")</f>
        <v>0</v>
      </c>
      <c r="P188" t="s" s="306">
        <f>E188&amp;I188</f>
        <v>338</v>
      </c>
      <c r="Q188" s="286"/>
      <c r="R188" s="298"/>
      <c r="S188" s="298"/>
    </row>
    <row r="189" ht="15" customHeight="1">
      <c r="A189" t="s" s="276">
        <f>B189&amp;E189&amp;I189</f>
        <v>820</v>
      </c>
      <c r="B189" s="299">
        <f>B188</f>
        <v>5</v>
      </c>
      <c r="C189" t="s" s="300">
        <f>C188</f>
        <v>767</v>
      </c>
      <c r="D189" t="s" s="300">
        <v>754</v>
      </c>
      <c r="E189" s="301">
        <v>3</v>
      </c>
      <c r="F189" t="s" s="300">
        <v>804</v>
      </c>
      <c r="G189" t="s" s="352">
        <v>805</v>
      </c>
      <c r="H189" t="s" s="353">
        <v>171</v>
      </c>
      <c r="I189" s="305">
        <v>6</v>
      </c>
      <c r="J189" s="284"/>
      <c r="K189" s="284"/>
      <c r="L189" s="312"/>
      <c r="M189" s="284"/>
      <c r="N189" s="284"/>
      <c r="O189" s="310">
        <f>_xlfn.IFERROR(VLOOKUP($P189,'Suppl'!$B$2:$N$57,MATCH($B189,'Suppl'!$C$1:$N$1,0)+1,FALSE),"")</f>
        <v>0</v>
      </c>
      <c r="P189" t="s" s="306">
        <f>E189&amp;I189</f>
        <v>340</v>
      </c>
      <c r="Q189" s="286"/>
      <c r="R189" s="298"/>
      <c r="S189" s="298"/>
    </row>
    <row r="190" ht="15" customHeight="1">
      <c r="A190" t="s" s="276">
        <f>B190&amp;E190&amp;I190</f>
        <v>821</v>
      </c>
      <c r="B190" s="314">
        <f>B189</f>
        <v>5</v>
      </c>
      <c r="C190" t="s" s="315">
        <f>C189</f>
        <v>767</v>
      </c>
      <c r="D190" t="s" s="315">
        <v>754</v>
      </c>
      <c r="E190" s="316">
        <v>3</v>
      </c>
      <c r="F190" t="s" s="315">
        <v>804</v>
      </c>
      <c r="G190" t="s" s="355">
        <v>805</v>
      </c>
      <c r="H190" t="s" s="353">
        <v>171</v>
      </c>
      <c r="I190" s="319">
        <v>7</v>
      </c>
      <c r="J190" s="330"/>
      <c r="K190" t="s" s="320">
        <v>171</v>
      </c>
      <c r="L190" s="321"/>
      <c r="M190" s="330"/>
      <c r="N190" s="330"/>
      <c r="O190" s="324">
        <f>_xlfn.IFERROR(VLOOKUP($P190,'Suppl'!$B$2:$N$57,MATCH($B190,'Suppl'!$C$1:$N$1,0)+1,FALSE),"")</f>
        <v>0</v>
      </c>
      <c r="P190" t="s" s="320">
        <f>E190&amp;I190</f>
        <v>342</v>
      </c>
      <c r="Q190" s="286"/>
      <c r="R190" s="298"/>
      <c r="S190" s="298"/>
    </row>
    <row r="191" ht="15" customHeight="1">
      <c r="A191" t="s" s="276">
        <f>B191&amp;E191&amp;I191</f>
        <v>99</v>
      </c>
      <c r="B191" s="325">
        <f>B190</f>
        <v>5</v>
      </c>
      <c r="C191" t="s" s="326">
        <f>C190</f>
        <v>767</v>
      </c>
      <c r="D191" t="s" s="326">
        <v>754</v>
      </c>
      <c r="E191" s="289">
        <v>4</v>
      </c>
      <c r="F191" t="s" s="288">
        <v>822</v>
      </c>
      <c r="G191" t="s" s="390">
        <v>823</v>
      </c>
      <c r="H191" t="s" s="391">
        <v>824</v>
      </c>
      <c r="I191" s="292">
        <v>1</v>
      </c>
      <c r="J191" t="s" s="288">
        <v>825</v>
      </c>
      <c r="K191" t="s" s="288">
        <v>263</v>
      </c>
      <c r="L191" t="s" s="293">
        <v>826</v>
      </c>
      <c r="M191" s="328"/>
      <c r="N191" s="328"/>
      <c r="O191" s="296">
        <f>_xlfn.IFERROR(VLOOKUP($P191,'Suppl'!$B$2:$N$57,MATCH($B191,'Suppl'!$C$1:$N$1,0)+1,FALSE),"")</f>
        <v>0</v>
      </c>
      <c r="P191" t="s" s="288">
        <f>E191&amp;I191</f>
        <v>348</v>
      </c>
      <c r="Q191" s="286"/>
      <c r="R191" s="298"/>
      <c r="S191" s="298"/>
    </row>
    <row r="192" ht="15" customHeight="1">
      <c r="A192" t="s" s="276">
        <f>B192&amp;E192&amp;I192</f>
        <v>827</v>
      </c>
      <c r="B192" s="299">
        <f>B191</f>
        <v>5</v>
      </c>
      <c r="C192" t="s" s="300">
        <f>C191</f>
        <v>767</v>
      </c>
      <c r="D192" t="s" s="300">
        <v>754</v>
      </c>
      <c r="E192" s="301">
        <v>4</v>
      </c>
      <c r="F192" t="s" s="300">
        <v>822</v>
      </c>
      <c r="G192" t="s" s="352">
        <v>823</v>
      </c>
      <c r="H192" t="s" s="353">
        <v>171</v>
      </c>
      <c r="I192" s="305">
        <v>2</v>
      </c>
      <c r="J192" t="s" s="306">
        <v>828</v>
      </c>
      <c r="K192" t="s" s="306">
        <v>283</v>
      </c>
      <c r="L192" s="312"/>
      <c r="M192" s="284"/>
      <c r="N192" s="284"/>
      <c r="O192" s="310">
        <f>_xlfn.IFERROR(VLOOKUP($P192,'Suppl'!$B$2:$N$57,MATCH($B192,'Suppl'!$C$1:$N$1,0)+1,FALSE),"")</f>
        <v>0</v>
      </c>
      <c r="P192" t="s" s="306">
        <f>E192&amp;I192</f>
        <v>351</v>
      </c>
      <c r="Q192" s="286"/>
      <c r="R192" s="298"/>
      <c r="S192" s="298"/>
    </row>
    <row r="193" ht="15" customHeight="1">
      <c r="A193" t="s" s="276">
        <f>B193&amp;E193&amp;I193</f>
        <v>829</v>
      </c>
      <c r="B193" s="299">
        <f>B192</f>
        <v>5</v>
      </c>
      <c r="C193" t="s" s="300">
        <f>C192</f>
        <v>767</v>
      </c>
      <c r="D193" t="s" s="300">
        <v>754</v>
      </c>
      <c r="E193" s="301">
        <v>4</v>
      </c>
      <c r="F193" t="s" s="300">
        <v>822</v>
      </c>
      <c r="G193" t="s" s="352">
        <v>823</v>
      </c>
      <c r="H193" t="s" s="353">
        <v>171</v>
      </c>
      <c r="I193" s="305">
        <v>3</v>
      </c>
      <c r="J193" t="s" s="306">
        <v>830</v>
      </c>
      <c r="K193" t="s" s="306">
        <v>271</v>
      </c>
      <c r="L193" t="s" s="307">
        <v>831</v>
      </c>
      <c r="M193" s="284"/>
      <c r="N193" s="284"/>
      <c r="O193" s="310">
        <f>_xlfn.IFERROR(VLOOKUP($P193,'Suppl'!$B$2:$N$57,MATCH($B193,'Suppl'!$C$1:$N$1,0)+1,FALSE),"")</f>
        <v>0</v>
      </c>
      <c r="P193" t="s" s="306">
        <f>E193&amp;I193</f>
        <v>354</v>
      </c>
      <c r="Q193" s="286"/>
      <c r="R193" s="298"/>
      <c r="S193" s="298"/>
    </row>
    <row r="194" ht="15" customHeight="1">
      <c r="A194" t="s" s="276">
        <f>B194&amp;E194&amp;I194</f>
        <v>832</v>
      </c>
      <c r="B194" s="299">
        <f>B193</f>
        <v>5</v>
      </c>
      <c r="C194" t="s" s="300">
        <f>C193</f>
        <v>767</v>
      </c>
      <c r="D194" t="s" s="300">
        <v>754</v>
      </c>
      <c r="E194" s="301">
        <v>4</v>
      </c>
      <c r="F194" t="s" s="300">
        <v>822</v>
      </c>
      <c r="G194" t="s" s="352">
        <v>823</v>
      </c>
      <c r="H194" t="s" s="353">
        <v>171</v>
      </c>
      <c r="I194" s="305">
        <v>4</v>
      </c>
      <c r="J194" t="s" s="306">
        <v>833</v>
      </c>
      <c r="K194" t="s" s="306">
        <v>283</v>
      </c>
      <c r="L194" t="s" s="307">
        <v>834</v>
      </c>
      <c r="M194" s="284"/>
      <c r="N194" s="284"/>
      <c r="O194" s="310">
        <f>_xlfn.IFERROR(VLOOKUP($P194,'Suppl'!$B$2:$N$57,MATCH($B194,'Suppl'!$C$1:$N$1,0)+1,FALSE),"")</f>
        <v>0</v>
      </c>
      <c r="P194" t="s" s="306">
        <f>E194&amp;I194</f>
        <v>357</v>
      </c>
      <c r="Q194" s="286"/>
      <c r="R194" s="298"/>
      <c r="S194" s="298"/>
    </row>
    <row r="195" ht="15" customHeight="1">
      <c r="A195" t="s" s="276">
        <f>B195&amp;E195&amp;I195</f>
        <v>835</v>
      </c>
      <c r="B195" s="299">
        <f>B194</f>
        <v>5</v>
      </c>
      <c r="C195" t="s" s="300">
        <f>C194</f>
        <v>767</v>
      </c>
      <c r="D195" t="s" s="300">
        <v>754</v>
      </c>
      <c r="E195" s="301">
        <v>4</v>
      </c>
      <c r="F195" t="s" s="300">
        <v>822</v>
      </c>
      <c r="G195" t="s" s="352">
        <v>823</v>
      </c>
      <c r="H195" t="s" s="353">
        <v>171</v>
      </c>
      <c r="I195" s="305">
        <v>5</v>
      </c>
      <c r="J195" t="s" s="306">
        <v>836</v>
      </c>
      <c r="K195" t="s" s="306">
        <v>283</v>
      </c>
      <c r="L195" s="312"/>
      <c r="M195" s="284"/>
      <c r="N195" s="284"/>
      <c r="O195" s="310">
        <f>_xlfn.IFERROR(VLOOKUP($P195,'Suppl'!$B$2:$N$57,MATCH($B195,'Suppl'!$C$1:$N$1,0)+1,FALSE),"")</f>
        <v>0</v>
      </c>
      <c r="P195" t="s" s="306">
        <f>E195&amp;I195</f>
        <v>360</v>
      </c>
      <c r="Q195" s="286"/>
      <c r="R195" s="298"/>
      <c r="S195" s="298"/>
    </row>
    <row r="196" ht="15" customHeight="1">
      <c r="A196" t="s" s="276">
        <f>B196&amp;E196&amp;I196</f>
        <v>837</v>
      </c>
      <c r="B196" s="299">
        <f>B195</f>
        <v>5</v>
      </c>
      <c r="C196" t="s" s="300">
        <f>C195</f>
        <v>767</v>
      </c>
      <c r="D196" t="s" s="300">
        <v>754</v>
      </c>
      <c r="E196" s="301">
        <v>4</v>
      </c>
      <c r="F196" t="s" s="300">
        <v>822</v>
      </c>
      <c r="G196" t="s" s="352">
        <v>823</v>
      </c>
      <c r="H196" t="s" s="353">
        <v>171</v>
      </c>
      <c r="I196" s="305">
        <v>6</v>
      </c>
      <c r="J196" s="284"/>
      <c r="K196" t="s" s="306">
        <v>171</v>
      </c>
      <c r="L196" s="312"/>
      <c r="M196" s="284"/>
      <c r="N196" s="284"/>
      <c r="O196" s="310">
        <f>_xlfn.IFERROR(VLOOKUP($P196,'Suppl'!$B$2:$N$57,MATCH($B196,'Suppl'!$C$1:$N$1,0)+1,FALSE),"")</f>
        <v>0</v>
      </c>
      <c r="P196" t="s" s="306">
        <f>E196&amp;I196</f>
        <v>363</v>
      </c>
      <c r="Q196" s="286"/>
      <c r="R196" s="298"/>
      <c r="S196" s="298"/>
    </row>
    <row r="197" ht="15" customHeight="1">
      <c r="A197" t="s" s="276">
        <f>B197&amp;E197&amp;I197</f>
        <v>838</v>
      </c>
      <c r="B197" s="314">
        <f>B196</f>
        <v>5</v>
      </c>
      <c r="C197" t="s" s="315">
        <f>C196</f>
        <v>767</v>
      </c>
      <c r="D197" t="s" s="315">
        <v>754</v>
      </c>
      <c r="E197" s="316">
        <v>4</v>
      </c>
      <c r="F197" t="s" s="315">
        <v>822</v>
      </c>
      <c r="G197" t="s" s="355">
        <v>823</v>
      </c>
      <c r="H197" t="s" s="353">
        <v>171</v>
      </c>
      <c r="I197" s="319">
        <v>7</v>
      </c>
      <c r="J197" s="330"/>
      <c r="K197" t="s" s="320">
        <v>171</v>
      </c>
      <c r="L197" s="321"/>
      <c r="M197" s="330"/>
      <c r="N197" s="330"/>
      <c r="O197" s="324">
        <f>_xlfn.IFERROR(VLOOKUP($P197,'Suppl'!$B$2:$N$57,MATCH($B197,'Suppl'!$C$1:$N$1,0)+1,FALSE),"")</f>
        <v>0</v>
      </c>
      <c r="P197" t="s" s="320">
        <f>E197&amp;I197</f>
        <v>365</v>
      </c>
      <c r="Q197" s="286"/>
      <c r="R197" s="298"/>
      <c r="S197" s="298"/>
    </row>
    <row r="198" ht="15" customHeight="1">
      <c r="A198" t="s" s="276">
        <f>B198&amp;E198&amp;I198</f>
        <v>101</v>
      </c>
      <c r="B198" s="325">
        <f>B197</f>
        <v>5</v>
      </c>
      <c r="C198" t="s" s="326">
        <f>C197</f>
        <v>767</v>
      </c>
      <c r="D198" t="s" s="326">
        <v>754</v>
      </c>
      <c r="E198" s="289">
        <v>5</v>
      </c>
      <c r="F198" t="s" s="288">
        <v>839</v>
      </c>
      <c r="G198" t="s" s="390">
        <v>840</v>
      </c>
      <c r="H198" t="s" s="391">
        <v>171</v>
      </c>
      <c r="I198" s="292">
        <v>1</v>
      </c>
      <c r="J198" t="s" s="288">
        <v>841</v>
      </c>
      <c r="K198" t="s" s="288">
        <v>271</v>
      </c>
      <c r="L198" s="327"/>
      <c r="M198" s="328"/>
      <c r="N198" s="328"/>
      <c r="O198" s="296">
        <f>_xlfn.IFERROR(VLOOKUP($P198,'Suppl'!$B$2:$N$57,MATCH($B198,'Suppl'!$C$1:$N$1,0)+1,FALSE),"")</f>
        <v>0</v>
      </c>
      <c r="P198" t="s" s="288">
        <f>E198&amp;I198</f>
        <v>370</v>
      </c>
      <c r="Q198" s="286"/>
      <c r="R198" s="298"/>
      <c r="S198" s="298"/>
    </row>
    <row r="199" ht="15" customHeight="1">
      <c r="A199" t="s" s="276">
        <f>B199&amp;E199&amp;I199</f>
        <v>842</v>
      </c>
      <c r="B199" s="299">
        <f>B198</f>
        <v>5</v>
      </c>
      <c r="C199" t="s" s="300">
        <f>C198</f>
        <v>767</v>
      </c>
      <c r="D199" t="s" s="300">
        <v>754</v>
      </c>
      <c r="E199" s="301">
        <v>5</v>
      </c>
      <c r="F199" t="s" s="300">
        <v>839</v>
      </c>
      <c r="G199" t="s" s="352">
        <v>840</v>
      </c>
      <c r="H199" t="s" s="353">
        <v>171</v>
      </c>
      <c r="I199" s="305">
        <v>2</v>
      </c>
      <c r="J199" t="s" s="306">
        <v>843</v>
      </c>
      <c r="K199" t="s" s="306">
        <v>271</v>
      </c>
      <c r="L199" s="312"/>
      <c r="M199" s="284"/>
      <c r="N199" s="284"/>
      <c r="O199" s="310">
        <f>_xlfn.IFERROR(VLOOKUP($P199,'Suppl'!$B$2:$N$57,MATCH($B199,'Suppl'!$C$1:$N$1,0)+1,FALSE),"")</f>
        <v>0</v>
      </c>
      <c r="P199" t="s" s="306">
        <f>E199&amp;I199</f>
        <v>374</v>
      </c>
      <c r="Q199" s="286"/>
      <c r="R199" s="298"/>
      <c r="S199" s="298"/>
    </row>
    <row r="200" ht="15" customHeight="1">
      <c r="A200" t="s" s="276">
        <f>B200&amp;E200&amp;I200</f>
        <v>844</v>
      </c>
      <c r="B200" s="299">
        <f>B199</f>
        <v>5</v>
      </c>
      <c r="C200" t="s" s="300">
        <f>C199</f>
        <v>767</v>
      </c>
      <c r="D200" t="s" s="300">
        <v>754</v>
      </c>
      <c r="E200" s="301">
        <v>5</v>
      </c>
      <c r="F200" t="s" s="300">
        <v>839</v>
      </c>
      <c r="G200" t="s" s="352">
        <v>840</v>
      </c>
      <c r="H200" t="s" s="353">
        <v>171</v>
      </c>
      <c r="I200" s="305">
        <v>3</v>
      </c>
      <c r="J200" t="s" s="306">
        <v>845</v>
      </c>
      <c r="K200" t="s" s="306">
        <v>291</v>
      </c>
      <c r="L200" s="312"/>
      <c r="M200" s="284"/>
      <c r="N200" s="284"/>
      <c r="O200" s="310">
        <f>_xlfn.IFERROR(VLOOKUP($P200,'Suppl'!$B$2:$N$57,MATCH($B200,'Suppl'!$C$1:$N$1,0)+1,FALSE),"")</f>
        <v>0</v>
      </c>
      <c r="P200" t="s" s="306">
        <f>E200&amp;I200</f>
        <v>377</v>
      </c>
      <c r="Q200" s="286"/>
      <c r="R200" s="298"/>
      <c r="S200" s="298"/>
    </row>
    <row r="201" ht="15" customHeight="1">
      <c r="A201" t="s" s="276">
        <f>B201&amp;E201&amp;I201</f>
        <v>846</v>
      </c>
      <c r="B201" s="299">
        <f>B200</f>
        <v>5</v>
      </c>
      <c r="C201" t="s" s="300">
        <f>C200</f>
        <v>767</v>
      </c>
      <c r="D201" t="s" s="300">
        <v>754</v>
      </c>
      <c r="E201" s="301">
        <v>5</v>
      </c>
      <c r="F201" t="s" s="300">
        <v>839</v>
      </c>
      <c r="G201" t="s" s="352">
        <v>840</v>
      </c>
      <c r="H201" t="s" s="353">
        <v>171</v>
      </c>
      <c r="I201" s="305">
        <v>4</v>
      </c>
      <c r="J201" t="s" s="306">
        <v>847</v>
      </c>
      <c r="K201" t="s" s="306">
        <v>291</v>
      </c>
      <c r="L201" s="312"/>
      <c r="M201" s="284"/>
      <c r="N201" s="284"/>
      <c r="O201" s="310">
        <f>_xlfn.IFERROR(VLOOKUP($P201,'Suppl'!$B$2:$N$57,MATCH($B201,'Suppl'!$C$1:$N$1,0)+1,FALSE),"")</f>
        <v>0</v>
      </c>
      <c r="P201" t="s" s="306">
        <f>E201&amp;I201</f>
        <v>380</v>
      </c>
      <c r="Q201" s="286"/>
      <c r="R201" s="298"/>
      <c r="S201" s="298"/>
    </row>
    <row r="202" ht="15" customHeight="1">
      <c r="A202" t="s" s="276">
        <f>B202&amp;E202&amp;I202</f>
        <v>848</v>
      </c>
      <c r="B202" s="299">
        <f>B201</f>
        <v>5</v>
      </c>
      <c r="C202" t="s" s="300">
        <f>C201</f>
        <v>767</v>
      </c>
      <c r="D202" t="s" s="300">
        <v>754</v>
      </c>
      <c r="E202" s="301">
        <v>5</v>
      </c>
      <c r="F202" t="s" s="300">
        <v>839</v>
      </c>
      <c r="G202" t="s" s="352">
        <v>840</v>
      </c>
      <c r="H202" t="s" s="353">
        <v>171</v>
      </c>
      <c r="I202" s="305">
        <v>5</v>
      </c>
      <c r="J202" t="s" s="306">
        <v>849</v>
      </c>
      <c r="K202" t="s" s="306">
        <v>291</v>
      </c>
      <c r="L202" s="312"/>
      <c r="M202" s="284"/>
      <c r="N202" s="284"/>
      <c r="O202" s="310">
        <f>_xlfn.IFERROR(VLOOKUP($P202,'Suppl'!$B$2:$N$57,MATCH($B202,'Suppl'!$C$1:$N$1,0)+1,FALSE),"")</f>
        <v>0</v>
      </c>
      <c r="P202" t="s" s="306">
        <f>E202&amp;I202</f>
        <v>383</v>
      </c>
      <c r="Q202" s="286"/>
      <c r="R202" s="298"/>
      <c r="S202" s="298"/>
    </row>
    <row r="203" ht="15" customHeight="1">
      <c r="A203" t="s" s="276">
        <f>B203&amp;E203&amp;I203</f>
        <v>850</v>
      </c>
      <c r="B203" s="299">
        <f>B202</f>
        <v>5</v>
      </c>
      <c r="C203" t="s" s="300">
        <f>C202</f>
        <v>767</v>
      </c>
      <c r="D203" t="s" s="300">
        <v>754</v>
      </c>
      <c r="E203" s="301">
        <v>5</v>
      </c>
      <c r="F203" t="s" s="300">
        <v>839</v>
      </c>
      <c r="G203" t="s" s="352">
        <v>840</v>
      </c>
      <c r="H203" t="s" s="353">
        <v>171</v>
      </c>
      <c r="I203" s="305">
        <v>6</v>
      </c>
      <c r="J203" t="s" s="306">
        <v>851</v>
      </c>
      <c r="K203" t="s" s="306">
        <v>263</v>
      </c>
      <c r="L203" s="312"/>
      <c r="M203" s="284"/>
      <c r="N203" s="284"/>
      <c r="O203" s="310">
        <f>_xlfn.IFERROR(VLOOKUP($P203,'Suppl'!$B$2:$N$57,MATCH($B203,'Suppl'!$C$1:$N$1,0)+1,FALSE),"")</f>
        <v>0</v>
      </c>
      <c r="P203" t="s" s="306">
        <f>E203&amp;I203</f>
        <v>385</v>
      </c>
      <c r="Q203" s="286"/>
      <c r="R203" s="298"/>
      <c r="S203" s="298"/>
    </row>
    <row r="204" ht="15" customHeight="1">
      <c r="A204" t="s" s="276">
        <f>B204&amp;E204&amp;I204</f>
        <v>852</v>
      </c>
      <c r="B204" s="331">
        <f>B203</f>
        <v>5</v>
      </c>
      <c r="C204" t="s" s="332">
        <f>C203</f>
        <v>767</v>
      </c>
      <c r="D204" t="s" s="332">
        <v>754</v>
      </c>
      <c r="E204" s="333">
        <v>5</v>
      </c>
      <c r="F204" t="s" s="332">
        <v>839</v>
      </c>
      <c r="G204" t="s" s="361">
        <v>840</v>
      </c>
      <c r="H204" t="s" s="385">
        <v>171</v>
      </c>
      <c r="I204" s="337">
        <v>7</v>
      </c>
      <c r="J204" t="s" s="341">
        <v>853</v>
      </c>
      <c r="K204" t="s" s="341">
        <v>256</v>
      </c>
      <c r="L204" s="339"/>
      <c r="M204" s="392"/>
      <c r="N204" s="393"/>
      <c r="O204" s="340">
        <f>_xlfn.IFERROR(VLOOKUP($P204,'Suppl'!$B$2:$N$57,MATCH($B204,'Suppl'!$C$1:$N$1,0)+1,FALSE),"")</f>
        <v>0</v>
      </c>
      <c r="P204" t="s" s="341">
        <f>E204&amp;I204</f>
        <v>387</v>
      </c>
      <c r="Q204" s="286"/>
      <c r="R204" s="298"/>
      <c r="S204" s="298"/>
    </row>
    <row r="205" ht="15" customHeight="1">
      <c r="A205" t="s" s="276">
        <f>B205&amp;E205&amp;I205</f>
        <v>103</v>
      </c>
      <c r="B205" s="342">
        <v>6</v>
      </c>
      <c r="C205" t="s" s="343">
        <v>229</v>
      </c>
      <c r="D205" t="s" s="343">
        <v>854</v>
      </c>
      <c r="E205" s="344">
        <v>1</v>
      </c>
      <c r="F205" t="s" s="343">
        <v>855</v>
      </c>
      <c r="G205" t="s" s="345">
        <v>856</v>
      </c>
      <c r="H205" t="s" s="346">
        <v>857</v>
      </c>
      <c r="I205" s="342">
        <v>1</v>
      </c>
      <c r="J205" t="s" s="343">
        <v>858</v>
      </c>
      <c r="K205" t="s" s="343">
        <v>283</v>
      </c>
      <c r="L205" t="s" s="347">
        <v>859</v>
      </c>
      <c r="M205" t="s" s="348">
        <v>860</v>
      </c>
      <c r="N205" t="s" s="349">
        <v>861</v>
      </c>
      <c r="O205" s="350">
        <f>_xlfn.IFERROR(VLOOKUP($P205,'Suppl'!$B$2:$N$57,MATCH($B205,'Suppl'!$C$1:$N$1,0)+1,FALSE),"")</f>
        <v>0</v>
      </c>
      <c r="P205" t="s" s="343">
        <f>E205&amp;I205</f>
        <v>260</v>
      </c>
      <c r="Q205" s="286"/>
      <c r="R205" s="298"/>
      <c r="S205" s="298"/>
    </row>
    <row r="206" ht="15" customHeight="1">
      <c r="A206" t="s" s="276">
        <f>B206&amp;E206&amp;I206</f>
        <v>862</v>
      </c>
      <c r="B206" s="351">
        <f>B205</f>
        <v>6</v>
      </c>
      <c r="C206" t="s" s="300">
        <f>C205</f>
        <v>229</v>
      </c>
      <c r="D206" t="s" s="300">
        <v>854</v>
      </c>
      <c r="E206" s="301">
        <v>1</v>
      </c>
      <c r="F206" t="s" s="300">
        <v>855</v>
      </c>
      <c r="G206" t="s" s="352">
        <v>856</v>
      </c>
      <c r="H206" t="s" s="353">
        <v>171</v>
      </c>
      <c r="I206" s="305">
        <v>2</v>
      </c>
      <c r="J206" t="s" s="306">
        <v>863</v>
      </c>
      <c r="K206" t="s" s="306">
        <v>263</v>
      </c>
      <c r="L206" t="s" s="307">
        <v>864</v>
      </c>
      <c r="M206" t="s" s="308">
        <v>865</v>
      </c>
      <c r="N206" t="s" s="309">
        <v>866</v>
      </c>
      <c r="O206" s="310">
        <f>_xlfn.IFERROR(VLOOKUP($P206,'Suppl'!$B$2:$N$57,MATCH($B206,'Suppl'!$C$1:$N$1,0)+1,FALSE),"")</f>
        <v>0</v>
      </c>
      <c r="P206" t="s" s="306">
        <f>E206&amp;I206</f>
        <v>267</v>
      </c>
      <c r="Q206" s="286"/>
      <c r="R206" s="298"/>
      <c r="S206" s="298"/>
    </row>
    <row r="207" ht="15" customHeight="1">
      <c r="A207" t="s" s="276">
        <f>B207&amp;E207&amp;I207</f>
        <v>867</v>
      </c>
      <c r="B207" s="351">
        <f>B206</f>
        <v>6</v>
      </c>
      <c r="C207" t="s" s="300">
        <f>C206</f>
        <v>868</v>
      </c>
      <c r="D207" t="s" s="300">
        <v>854</v>
      </c>
      <c r="E207" s="301">
        <v>1</v>
      </c>
      <c r="F207" t="s" s="300">
        <v>855</v>
      </c>
      <c r="G207" t="s" s="352">
        <v>856</v>
      </c>
      <c r="H207" t="s" s="353">
        <v>171</v>
      </c>
      <c r="I207" s="305">
        <v>3</v>
      </c>
      <c r="J207" t="s" s="306">
        <v>869</v>
      </c>
      <c r="K207" t="s" s="306">
        <v>291</v>
      </c>
      <c r="L207" t="s" s="307">
        <v>870</v>
      </c>
      <c r="M207" t="s" s="308">
        <v>871</v>
      </c>
      <c r="N207" t="s" s="309">
        <v>872</v>
      </c>
      <c r="O207" s="310">
        <f>_xlfn.IFERROR(VLOOKUP($P207,'Suppl'!$B$2:$N$57,MATCH($B207,'Suppl'!$C$1:$N$1,0)+1,FALSE),"")</f>
        <v>0</v>
      </c>
      <c r="P207" t="s" s="306">
        <f>E207&amp;I207</f>
        <v>275</v>
      </c>
      <c r="Q207" s="286"/>
      <c r="R207" s="298"/>
      <c r="S207" s="298"/>
    </row>
    <row r="208" ht="15" customHeight="1">
      <c r="A208" t="s" s="276">
        <f>B208&amp;E208&amp;I208</f>
        <v>873</v>
      </c>
      <c r="B208" s="351">
        <f>B207</f>
        <v>6</v>
      </c>
      <c r="C208" t="s" s="300">
        <f>C207</f>
        <v>868</v>
      </c>
      <c r="D208" t="s" s="300">
        <v>854</v>
      </c>
      <c r="E208" s="301">
        <v>1</v>
      </c>
      <c r="F208" t="s" s="300">
        <v>855</v>
      </c>
      <c r="G208" t="s" s="352">
        <v>856</v>
      </c>
      <c r="H208" t="s" s="353">
        <v>171</v>
      </c>
      <c r="I208" s="305">
        <v>4</v>
      </c>
      <c r="J208" t="s" s="306">
        <v>874</v>
      </c>
      <c r="K208" t="s" s="306">
        <v>271</v>
      </c>
      <c r="L208" t="s" s="307">
        <v>875</v>
      </c>
      <c r="M208" t="s" s="308">
        <v>876</v>
      </c>
      <c r="N208" t="s" s="309">
        <v>877</v>
      </c>
      <c r="O208" s="310">
        <f>_xlfn.IFERROR(VLOOKUP($P208,'Suppl'!$B$2:$N$57,MATCH($B208,'Suppl'!$C$1:$N$1,0)+1,FALSE),"")</f>
        <v>0</v>
      </c>
      <c r="P208" t="s" s="306">
        <f>E208&amp;I208</f>
        <v>280</v>
      </c>
      <c r="Q208" s="286"/>
      <c r="R208" s="298"/>
      <c r="S208" s="298"/>
    </row>
    <row r="209" ht="15" customHeight="1">
      <c r="A209" t="s" s="276">
        <f>B209&amp;E209&amp;I209</f>
        <v>878</v>
      </c>
      <c r="B209" s="351">
        <f>B208</f>
        <v>6</v>
      </c>
      <c r="C209" t="s" s="300">
        <f>C208</f>
        <v>868</v>
      </c>
      <c r="D209" t="s" s="300">
        <v>854</v>
      </c>
      <c r="E209" s="301">
        <v>1</v>
      </c>
      <c r="F209" t="s" s="300">
        <v>855</v>
      </c>
      <c r="G209" t="s" s="352">
        <v>856</v>
      </c>
      <c r="H209" t="s" s="353">
        <v>171</v>
      </c>
      <c r="I209" s="305">
        <v>5</v>
      </c>
      <c r="J209" s="284"/>
      <c r="K209" t="s" s="306">
        <v>171</v>
      </c>
      <c r="L209" s="312"/>
      <c r="M209" t="s" s="308">
        <v>879</v>
      </c>
      <c r="N209" t="s" s="309">
        <v>880</v>
      </c>
      <c r="O209" s="310">
        <f>_xlfn.IFERROR(VLOOKUP($P209,'Suppl'!$B$2:$N$57,MATCH($B209,'Suppl'!$C$1:$N$1,0)+1,FALSE),"")</f>
        <v>0</v>
      </c>
      <c r="P209" t="s" s="306">
        <f>E209&amp;I209</f>
        <v>284</v>
      </c>
      <c r="Q209" s="286"/>
      <c r="R209" s="298"/>
      <c r="S209" s="298"/>
    </row>
    <row r="210" ht="15" customHeight="1">
      <c r="A210" t="s" s="276">
        <f>B210&amp;E210&amp;I210</f>
        <v>881</v>
      </c>
      <c r="B210" s="351">
        <f>B209</f>
        <v>6</v>
      </c>
      <c r="C210" t="s" s="300">
        <f>C209</f>
        <v>868</v>
      </c>
      <c r="D210" t="s" s="300">
        <v>854</v>
      </c>
      <c r="E210" s="301">
        <v>1</v>
      </c>
      <c r="F210" t="s" s="300">
        <v>855</v>
      </c>
      <c r="G210" t="s" s="352">
        <v>856</v>
      </c>
      <c r="H210" t="s" s="353">
        <v>171</v>
      </c>
      <c r="I210" s="305">
        <v>6</v>
      </c>
      <c r="J210" s="284"/>
      <c r="K210" t="s" s="306">
        <v>171</v>
      </c>
      <c r="L210" s="312"/>
      <c r="M210" t="s" s="308">
        <v>882</v>
      </c>
      <c r="N210" t="s" s="309">
        <v>883</v>
      </c>
      <c r="O210" s="310">
        <f>_xlfn.IFERROR(VLOOKUP($P210,'Suppl'!$B$2:$N$57,MATCH($B210,'Suppl'!$C$1:$N$1,0)+1,FALSE),"")</f>
        <v>0</v>
      </c>
      <c r="P210" t="s" s="306">
        <f>E210&amp;I210</f>
        <v>288</v>
      </c>
      <c r="Q210" s="286"/>
      <c r="R210" s="298"/>
      <c r="S210" s="298"/>
    </row>
    <row r="211" ht="15" customHeight="1">
      <c r="A211" t="s" s="276">
        <f>B211&amp;E211&amp;I211</f>
        <v>884</v>
      </c>
      <c r="B211" s="354">
        <f>B210</f>
        <v>6</v>
      </c>
      <c r="C211" t="s" s="315">
        <f>C210</f>
        <v>868</v>
      </c>
      <c r="D211" t="s" s="315">
        <v>854</v>
      </c>
      <c r="E211" s="316">
        <v>1</v>
      </c>
      <c r="F211" t="s" s="315">
        <v>855</v>
      </c>
      <c r="G211" t="s" s="355">
        <v>856</v>
      </c>
      <c r="H211" t="s" s="353">
        <v>171</v>
      </c>
      <c r="I211" s="319">
        <v>7</v>
      </c>
      <c r="J211" s="330"/>
      <c r="K211" t="s" s="320">
        <v>171</v>
      </c>
      <c r="L211" s="321"/>
      <c r="M211" s="322"/>
      <c r="N211" s="323"/>
      <c r="O211" s="324">
        <f>_xlfn.IFERROR(VLOOKUP($P211,'Suppl'!$B$2:$N$57,MATCH($B211,'Suppl'!$C$1:$N$1,0)+1,FALSE),"")</f>
        <v>0</v>
      </c>
      <c r="P211" t="s" s="320">
        <f>E211&amp;I211</f>
        <v>292</v>
      </c>
      <c r="Q211" s="286"/>
      <c r="R211" s="298"/>
      <c r="S211" s="298"/>
    </row>
    <row r="212" ht="15" customHeight="1">
      <c r="A212" t="s" s="276">
        <f>B212&amp;E212&amp;I212</f>
        <v>105</v>
      </c>
      <c r="B212" s="356">
        <f>B211</f>
        <v>6</v>
      </c>
      <c r="C212" t="s" s="326">
        <f>C211</f>
        <v>868</v>
      </c>
      <c r="D212" t="s" s="326">
        <v>854</v>
      </c>
      <c r="E212" s="289">
        <v>2</v>
      </c>
      <c r="F212" t="s" s="288">
        <v>885</v>
      </c>
      <c r="G212" t="s" s="357">
        <v>886</v>
      </c>
      <c r="H212" t="s" s="353">
        <v>887</v>
      </c>
      <c r="I212" s="292">
        <v>1</v>
      </c>
      <c r="J212" t="s" s="288">
        <v>888</v>
      </c>
      <c r="K212" t="s" s="288">
        <v>263</v>
      </c>
      <c r="L212" t="s" s="293">
        <v>889</v>
      </c>
      <c r="M212" s="328"/>
      <c r="N212" s="328"/>
      <c r="O212" s="296">
        <f>_xlfn.IFERROR(VLOOKUP($P212,'Suppl'!$B$2:$N$57,MATCH($B212,'Suppl'!$C$1:$N$1,0)+1,FALSE),"")</f>
        <v>0</v>
      </c>
      <c r="P212" t="s" s="288">
        <f>E212&amp;I212</f>
        <v>297</v>
      </c>
      <c r="Q212" s="286"/>
      <c r="R212" s="298"/>
      <c r="S212" s="298"/>
    </row>
    <row r="213" ht="15" customHeight="1">
      <c r="A213" t="s" s="276">
        <f>B213&amp;E213&amp;I213</f>
        <v>890</v>
      </c>
      <c r="B213" s="351">
        <f>B212</f>
        <v>6</v>
      </c>
      <c r="C213" t="s" s="300">
        <f>C212</f>
        <v>868</v>
      </c>
      <c r="D213" t="s" s="300">
        <v>854</v>
      </c>
      <c r="E213" s="301">
        <v>2</v>
      </c>
      <c r="F213" t="s" s="300">
        <v>885</v>
      </c>
      <c r="G213" t="s" s="352">
        <v>886</v>
      </c>
      <c r="H213" t="s" s="353">
        <v>171</v>
      </c>
      <c r="I213" s="305">
        <v>2</v>
      </c>
      <c r="J213" t="s" s="306">
        <v>891</v>
      </c>
      <c r="K213" t="s" s="306">
        <v>283</v>
      </c>
      <c r="L213" t="s" s="307">
        <v>892</v>
      </c>
      <c r="M213" s="284"/>
      <c r="N213" s="284"/>
      <c r="O213" s="310">
        <f>_xlfn.IFERROR(VLOOKUP($P213,'Suppl'!$B$2:$N$57,MATCH($B213,'Suppl'!$C$1:$N$1,0)+1,FALSE),"")</f>
        <v>0</v>
      </c>
      <c r="P213" t="s" s="306">
        <f>E213&amp;I213</f>
        <v>300</v>
      </c>
      <c r="Q213" s="286"/>
      <c r="R213" s="298"/>
      <c r="S213" s="298"/>
    </row>
    <row r="214" ht="15" customHeight="1">
      <c r="A214" t="s" s="276">
        <f>B214&amp;E214&amp;I214</f>
        <v>893</v>
      </c>
      <c r="B214" s="351">
        <f>B213</f>
        <v>6</v>
      </c>
      <c r="C214" t="s" s="300">
        <f>C213</f>
        <v>868</v>
      </c>
      <c r="D214" t="s" s="300">
        <v>854</v>
      </c>
      <c r="E214" s="301">
        <v>2</v>
      </c>
      <c r="F214" t="s" s="300">
        <v>885</v>
      </c>
      <c r="G214" t="s" s="352">
        <v>886</v>
      </c>
      <c r="H214" t="s" s="353">
        <v>171</v>
      </c>
      <c r="I214" s="305">
        <v>3</v>
      </c>
      <c r="J214" t="s" s="306">
        <v>894</v>
      </c>
      <c r="K214" t="s" s="306">
        <v>271</v>
      </c>
      <c r="L214" t="s" s="307">
        <v>895</v>
      </c>
      <c r="M214" s="284"/>
      <c r="N214" s="284"/>
      <c r="O214" s="310">
        <f>_xlfn.IFERROR(VLOOKUP($P214,'Suppl'!$B$2:$N$57,MATCH($B214,'Suppl'!$C$1:$N$1,0)+1,FALSE),"")</f>
        <v>0</v>
      </c>
      <c r="P214" t="s" s="306">
        <f>E214&amp;I214</f>
        <v>303</v>
      </c>
      <c r="Q214" s="286"/>
      <c r="R214" s="298"/>
      <c r="S214" s="298"/>
    </row>
    <row r="215" ht="15" customHeight="1">
      <c r="A215" t="s" s="276">
        <f>B215&amp;E215&amp;I215</f>
        <v>896</v>
      </c>
      <c r="B215" s="351">
        <f>B214</f>
        <v>6</v>
      </c>
      <c r="C215" t="s" s="300">
        <f>C214</f>
        <v>868</v>
      </c>
      <c r="D215" t="s" s="300">
        <v>854</v>
      </c>
      <c r="E215" s="301">
        <v>2</v>
      </c>
      <c r="F215" t="s" s="300">
        <v>885</v>
      </c>
      <c r="G215" t="s" s="352">
        <v>886</v>
      </c>
      <c r="H215" t="s" s="353">
        <v>171</v>
      </c>
      <c r="I215" s="305">
        <v>4</v>
      </c>
      <c r="J215" t="s" s="306">
        <v>897</v>
      </c>
      <c r="K215" t="s" s="306">
        <v>291</v>
      </c>
      <c r="L215" t="s" s="307">
        <v>898</v>
      </c>
      <c r="M215" s="284"/>
      <c r="N215" s="284"/>
      <c r="O215" s="310">
        <f>_xlfn.IFERROR(VLOOKUP($P215,'Suppl'!$B$2:$N$57,MATCH($B215,'Suppl'!$C$1:$N$1,0)+1,FALSE),"")</f>
        <v>0</v>
      </c>
      <c r="P215" t="s" s="306">
        <f>E215&amp;I215</f>
        <v>307</v>
      </c>
      <c r="Q215" s="286"/>
      <c r="R215" s="298"/>
      <c r="S215" s="298"/>
    </row>
    <row r="216" ht="15" customHeight="1">
      <c r="A216" t="s" s="276">
        <f>B216&amp;E216&amp;I216</f>
        <v>899</v>
      </c>
      <c r="B216" s="351">
        <f>B215</f>
        <v>6</v>
      </c>
      <c r="C216" t="s" s="300">
        <f>C215</f>
        <v>868</v>
      </c>
      <c r="D216" t="s" s="300">
        <v>854</v>
      </c>
      <c r="E216" s="301">
        <v>2</v>
      </c>
      <c r="F216" t="s" s="300">
        <v>885</v>
      </c>
      <c r="G216" t="s" s="352">
        <v>886</v>
      </c>
      <c r="H216" t="s" s="353">
        <v>171</v>
      </c>
      <c r="I216" s="305">
        <v>5</v>
      </c>
      <c r="J216" s="284"/>
      <c r="K216" t="s" s="306">
        <v>171</v>
      </c>
      <c r="L216" s="312"/>
      <c r="M216" s="284"/>
      <c r="N216" s="284"/>
      <c r="O216" s="310">
        <f>_xlfn.IFERROR(VLOOKUP($P216,'Suppl'!$B$2:$N$57,MATCH($B216,'Suppl'!$C$1:$N$1,0)+1,FALSE),"")</f>
        <v>0</v>
      </c>
      <c r="P216" t="s" s="306">
        <f>E216&amp;I216</f>
        <v>311</v>
      </c>
      <c r="Q216" s="286"/>
      <c r="R216" s="298"/>
      <c r="S216" s="298"/>
    </row>
    <row r="217" ht="15" customHeight="1">
      <c r="A217" t="s" s="276">
        <f>B217&amp;E217&amp;I217</f>
        <v>900</v>
      </c>
      <c r="B217" s="351">
        <f>B216</f>
        <v>6</v>
      </c>
      <c r="C217" t="s" s="300">
        <f>C216</f>
        <v>868</v>
      </c>
      <c r="D217" t="s" s="300">
        <v>854</v>
      </c>
      <c r="E217" s="301">
        <v>2</v>
      </c>
      <c r="F217" t="s" s="300">
        <v>885</v>
      </c>
      <c r="G217" t="s" s="352">
        <v>886</v>
      </c>
      <c r="H217" t="s" s="353">
        <v>171</v>
      </c>
      <c r="I217" s="305">
        <v>6</v>
      </c>
      <c r="J217" s="284"/>
      <c r="K217" t="s" s="306">
        <v>171</v>
      </c>
      <c r="L217" s="312"/>
      <c r="M217" s="284"/>
      <c r="N217" s="284"/>
      <c r="O217" s="310">
        <f>_xlfn.IFERROR(VLOOKUP($P217,'Suppl'!$B$2:$N$57,MATCH($B217,'Suppl'!$C$1:$N$1,0)+1,FALSE),"")</f>
        <v>0</v>
      </c>
      <c r="P217" t="s" s="306">
        <f>E217&amp;I217</f>
        <v>315</v>
      </c>
      <c r="Q217" s="286"/>
      <c r="R217" s="298"/>
      <c r="S217" s="298"/>
    </row>
    <row r="218" ht="15" customHeight="1">
      <c r="A218" t="s" s="276">
        <f>B218&amp;E218&amp;I218</f>
        <v>901</v>
      </c>
      <c r="B218" s="354">
        <f>B217</f>
        <v>6</v>
      </c>
      <c r="C218" t="s" s="315">
        <f>C217</f>
        <v>868</v>
      </c>
      <c r="D218" t="s" s="315">
        <v>854</v>
      </c>
      <c r="E218" s="316">
        <v>2</v>
      </c>
      <c r="F218" t="s" s="315">
        <v>885</v>
      </c>
      <c r="G218" t="s" s="355">
        <v>886</v>
      </c>
      <c r="H218" t="s" s="353">
        <v>171</v>
      </c>
      <c r="I218" s="319">
        <v>7</v>
      </c>
      <c r="J218" s="330"/>
      <c r="K218" t="s" s="320">
        <v>171</v>
      </c>
      <c r="L218" s="321"/>
      <c r="M218" s="330"/>
      <c r="N218" s="330"/>
      <c r="O218" s="324">
        <f>_xlfn.IFERROR(VLOOKUP($P218,'Suppl'!$B$2:$N$57,MATCH($B218,'Suppl'!$C$1:$N$1,0)+1,FALSE),"")</f>
        <v>0</v>
      </c>
      <c r="P218" t="s" s="320">
        <f>E218&amp;I218</f>
        <v>319</v>
      </c>
      <c r="Q218" s="286"/>
      <c r="R218" s="298"/>
      <c r="S218" s="298"/>
    </row>
    <row r="219" ht="15" customHeight="1">
      <c r="A219" t="s" s="276">
        <f>B219&amp;E219&amp;I219</f>
        <v>107</v>
      </c>
      <c r="B219" s="356">
        <f>B218</f>
        <v>6</v>
      </c>
      <c r="C219" t="s" s="326">
        <f>C218</f>
        <v>868</v>
      </c>
      <c r="D219" t="s" s="326">
        <v>854</v>
      </c>
      <c r="E219" s="289">
        <v>3</v>
      </c>
      <c r="F219" t="s" s="288">
        <v>902</v>
      </c>
      <c r="G219" t="s" s="357">
        <v>903</v>
      </c>
      <c r="H219" t="s" s="353">
        <v>171</v>
      </c>
      <c r="I219" s="292">
        <v>1</v>
      </c>
      <c r="J219" t="s" s="288">
        <v>904</v>
      </c>
      <c r="K219" t="s" s="288">
        <v>283</v>
      </c>
      <c r="L219" s="327"/>
      <c r="M219" s="328"/>
      <c r="N219" s="328"/>
      <c r="O219" s="296">
        <f>_xlfn.IFERROR(VLOOKUP($P219,'Suppl'!$B$2:$N$57,MATCH($B219,'Suppl'!$C$1:$N$1,0)+1,FALSE),"")</f>
        <v>0</v>
      </c>
      <c r="P219" t="s" s="288">
        <f>E219&amp;I219</f>
        <v>325</v>
      </c>
      <c r="Q219" s="286"/>
      <c r="R219" s="298"/>
      <c r="S219" s="298"/>
    </row>
    <row r="220" ht="15" customHeight="1">
      <c r="A220" t="s" s="276">
        <f>B220&amp;E220&amp;I220</f>
        <v>905</v>
      </c>
      <c r="B220" s="351">
        <f>B219</f>
        <v>6</v>
      </c>
      <c r="C220" t="s" s="300">
        <f>C219</f>
        <v>868</v>
      </c>
      <c r="D220" t="s" s="300">
        <v>854</v>
      </c>
      <c r="E220" s="301">
        <v>3</v>
      </c>
      <c r="F220" t="s" s="300">
        <v>902</v>
      </c>
      <c r="G220" t="s" s="352">
        <v>903</v>
      </c>
      <c r="H220" t="s" s="353">
        <v>171</v>
      </c>
      <c r="I220" s="305">
        <v>2</v>
      </c>
      <c r="J220" t="s" s="306">
        <v>906</v>
      </c>
      <c r="K220" t="s" s="306">
        <v>271</v>
      </c>
      <c r="L220" t="s" s="307">
        <v>907</v>
      </c>
      <c r="M220" s="284"/>
      <c r="N220" s="284"/>
      <c r="O220" s="310">
        <f>_xlfn.IFERROR(VLOOKUP($P220,'Suppl'!$B$2:$N$57,MATCH($B220,'Suppl'!$C$1:$N$1,0)+1,FALSE),"")</f>
        <v>0</v>
      </c>
      <c r="P220" t="s" s="306">
        <f>E220&amp;I220</f>
        <v>329</v>
      </c>
      <c r="Q220" s="286"/>
      <c r="R220" s="298"/>
      <c r="S220" s="298"/>
    </row>
    <row r="221" ht="15" customHeight="1">
      <c r="A221" t="s" s="276">
        <f>B221&amp;E221&amp;I221</f>
        <v>908</v>
      </c>
      <c r="B221" s="351">
        <f>B220</f>
        <v>6</v>
      </c>
      <c r="C221" t="s" s="300">
        <f>C220</f>
        <v>868</v>
      </c>
      <c r="D221" t="s" s="300">
        <v>854</v>
      </c>
      <c r="E221" s="301">
        <v>3</v>
      </c>
      <c r="F221" t="s" s="300">
        <v>902</v>
      </c>
      <c r="G221" t="s" s="352">
        <v>903</v>
      </c>
      <c r="H221" t="s" s="353">
        <v>171</v>
      </c>
      <c r="I221" s="305">
        <v>3</v>
      </c>
      <c r="J221" t="s" s="306">
        <v>909</v>
      </c>
      <c r="K221" t="s" s="306">
        <v>291</v>
      </c>
      <c r="L221" t="s" s="307">
        <v>910</v>
      </c>
      <c r="M221" s="284"/>
      <c r="N221" s="284"/>
      <c r="O221" s="310">
        <f>_xlfn.IFERROR(VLOOKUP($P221,'Suppl'!$B$2:$N$57,MATCH($B221,'Suppl'!$C$1:$N$1,0)+1,FALSE),"")</f>
        <v>0</v>
      </c>
      <c r="P221" t="s" s="306">
        <f>E221&amp;I221</f>
        <v>333</v>
      </c>
      <c r="Q221" s="286"/>
      <c r="R221" s="298"/>
      <c r="S221" s="298"/>
    </row>
    <row r="222" ht="15" customHeight="1">
      <c r="A222" t="s" s="276">
        <f>B222&amp;E222&amp;I222</f>
        <v>911</v>
      </c>
      <c r="B222" s="351">
        <f>B221</f>
        <v>6</v>
      </c>
      <c r="C222" t="s" s="300">
        <f>C221</f>
        <v>868</v>
      </c>
      <c r="D222" t="s" s="300">
        <v>854</v>
      </c>
      <c r="E222" s="301">
        <v>3</v>
      </c>
      <c r="F222" t="s" s="300">
        <v>902</v>
      </c>
      <c r="G222" t="s" s="352">
        <v>903</v>
      </c>
      <c r="H222" t="s" s="353">
        <v>171</v>
      </c>
      <c r="I222" s="305">
        <v>4</v>
      </c>
      <c r="J222" t="s" s="306">
        <v>912</v>
      </c>
      <c r="K222" t="s" s="306">
        <v>271</v>
      </c>
      <c r="L222" s="312"/>
      <c r="M222" s="284"/>
      <c r="N222" s="284"/>
      <c r="O222" s="310">
        <f>_xlfn.IFERROR(VLOOKUP($P222,'Suppl'!$B$2:$N$57,MATCH($B222,'Suppl'!$C$1:$N$1,0)+1,FALSE),"")</f>
        <v>0</v>
      </c>
      <c r="P222" t="s" s="306">
        <f>E222&amp;I222</f>
        <v>336</v>
      </c>
      <c r="Q222" s="286"/>
      <c r="R222" s="298"/>
      <c r="S222" s="298"/>
    </row>
    <row r="223" ht="15" customHeight="1">
      <c r="A223" t="s" s="276">
        <f>B223&amp;E223&amp;I223</f>
        <v>913</v>
      </c>
      <c r="B223" s="351">
        <f>B222</f>
        <v>6</v>
      </c>
      <c r="C223" t="s" s="300">
        <f>C222</f>
        <v>868</v>
      </c>
      <c r="D223" t="s" s="300">
        <v>854</v>
      </c>
      <c r="E223" s="301">
        <v>3</v>
      </c>
      <c r="F223" t="s" s="300">
        <v>902</v>
      </c>
      <c r="G223" t="s" s="352">
        <v>903</v>
      </c>
      <c r="H223" t="s" s="353">
        <v>171</v>
      </c>
      <c r="I223" s="305">
        <v>5</v>
      </c>
      <c r="J223" t="s" s="306">
        <v>914</v>
      </c>
      <c r="K223" t="s" s="306">
        <v>291</v>
      </c>
      <c r="L223" t="s" s="307">
        <v>915</v>
      </c>
      <c r="M223" s="284"/>
      <c r="N223" s="284"/>
      <c r="O223" s="310">
        <f>_xlfn.IFERROR(VLOOKUP($P223,'Suppl'!$B$2:$N$57,MATCH($B223,'Suppl'!$C$1:$N$1,0)+1,FALSE),"")</f>
        <v>0</v>
      </c>
      <c r="P223" t="s" s="306">
        <f>E223&amp;I223</f>
        <v>338</v>
      </c>
      <c r="Q223" s="286"/>
      <c r="R223" s="298"/>
      <c r="S223" s="298"/>
    </row>
    <row r="224" ht="15" customHeight="1">
      <c r="A224" t="s" s="276">
        <f>B224&amp;E224&amp;I224</f>
        <v>916</v>
      </c>
      <c r="B224" s="351">
        <f>B223</f>
        <v>6</v>
      </c>
      <c r="C224" t="s" s="300">
        <f>C223</f>
        <v>868</v>
      </c>
      <c r="D224" t="s" s="300">
        <v>854</v>
      </c>
      <c r="E224" s="301">
        <v>3</v>
      </c>
      <c r="F224" t="s" s="300">
        <v>902</v>
      </c>
      <c r="G224" t="s" s="352">
        <v>903</v>
      </c>
      <c r="H224" t="s" s="353">
        <v>171</v>
      </c>
      <c r="I224" s="305">
        <v>6</v>
      </c>
      <c r="J224" s="284"/>
      <c r="K224" t="s" s="306">
        <v>171</v>
      </c>
      <c r="L224" s="312"/>
      <c r="M224" s="284"/>
      <c r="N224" s="284"/>
      <c r="O224" s="310">
        <f>_xlfn.IFERROR(VLOOKUP($P224,'Suppl'!$B$2:$N$57,MATCH($B224,'Suppl'!$C$1:$N$1,0)+1,FALSE),"")</f>
        <v>0</v>
      </c>
      <c r="P224" t="s" s="306">
        <f>E224&amp;I224</f>
        <v>340</v>
      </c>
      <c r="Q224" s="286"/>
      <c r="R224" s="298"/>
      <c r="S224" s="298"/>
    </row>
    <row r="225" ht="15" customHeight="1">
      <c r="A225" t="s" s="276">
        <f>B225&amp;E225&amp;I225</f>
        <v>917</v>
      </c>
      <c r="B225" s="354">
        <f>B224</f>
        <v>6</v>
      </c>
      <c r="C225" t="s" s="315">
        <f>C224</f>
        <v>868</v>
      </c>
      <c r="D225" t="s" s="315">
        <v>854</v>
      </c>
      <c r="E225" s="316">
        <v>3</v>
      </c>
      <c r="F225" t="s" s="315">
        <v>902</v>
      </c>
      <c r="G225" t="s" s="355">
        <v>903</v>
      </c>
      <c r="H225" t="s" s="353">
        <v>171</v>
      </c>
      <c r="I225" s="319">
        <v>7</v>
      </c>
      <c r="J225" s="330"/>
      <c r="K225" t="s" s="320">
        <v>171</v>
      </c>
      <c r="L225" s="321"/>
      <c r="M225" s="330"/>
      <c r="N225" s="330"/>
      <c r="O225" s="324">
        <f>_xlfn.IFERROR(VLOOKUP($P225,'Suppl'!$B$2:$N$57,MATCH($B225,'Suppl'!$C$1:$N$1,0)+1,FALSE),"")</f>
        <v>0</v>
      </c>
      <c r="P225" t="s" s="320">
        <f>E225&amp;I225</f>
        <v>342</v>
      </c>
      <c r="Q225" s="286"/>
      <c r="R225" s="298"/>
      <c r="S225" s="298"/>
    </row>
    <row r="226" ht="15" customHeight="1">
      <c r="A226" t="s" s="276">
        <f>B226&amp;E226&amp;I226</f>
        <v>110</v>
      </c>
      <c r="B226" s="356">
        <f>B225</f>
        <v>6</v>
      </c>
      <c r="C226" t="s" s="326">
        <f>C225</f>
        <v>868</v>
      </c>
      <c r="D226" t="s" s="326">
        <v>854</v>
      </c>
      <c r="E226" s="289">
        <v>4</v>
      </c>
      <c r="F226" t="s" s="288">
        <v>918</v>
      </c>
      <c r="G226" t="s" s="357">
        <v>919</v>
      </c>
      <c r="H226" t="s" s="353">
        <v>171</v>
      </c>
      <c r="I226" s="292">
        <v>1</v>
      </c>
      <c r="J226" t="s" s="288">
        <v>920</v>
      </c>
      <c r="K226" t="s" s="288">
        <v>271</v>
      </c>
      <c r="L226" t="s" s="293">
        <v>921</v>
      </c>
      <c r="M226" s="328"/>
      <c r="N226" s="328"/>
      <c r="O226" s="296">
        <f>_xlfn.IFERROR(VLOOKUP($P226,'Suppl'!$B$2:$N$57,MATCH($B226,'Suppl'!$C$1:$N$1,0)+1,FALSE),"")</f>
        <v>0</v>
      </c>
      <c r="P226" t="s" s="288">
        <f>E226&amp;I226</f>
        <v>348</v>
      </c>
      <c r="Q226" s="286"/>
      <c r="R226" s="298"/>
      <c r="S226" s="298"/>
    </row>
    <row r="227" ht="15" customHeight="1">
      <c r="A227" t="s" s="276">
        <f>B227&amp;E227&amp;I227</f>
        <v>922</v>
      </c>
      <c r="B227" s="351">
        <f>B226</f>
        <v>6</v>
      </c>
      <c r="C227" t="s" s="300">
        <f>C226</f>
        <v>868</v>
      </c>
      <c r="D227" t="s" s="300">
        <v>854</v>
      </c>
      <c r="E227" s="301">
        <v>4</v>
      </c>
      <c r="F227" t="s" s="300">
        <v>918</v>
      </c>
      <c r="G227" t="s" s="352">
        <v>919</v>
      </c>
      <c r="H227" t="s" s="353">
        <v>171</v>
      </c>
      <c r="I227" s="305">
        <v>2</v>
      </c>
      <c r="J227" t="s" s="306">
        <v>923</v>
      </c>
      <c r="K227" t="s" s="306">
        <v>291</v>
      </c>
      <c r="L227" s="312"/>
      <c r="M227" s="284"/>
      <c r="N227" s="284"/>
      <c r="O227" s="310">
        <f>_xlfn.IFERROR(VLOOKUP($P227,'Suppl'!$B$2:$N$57,MATCH($B227,'Suppl'!$C$1:$N$1,0)+1,FALSE),"")</f>
        <v>0</v>
      </c>
      <c r="P227" t="s" s="306">
        <f>E227&amp;I227</f>
        <v>351</v>
      </c>
      <c r="Q227" s="286"/>
      <c r="R227" s="298"/>
      <c r="S227" s="298"/>
    </row>
    <row r="228" ht="15" customHeight="1">
      <c r="A228" t="s" s="276">
        <f>B228&amp;E228&amp;I228</f>
        <v>924</v>
      </c>
      <c r="B228" s="351">
        <f>B227</f>
        <v>6</v>
      </c>
      <c r="C228" t="s" s="300">
        <f>C227</f>
        <v>868</v>
      </c>
      <c r="D228" t="s" s="300">
        <v>854</v>
      </c>
      <c r="E228" s="301">
        <v>4</v>
      </c>
      <c r="F228" t="s" s="300">
        <v>918</v>
      </c>
      <c r="G228" t="s" s="352">
        <v>919</v>
      </c>
      <c r="H228" t="s" s="353">
        <v>171</v>
      </c>
      <c r="I228" s="305">
        <v>3</v>
      </c>
      <c r="J228" t="s" s="306">
        <v>925</v>
      </c>
      <c r="K228" t="s" s="306">
        <v>283</v>
      </c>
      <c r="L228" t="s" s="307">
        <v>926</v>
      </c>
      <c r="M228" s="284"/>
      <c r="N228" s="284"/>
      <c r="O228" s="310">
        <f>_xlfn.IFERROR(VLOOKUP($P228,'Suppl'!$B$2:$N$57,MATCH($B228,'Suppl'!$C$1:$N$1,0)+1,FALSE),"")</f>
        <v>0</v>
      </c>
      <c r="P228" t="s" s="306">
        <f>E228&amp;I228</f>
        <v>354</v>
      </c>
      <c r="Q228" s="286"/>
      <c r="R228" s="298"/>
      <c r="S228" s="298"/>
    </row>
    <row r="229" ht="15" customHeight="1">
      <c r="A229" t="s" s="276">
        <f>B229&amp;E229&amp;I229</f>
        <v>927</v>
      </c>
      <c r="B229" s="351">
        <f>B228</f>
        <v>6</v>
      </c>
      <c r="C229" t="s" s="300">
        <f>C228</f>
        <v>868</v>
      </c>
      <c r="D229" t="s" s="300">
        <v>854</v>
      </c>
      <c r="E229" s="301">
        <v>4</v>
      </c>
      <c r="F229" t="s" s="300">
        <v>918</v>
      </c>
      <c r="G229" t="s" s="352">
        <v>919</v>
      </c>
      <c r="H229" t="s" s="353">
        <v>171</v>
      </c>
      <c r="I229" s="305">
        <v>4</v>
      </c>
      <c r="J229" t="s" s="306">
        <v>928</v>
      </c>
      <c r="K229" t="s" s="306">
        <v>256</v>
      </c>
      <c r="L229" t="s" s="307">
        <v>929</v>
      </c>
      <c r="M229" s="284"/>
      <c r="N229" s="284"/>
      <c r="O229" s="310">
        <f>_xlfn.IFERROR(VLOOKUP($P229,'Suppl'!$B$2:$N$57,MATCH($B229,'Suppl'!$C$1:$N$1,0)+1,FALSE),"")</f>
        <v>0</v>
      </c>
      <c r="P229" t="s" s="306">
        <f>E229&amp;I229</f>
        <v>357</v>
      </c>
      <c r="Q229" s="286"/>
      <c r="R229" s="298"/>
      <c r="S229" s="298"/>
    </row>
    <row r="230" ht="15" customHeight="1">
      <c r="A230" t="s" s="276">
        <f>B230&amp;E230&amp;I230</f>
        <v>930</v>
      </c>
      <c r="B230" s="351">
        <f>B229</f>
        <v>6</v>
      </c>
      <c r="C230" t="s" s="300">
        <f>C229</f>
        <v>868</v>
      </c>
      <c r="D230" t="s" s="300">
        <v>854</v>
      </c>
      <c r="E230" s="301">
        <v>4</v>
      </c>
      <c r="F230" t="s" s="300">
        <v>918</v>
      </c>
      <c r="G230" t="s" s="352">
        <v>919</v>
      </c>
      <c r="H230" t="s" s="353">
        <v>171</v>
      </c>
      <c r="I230" s="305">
        <v>5</v>
      </c>
      <c r="J230" s="284"/>
      <c r="K230" t="s" s="306">
        <v>171</v>
      </c>
      <c r="L230" s="312"/>
      <c r="M230" s="284"/>
      <c r="N230" s="284"/>
      <c r="O230" s="310">
        <f>_xlfn.IFERROR(VLOOKUP($P230,'Suppl'!$B$2:$N$57,MATCH($B230,'Suppl'!$C$1:$N$1,0)+1,FALSE),"")</f>
        <v>0</v>
      </c>
      <c r="P230" t="s" s="306">
        <f>E230&amp;I230</f>
        <v>360</v>
      </c>
      <c r="Q230" s="286"/>
      <c r="R230" s="298"/>
      <c r="S230" s="298"/>
    </row>
    <row r="231" ht="15" customHeight="1">
      <c r="A231" t="s" s="276">
        <f>B231&amp;E231&amp;I231</f>
        <v>931</v>
      </c>
      <c r="B231" s="351">
        <f>B230</f>
        <v>6</v>
      </c>
      <c r="C231" t="s" s="300">
        <f>C230</f>
        <v>868</v>
      </c>
      <c r="D231" t="s" s="300">
        <v>854</v>
      </c>
      <c r="E231" s="301">
        <v>4</v>
      </c>
      <c r="F231" t="s" s="300">
        <v>918</v>
      </c>
      <c r="G231" t="s" s="352">
        <v>919</v>
      </c>
      <c r="H231" t="s" s="353">
        <v>171</v>
      </c>
      <c r="I231" s="305">
        <v>6</v>
      </c>
      <c r="J231" s="284"/>
      <c r="K231" t="s" s="306">
        <v>171</v>
      </c>
      <c r="L231" s="312"/>
      <c r="M231" s="284"/>
      <c r="N231" s="284"/>
      <c r="O231" s="310">
        <f>_xlfn.IFERROR(VLOOKUP($P231,'Suppl'!$B$2:$N$57,MATCH($B231,'Suppl'!$C$1:$N$1,0)+1,FALSE),"")</f>
        <v>0</v>
      </c>
      <c r="P231" t="s" s="306">
        <f>E231&amp;I231</f>
        <v>363</v>
      </c>
      <c r="Q231" s="286"/>
      <c r="R231" s="298"/>
      <c r="S231" s="298"/>
    </row>
    <row r="232" ht="15" customHeight="1">
      <c r="A232" t="s" s="276">
        <f>B232&amp;E232&amp;I232</f>
        <v>932</v>
      </c>
      <c r="B232" s="354">
        <f>B231</f>
        <v>6</v>
      </c>
      <c r="C232" t="s" s="315">
        <f>C231</f>
        <v>868</v>
      </c>
      <c r="D232" t="s" s="315">
        <v>854</v>
      </c>
      <c r="E232" s="316">
        <v>4</v>
      </c>
      <c r="F232" t="s" s="315">
        <v>918</v>
      </c>
      <c r="G232" t="s" s="355">
        <v>919</v>
      </c>
      <c r="H232" t="s" s="353">
        <v>171</v>
      </c>
      <c r="I232" s="319">
        <v>7</v>
      </c>
      <c r="J232" s="330"/>
      <c r="K232" t="s" s="320">
        <v>171</v>
      </c>
      <c r="L232" s="321"/>
      <c r="M232" s="330"/>
      <c r="N232" s="330"/>
      <c r="O232" s="324">
        <f>_xlfn.IFERROR(VLOOKUP($P232,'Suppl'!$B$2:$N$57,MATCH($B232,'Suppl'!$C$1:$N$1,0)+1,FALSE),"")</f>
        <v>0</v>
      </c>
      <c r="P232" t="s" s="320">
        <f>E232&amp;I232</f>
        <v>365</v>
      </c>
      <c r="Q232" s="286"/>
      <c r="R232" s="298"/>
      <c r="S232" s="298"/>
    </row>
    <row r="233" ht="15" customHeight="1">
      <c r="A233" t="s" s="276">
        <f>B233&amp;E233&amp;I233</f>
        <v>113</v>
      </c>
      <c r="B233" s="356">
        <f>B232</f>
        <v>6</v>
      </c>
      <c r="C233" t="s" s="326">
        <f>C232</f>
        <v>868</v>
      </c>
      <c r="D233" t="s" s="326">
        <v>854</v>
      </c>
      <c r="E233" s="289">
        <v>5</v>
      </c>
      <c r="F233" t="s" s="288">
        <v>933</v>
      </c>
      <c r="G233" t="s" s="357">
        <v>934</v>
      </c>
      <c r="H233" t="s" s="353">
        <v>171</v>
      </c>
      <c r="I233" s="292">
        <v>1</v>
      </c>
      <c r="J233" t="s" s="288">
        <v>935</v>
      </c>
      <c r="K233" t="s" s="288">
        <v>283</v>
      </c>
      <c r="L233" t="s" s="293">
        <v>936</v>
      </c>
      <c r="M233" s="328"/>
      <c r="N233" s="328"/>
      <c r="O233" s="296">
        <f>_xlfn.IFERROR(VLOOKUP($P233,'Suppl'!$B$2:$N$57,MATCH($B233,'Suppl'!$C$1:$N$1,0)+1,FALSE),"")</f>
        <v>0</v>
      </c>
      <c r="P233" t="s" s="288">
        <f>E233&amp;I233</f>
        <v>370</v>
      </c>
      <c r="Q233" s="286"/>
      <c r="R233" s="298"/>
      <c r="S233" s="298"/>
    </row>
    <row r="234" ht="15" customHeight="1">
      <c r="A234" t="s" s="276">
        <f>B234&amp;E234&amp;I234</f>
        <v>937</v>
      </c>
      <c r="B234" s="351">
        <f>B233</f>
        <v>6</v>
      </c>
      <c r="C234" t="s" s="300">
        <f>C233</f>
        <v>868</v>
      </c>
      <c r="D234" t="s" s="300">
        <v>854</v>
      </c>
      <c r="E234" s="301">
        <v>5</v>
      </c>
      <c r="F234" t="s" s="300">
        <v>933</v>
      </c>
      <c r="G234" t="s" s="352">
        <v>934</v>
      </c>
      <c r="H234" t="s" s="353">
        <v>171</v>
      </c>
      <c r="I234" s="305">
        <v>2</v>
      </c>
      <c r="J234" t="s" s="306">
        <v>938</v>
      </c>
      <c r="K234" t="s" s="306">
        <v>263</v>
      </c>
      <c r="L234" t="s" s="307">
        <v>939</v>
      </c>
      <c r="M234" s="284"/>
      <c r="N234" s="284"/>
      <c r="O234" s="310">
        <f>_xlfn.IFERROR(VLOOKUP($P234,'Suppl'!$B$2:$N$57,MATCH($B234,'Suppl'!$C$1:$N$1,0)+1,FALSE),"")</f>
        <v>0</v>
      </c>
      <c r="P234" t="s" s="306">
        <f>E234&amp;I234</f>
        <v>374</v>
      </c>
      <c r="Q234" s="286"/>
      <c r="R234" s="298"/>
      <c r="S234" s="298"/>
    </row>
    <row r="235" ht="15" customHeight="1">
      <c r="A235" t="s" s="276">
        <f>B235&amp;E235&amp;I235</f>
        <v>940</v>
      </c>
      <c r="B235" s="351">
        <f>B234</f>
        <v>6</v>
      </c>
      <c r="C235" t="s" s="300">
        <f>C234</f>
        <v>868</v>
      </c>
      <c r="D235" t="s" s="300">
        <v>854</v>
      </c>
      <c r="E235" s="301">
        <v>5</v>
      </c>
      <c r="F235" t="s" s="300">
        <v>933</v>
      </c>
      <c r="G235" t="s" s="352">
        <v>934</v>
      </c>
      <c r="H235" t="s" s="353">
        <v>171</v>
      </c>
      <c r="I235" s="305">
        <v>3</v>
      </c>
      <c r="J235" t="s" s="306">
        <v>941</v>
      </c>
      <c r="K235" t="s" s="306">
        <v>291</v>
      </c>
      <c r="L235" t="s" s="307">
        <v>942</v>
      </c>
      <c r="M235" s="284"/>
      <c r="N235" s="284"/>
      <c r="O235" s="310">
        <f>_xlfn.IFERROR(VLOOKUP($P235,'Suppl'!$B$2:$N$57,MATCH($B235,'Suppl'!$C$1:$N$1,0)+1,FALSE),"")</f>
        <v>0</v>
      </c>
      <c r="P235" t="s" s="306">
        <f>E235&amp;I235</f>
        <v>377</v>
      </c>
      <c r="Q235" s="286"/>
      <c r="R235" s="298"/>
      <c r="S235" s="298"/>
    </row>
    <row r="236" ht="15" customHeight="1">
      <c r="A236" t="s" s="276">
        <f>B236&amp;E236&amp;I236</f>
        <v>943</v>
      </c>
      <c r="B236" s="351">
        <f>B235</f>
        <v>6</v>
      </c>
      <c r="C236" t="s" s="300">
        <f>C235</f>
        <v>868</v>
      </c>
      <c r="D236" t="s" s="300">
        <v>854</v>
      </c>
      <c r="E236" s="301">
        <v>5</v>
      </c>
      <c r="F236" t="s" s="300">
        <v>933</v>
      </c>
      <c r="G236" t="s" s="352">
        <v>934</v>
      </c>
      <c r="H236" t="s" s="353">
        <v>171</v>
      </c>
      <c r="I236" s="305">
        <v>4</v>
      </c>
      <c r="J236" t="s" s="306">
        <v>944</v>
      </c>
      <c r="K236" t="s" s="306">
        <v>263</v>
      </c>
      <c r="L236" t="s" s="307">
        <v>945</v>
      </c>
      <c r="M236" s="284"/>
      <c r="N236" s="284"/>
      <c r="O236" s="310">
        <f>_xlfn.IFERROR(VLOOKUP($P236,'Suppl'!$B$2:$N$57,MATCH($B236,'Suppl'!$C$1:$N$1,0)+1,FALSE),"")</f>
        <v>0</v>
      </c>
      <c r="P236" t="s" s="306">
        <f>E236&amp;I236</f>
        <v>380</v>
      </c>
      <c r="Q236" s="286"/>
      <c r="R236" s="298"/>
      <c r="S236" s="298"/>
    </row>
    <row r="237" ht="15" customHeight="1">
      <c r="A237" t="s" s="276">
        <f>B237&amp;E237&amp;I237</f>
        <v>946</v>
      </c>
      <c r="B237" s="351">
        <f>B236</f>
        <v>6</v>
      </c>
      <c r="C237" t="s" s="300">
        <f>C236</f>
        <v>868</v>
      </c>
      <c r="D237" t="s" s="300">
        <v>854</v>
      </c>
      <c r="E237" s="301">
        <v>5</v>
      </c>
      <c r="F237" t="s" s="300">
        <v>933</v>
      </c>
      <c r="G237" t="s" s="352">
        <v>934</v>
      </c>
      <c r="H237" t="s" s="353">
        <v>171</v>
      </c>
      <c r="I237" s="305">
        <v>5</v>
      </c>
      <c r="J237" t="s" s="306">
        <v>947</v>
      </c>
      <c r="K237" t="s" s="306">
        <v>271</v>
      </c>
      <c r="L237" t="s" s="307">
        <v>948</v>
      </c>
      <c r="M237" s="284"/>
      <c r="N237" s="284"/>
      <c r="O237" s="310">
        <f>_xlfn.IFERROR(VLOOKUP($P237,'Suppl'!$B$2:$N$57,MATCH($B237,'Suppl'!$C$1:$N$1,0)+1,FALSE),"")</f>
        <v>0</v>
      </c>
      <c r="P237" t="s" s="306">
        <f>E237&amp;I237</f>
        <v>383</v>
      </c>
      <c r="Q237" s="286"/>
      <c r="R237" s="298"/>
      <c r="S237" s="298"/>
    </row>
    <row r="238" ht="15" customHeight="1">
      <c r="A238" t="s" s="276">
        <f>B238&amp;E238&amp;I238</f>
        <v>949</v>
      </c>
      <c r="B238" s="351">
        <f>B237</f>
        <v>6</v>
      </c>
      <c r="C238" t="s" s="300">
        <f>C237</f>
        <v>868</v>
      </c>
      <c r="D238" t="s" s="300">
        <v>854</v>
      </c>
      <c r="E238" s="301">
        <v>5</v>
      </c>
      <c r="F238" t="s" s="300">
        <v>933</v>
      </c>
      <c r="G238" t="s" s="352">
        <v>934</v>
      </c>
      <c r="H238" t="s" s="353">
        <v>171</v>
      </c>
      <c r="I238" s="305">
        <v>6</v>
      </c>
      <c r="J238" t="s" s="306">
        <v>950</v>
      </c>
      <c r="K238" t="s" s="306">
        <v>291</v>
      </c>
      <c r="L238" t="s" s="307">
        <v>951</v>
      </c>
      <c r="M238" s="284"/>
      <c r="N238" s="284"/>
      <c r="O238" s="310">
        <f>_xlfn.IFERROR(VLOOKUP($P238,'Suppl'!$B$2:$N$57,MATCH($B238,'Suppl'!$C$1:$N$1,0)+1,FALSE),"")</f>
        <v>0</v>
      </c>
      <c r="P238" t="s" s="306">
        <f>E238&amp;I238</f>
        <v>385</v>
      </c>
      <c r="Q238" s="286"/>
      <c r="R238" s="298"/>
      <c r="S238" s="298"/>
    </row>
    <row r="239" ht="15" customHeight="1">
      <c r="A239" t="s" s="276">
        <f>B239&amp;E239&amp;I239</f>
        <v>952</v>
      </c>
      <c r="B239" s="354">
        <f>B238</f>
        <v>6</v>
      </c>
      <c r="C239" t="s" s="315">
        <f>C238</f>
        <v>868</v>
      </c>
      <c r="D239" t="s" s="315">
        <v>854</v>
      </c>
      <c r="E239" s="316">
        <v>5</v>
      </c>
      <c r="F239" t="s" s="315">
        <v>933</v>
      </c>
      <c r="G239" t="s" s="355">
        <v>934</v>
      </c>
      <c r="H239" t="s" s="353">
        <v>171</v>
      </c>
      <c r="I239" s="319">
        <v>7</v>
      </c>
      <c r="J239" s="330"/>
      <c r="K239" t="s" s="320">
        <v>171</v>
      </c>
      <c r="L239" s="321"/>
      <c r="M239" s="330"/>
      <c r="N239" s="330"/>
      <c r="O239" s="324">
        <f>_xlfn.IFERROR(VLOOKUP($P239,'Suppl'!$B$2:$N$57,MATCH($B239,'Suppl'!$C$1:$N$1,0)+1,FALSE),"")</f>
        <v>0</v>
      </c>
      <c r="P239" t="s" s="320">
        <f>E239&amp;I239</f>
        <v>387</v>
      </c>
      <c r="Q239" s="286"/>
      <c r="R239" s="298"/>
      <c r="S239" s="298"/>
    </row>
    <row r="240" ht="15" customHeight="1">
      <c r="A240" t="s" s="276">
        <f>B240&amp;E240&amp;I240</f>
        <v>115</v>
      </c>
      <c r="B240" s="356">
        <f>B239</f>
        <v>6</v>
      </c>
      <c r="C240" t="s" s="326">
        <f>C239</f>
        <v>868</v>
      </c>
      <c r="D240" t="s" s="326">
        <v>854</v>
      </c>
      <c r="E240" s="289">
        <v>6</v>
      </c>
      <c r="F240" t="s" s="288">
        <v>953</v>
      </c>
      <c r="G240" t="s" s="357">
        <v>954</v>
      </c>
      <c r="H240" t="s" s="353">
        <v>955</v>
      </c>
      <c r="I240" s="292">
        <v>1</v>
      </c>
      <c r="J240" t="s" s="288">
        <v>956</v>
      </c>
      <c r="K240" t="s" s="288">
        <v>263</v>
      </c>
      <c r="L240" t="s" s="293">
        <v>957</v>
      </c>
      <c r="M240" s="328"/>
      <c r="N240" s="366"/>
      <c r="O240" s="367">
        <f>_xlfn.IFERROR(VLOOKUP($P240,'Suppl'!$B$2:$N$57,MATCH($B240,'Suppl'!$C$1:$N$1,0)+1,FALSE),"")</f>
        <v>0</v>
      </c>
      <c r="P240" t="s" s="394">
        <f>E240&amp;I240</f>
        <v>479</v>
      </c>
      <c r="Q240" s="298"/>
      <c r="R240" s="298"/>
      <c r="S240" s="298"/>
    </row>
    <row r="241" ht="15" customHeight="1">
      <c r="A241" t="s" s="276">
        <f>B241&amp;E241&amp;I241</f>
        <v>958</v>
      </c>
      <c r="B241" s="351">
        <f>B240</f>
        <v>6</v>
      </c>
      <c r="C241" t="s" s="300">
        <f>C240</f>
        <v>868</v>
      </c>
      <c r="D241" t="s" s="300">
        <v>854</v>
      </c>
      <c r="E241" s="301">
        <v>6</v>
      </c>
      <c r="F241" t="s" s="300">
        <v>953</v>
      </c>
      <c r="G241" t="s" s="352">
        <v>954</v>
      </c>
      <c r="H241" t="s" s="353">
        <v>171</v>
      </c>
      <c r="I241" s="305">
        <v>2</v>
      </c>
      <c r="J241" t="s" s="306">
        <v>959</v>
      </c>
      <c r="K241" t="s" s="306">
        <v>263</v>
      </c>
      <c r="L241" t="s" s="307">
        <v>960</v>
      </c>
      <c r="M241" s="284"/>
      <c r="N241" s="369"/>
      <c r="O241" s="370">
        <f>_xlfn.IFERROR(VLOOKUP($P241,'Suppl'!$B$2:$N$57,MATCH($B241,'Suppl'!$C$1:$N$1,0)+1,FALSE),"")</f>
        <v>0</v>
      </c>
      <c r="P241" t="s" s="383">
        <f>E241&amp;I241</f>
        <v>483</v>
      </c>
      <c r="Q241" s="298"/>
      <c r="R241" s="298"/>
      <c r="S241" s="298"/>
    </row>
    <row r="242" ht="15" customHeight="1">
      <c r="A242" t="s" s="276">
        <f>B242&amp;E242&amp;I242</f>
        <v>961</v>
      </c>
      <c r="B242" s="351">
        <f>B241</f>
        <v>6</v>
      </c>
      <c r="C242" t="s" s="300">
        <f>C241</f>
        <v>868</v>
      </c>
      <c r="D242" t="s" s="300">
        <v>854</v>
      </c>
      <c r="E242" s="301">
        <v>6</v>
      </c>
      <c r="F242" t="s" s="300">
        <v>953</v>
      </c>
      <c r="G242" t="s" s="352">
        <v>954</v>
      </c>
      <c r="H242" t="s" s="353">
        <v>171</v>
      </c>
      <c r="I242" s="305">
        <v>3</v>
      </c>
      <c r="J242" t="s" s="306">
        <v>962</v>
      </c>
      <c r="K242" t="s" s="306">
        <v>271</v>
      </c>
      <c r="L242" t="s" s="307">
        <v>963</v>
      </c>
      <c r="M242" s="284"/>
      <c r="N242" s="369"/>
      <c r="O242" s="370">
        <f>_xlfn.IFERROR(VLOOKUP($P242,'Suppl'!$B$2:$N$57,MATCH($B242,'Suppl'!$C$1:$N$1,0)+1,FALSE),"")</f>
        <v>0</v>
      </c>
      <c r="P242" t="s" s="383">
        <f>E242&amp;I242</f>
        <v>487</v>
      </c>
      <c r="Q242" s="298"/>
      <c r="R242" s="298"/>
      <c r="S242" s="298"/>
    </row>
    <row r="243" ht="15" customHeight="1">
      <c r="A243" t="s" s="276">
        <f>B243&amp;E243&amp;I243</f>
        <v>964</v>
      </c>
      <c r="B243" s="351">
        <f>B242</f>
        <v>6</v>
      </c>
      <c r="C243" t="s" s="300">
        <f>C242</f>
        <v>868</v>
      </c>
      <c r="D243" t="s" s="300">
        <v>854</v>
      </c>
      <c r="E243" s="301">
        <v>6</v>
      </c>
      <c r="F243" t="s" s="300">
        <v>953</v>
      </c>
      <c r="G243" t="s" s="352">
        <v>954</v>
      </c>
      <c r="H243" t="s" s="353">
        <v>171</v>
      </c>
      <c r="I243" s="305">
        <v>4</v>
      </c>
      <c r="J243" t="s" s="306">
        <v>965</v>
      </c>
      <c r="K243" t="s" s="306">
        <v>291</v>
      </c>
      <c r="L243" t="s" s="307">
        <v>966</v>
      </c>
      <c r="M243" s="284"/>
      <c r="N243" s="369"/>
      <c r="O243" s="370">
        <f>_xlfn.IFERROR(VLOOKUP($P243,'Suppl'!$B$2:$N$57,MATCH($B243,'Suppl'!$C$1:$N$1,0)+1,FALSE),"")</f>
        <v>0</v>
      </c>
      <c r="P243" t="s" s="383">
        <f>E243&amp;I243</f>
        <v>490</v>
      </c>
      <c r="Q243" s="298"/>
      <c r="R243" s="298"/>
      <c r="S243" s="298"/>
    </row>
    <row r="244" ht="15" customHeight="1">
      <c r="A244" t="s" s="276">
        <f>B244&amp;E244&amp;I244</f>
        <v>967</v>
      </c>
      <c r="B244" s="351">
        <f>B243</f>
        <v>6</v>
      </c>
      <c r="C244" t="s" s="300">
        <f>C243</f>
        <v>868</v>
      </c>
      <c r="D244" t="s" s="300">
        <v>854</v>
      </c>
      <c r="E244" s="301">
        <v>6</v>
      </c>
      <c r="F244" t="s" s="300">
        <v>953</v>
      </c>
      <c r="G244" t="s" s="352">
        <v>954</v>
      </c>
      <c r="H244" t="s" s="353">
        <v>171</v>
      </c>
      <c r="I244" s="305">
        <v>5</v>
      </c>
      <c r="J244" t="s" s="306">
        <v>968</v>
      </c>
      <c r="K244" t="s" s="306">
        <v>283</v>
      </c>
      <c r="L244" s="312"/>
      <c r="M244" s="284"/>
      <c r="N244" s="369"/>
      <c r="O244" s="370">
        <f>_xlfn.IFERROR(VLOOKUP($P244,'Suppl'!$B$2:$N$57,MATCH($B244,'Suppl'!$C$1:$N$1,0)+1,FALSE),"")</f>
        <v>0</v>
      </c>
      <c r="P244" t="s" s="383">
        <f>E244&amp;I244</f>
        <v>492</v>
      </c>
      <c r="Q244" s="298"/>
      <c r="R244" s="298"/>
      <c r="S244" s="298"/>
    </row>
    <row r="245" ht="15" customHeight="1">
      <c r="A245" t="s" s="276">
        <f>B245&amp;E245&amp;I245</f>
        <v>969</v>
      </c>
      <c r="B245" s="351">
        <f>B244</f>
        <v>6</v>
      </c>
      <c r="C245" t="s" s="300">
        <f>C244</f>
        <v>868</v>
      </c>
      <c r="D245" t="s" s="300">
        <v>854</v>
      </c>
      <c r="E245" s="301">
        <v>6</v>
      </c>
      <c r="F245" t="s" s="300">
        <v>953</v>
      </c>
      <c r="G245" t="s" s="352">
        <v>954</v>
      </c>
      <c r="H245" t="s" s="353">
        <v>171</v>
      </c>
      <c r="I245" s="305">
        <v>6</v>
      </c>
      <c r="J245" t="s" s="306">
        <v>970</v>
      </c>
      <c r="K245" t="s" s="306">
        <v>263</v>
      </c>
      <c r="L245" t="s" s="307">
        <v>971</v>
      </c>
      <c r="M245" s="284"/>
      <c r="N245" s="369"/>
      <c r="O245" s="370">
        <f>_xlfn.IFERROR(VLOOKUP($P245,'Suppl'!$B$2:$N$57,MATCH($B245,'Suppl'!$C$1:$N$1,0)+1,FALSE),"")</f>
        <v>0</v>
      </c>
      <c r="P245" t="s" s="383">
        <f>E245&amp;I245</f>
        <v>494</v>
      </c>
      <c r="Q245" s="298"/>
      <c r="R245" s="298"/>
      <c r="S245" s="298"/>
    </row>
    <row r="246" ht="15" customHeight="1">
      <c r="A246" t="s" s="276">
        <f>B246&amp;E246&amp;I246</f>
        <v>972</v>
      </c>
      <c r="B246" s="384">
        <f>B245</f>
        <v>6</v>
      </c>
      <c r="C246" t="s" s="332">
        <f>C245</f>
        <v>868</v>
      </c>
      <c r="D246" t="s" s="332">
        <v>854</v>
      </c>
      <c r="E246" s="333">
        <v>6</v>
      </c>
      <c r="F246" t="s" s="332">
        <v>953</v>
      </c>
      <c r="G246" t="s" s="361">
        <v>954</v>
      </c>
      <c r="H246" t="s" s="353">
        <v>171</v>
      </c>
      <c r="I246" s="337">
        <v>7</v>
      </c>
      <c r="J246" t="s" s="341">
        <v>973</v>
      </c>
      <c r="K246" t="s" s="341">
        <v>291</v>
      </c>
      <c r="L246" t="s" s="376">
        <v>974</v>
      </c>
      <c r="M246" s="338"/>
      <c r="N246" s="338"/>
      <c r="O246" s="340">
        <f>_xlfn.IFERROR(VLOOKUP($P246,'Suppl'!$B$2:$N$57,MATCH($B246,'Suppl'!$C$1:$N$1,0)+1,FALSE),"")</f>
        <v>0</v>
      </c>
      <c r="P246" t="s" s="341">
        <f>E246&amp;I246</f>
        <v>496</v>
      </c>
      <c r="Q246" s="286"/>
      <c r="R246" s="298"/>
      <c r="S246" s="298"/>
    </row>
    <row r="247" ht="15" customHeight="1">
      <c r="A247" t="s" s="276">
        <f>B247&amp;E247&amp;I247</f>
        <v>117</v>
      </c>
      <c r="B247" s="386">
        <v>7</v>
      </c>
      <c r="C247" t="s" s="343">
        <v>230</v>
      </c>
      <c r="D247" t="s" s="343">
        <v>975</v>
      </c>
      <c r="E247" s="344">
        <v>1</v>
      </c>
      <c r="F247" t="s" s="343">
        <v>976</v>
      </c>
      <c r="G247" t="s" s="345">
        <v>977</v>
      </c>
      <c r="H247" t="s" s="353">
        <v>978</v>
      </c>
      <c r="I247" s="342">
        <v>1</v>
      </c>
      <c r="J247" t="s" s="343">
        <v>979</v>
      </c>
      <c r="K247" t="s" s="343">
        <v>283</v>
      </c>
      <c r="L247" t="s" s="347">
        <v>980</v>
      </c>
      <c r="M247" t="s" s="348">
        <v>981</v>
      </c>
      <c r="N247" t="s" s="349">
        <v>982</v>
      </c>
      <c r="O247" s="350">
        <f>_xlfn.IFERROR(VLOOKUP($P247,'Suppl'!$B$2:$N$57,MATCH($B247,'Suppl'!$C$1:$N$1,0)+1,FALSE),"")</f>
        <v>0</v>
      </c>
      <c r="P247" t="s" s="343">
        <f>E247&amp;I247</f>
        <v>260</v>
      </c>
      <c r="Q247" s="286"/>
      <c r="R247" s="298"/>
      <c r="S247" s="298"/>
    </row>
    <row r="248" ht="15" customHeight="1">
      <c r="A248" t="s" s="276">
        <f>B248&amp;E248&amp;I248</f>
        <v>983</v>
      </c>
      <c r="B248" s="299">
        <f>B247</f>
        <v>7</v>
      </c>
      <c r="C248" t="s" s="300">
        <f>C247</f>
        <v>230</v>
      </c>
      <c r="D248" t="s" s="300">
        <v>975</v>
      </c>
      <c r="E248" s="301">
        <v>1</v>
      </c>
      <c r="F248" t="s" s="300">
        <v>976</v>
      </c>
      <c r="G248" t="s" s="352">
        <v>977</v>
      </c>
      <c r="H248" t="s" s="353">
        <v>171</v>
      </c>
      <c r="I248" s="305">
        <v>2</v>
      </c>
      <c r="J248" t="s" s="306">
        <v>984</v>
      </c>
      <c r="K248" t="s" s="306">
        <v>263</v>
      </c>
      <c r="L248" t="s" s="307">
        <v>985</v>
      </c>
      <c r="M248" t="s" s="308">
        <v>986</v>
      </c>
      <c r="N248" t="s" s="309">
        <v>987</v>
      </c>
      <c r="O248" s="310">
        <f>_xlfn.IFERROR(VLOOKUP($P248,'Suppl'!$B$2:$N$57,MATCH($B248,'Suppl'!$C$1:$N$1,0)+1,FALSE),"")</f>
        <v>0</v>
      </c>
      <c r="P248" t="s" s="306">
        <f>E248&amp;I248</f>
        <v>267</v>
      </c>
      <c r="Q248" s="286"/>
      <c r="R248" s="298"/>
      <c r="S248" s="298"/>
    </row>
    <row r="249" ht="15" customHeight="1">
      <c r="A249" t="s" s="276">
        <f>B249&amp;E249&amp;I249</f>
        <v>988</v>
      </c>
      <c r="B249" s="299">
        <f>B248</f>
        <v>7</v>
      </c>
      <c r="C249" t="s" s="300">
        <f>C248</f>
        <v>989</v>
      </c>
      <c r="D249" t="s" s="300">
        <v>975</v>
      </c>
      <c r="E249" s="301">
        <v>1</v>
      </c>
      <c r="F249" t="s" s="300">
        <v>976</v>
      </c>
      <c r="G249" t="s" s="352">
        <v>977</v>
      </c>
      <c r="H249" t="s" s="353">
        <v>171</v>
      </c>
      <c r="I249" s="305">
        <v>3</v>
      </c>
      <c r="J249" t="s" s="306">
        <v>990</v>
      </c>
      <c r="K249" t="s" s="306">
        <v>263</v>
      </c>
      <c r="L249" s="312"/>
      <c r="M249" t="s" s="308">
        <v>991</v>
      </c>
      <c r="N249" t="s" s="309">
        <v>992</v>
      </c>
      <c r="O249" s="310">
        <f>_xlfn.IFERROR(VLOOKUP($P249,'Suppl'!$B$2:$N$57,MATCH($B249,'Suppl'!$C$1:$N$1,0)+1,FALSE),"")</f>
        <v>0</v>
      </c>
      <c r="P249" t="s" s="306">
        <f>E249&amp;I249</f>
        <v>275</v>
      </c>
      <c r="Q249" s="286"/>
      <c r="R249" s="298"/>
      <c r="S249" s="298"/>
    </row>
    <row r="250" ht="15" customHeight="1">
      <c r="A250" t="s" s="276">
        <f>B250&amp;E250&amp;I250</f>
        <v>993</v>
      </c>
      <c r="B250" s="299">
        <f>B249</f>
        <v>7</v>
      </c>
      <c r="C250" t="s" s="300">
        <f>C249</f>
        <v>989</v>
      </c>
      <c r="D250" t="s" s="300">
        <v>975</v>
      </c>
      <c r="E250" s="301">
        <v>1</v>
      </c>
      <c r="F250" t="s" s="300">
        <v>976</v>
      </c>
      <c r="G250" t="s" s="352">
        <v>977</v>
      </c>
      <c r="H250" t="s" s="353">
        <v>171</v>
      </c>
      <c r="I250" s="305">
        <v>4</v>
      </c>
      <c r="J250" t="s" s="306">
        <v>994</v>
      </c>
      <c r="K250" t="s" s="306">
        <v>271</v>
      </c>
      <c r="L250" t="s" s="307">
        <v>995</v>
      </c>
      <c r="M250" t="s" s="308">
        <v>996</v>
      </c>
      <c r="N250" s="313"/>
      <c r="O250" s="310">
        <f>_xlfn.IFERROR(VLOOKUP($P250,'Suppl'!$B$2:$N$57,MATCH($B250,'Suppl'!$C$1:$N$1,0)+1,FALSE),"")</f>
        <v>0</v>
      </c>
      <c r="P250" t="s" s="306">
        <f>E250&amp;I250</f>
        <v>280</v>
      </c>
      <c r="Q250" s="286"/>
      <c r="R250" s="298"/>
      <c r="S250" s="298"/>
    </row>
    <row r="251" ht="15" customHeight="1">
      <c r="A251" t="s" s="276">
        <f>B251&amp;E251&amp;I251</f>
        <v>997</v>
      </c>
      <c r="B251" s="299">
        <f>B250</f>
        <v>7</v>
      </c>
      <c r="C251" t="s" s="300">
        <f>C250</f>
        <v>989</v>
      </c>
      <c r="D251" t="s" s="300">
        <v>975</v>
      </c>
      <c r="E251" s="301">
        <v>1</v>
      </c>
      <c r="F251" t="s" s="300">
        <v>976</v>
      </c>
      <c r="G251" t="s" s="352">
        <v>977</v>
      </c>
      <c r="H251" t="s" s="353">
        <v>171</v>
      </c>
      <c r="I251" s="305">
        <v>5</v>
      </c>
      <c r="J251" s="284"/>
      <c r="K251" t="s" s="306">
        <v>171</v>
      </c>
      <c r="L251" s="312"/>
      <c r="M251" s="311"/>
      <c r="N251" s="313"/>
      <c r="O251" s="310">
        <f>_xlfn.IFERROR(VLOOKUP($P251,'Suppl'!$B$2:$N$57,MATCH($B251,'Suppl'!$C$1:$N$1,0)+1,FALSE),"")</f>
        <v>0</v>
      </c>
      <c r="P251" t="s" s="306">
        <f>E251&amp;I251</f>
        <v>284</v>
      </c>
      <c r="Q251" s="286"/>
      <c r="R251" s="298"/>
      <c r="S251" s="298"/>
    </row>
    <row r="252" ht="15" customHeight="1">
      <c r="A252" t="s" s="276">
        <f>B252&amp;E252&amp;I252</f>
        <v>998</v>
      </c>
      <c r="B252" s="299">
        <f>B251</f>
        <v>7</v>
      </c>
      <c r="C252" t="s" s="300">
        <f>C251</f>
        <v>989</v>
      </c>
      <c r="D252" t="s" s="300">
        <v>975</v>
      </c>
      <c r="E252" s="301">
        <v>1</v>
      </c>
      <c r="F252" t="s" s="300">
        <v>976</v>
      </c>
      <c r="G252" t="s" s="352">
        <v>977</v>
      </c>
      <c r="H252" t="s" s="353">
        <v>171</v>
      </c>
      <c r="I252" s="305">
        <v>6</v>
      </c>
      <c r="J252" s="284"/>
      <c r="K252" t="s" s="306">
        <v>171</v>
      </c>
      <c r="L252" s="312"/>
      <c r="M252" s="311"/>
      <c r="N252" s="313"/>
      <c r="O252" s="310">
        <f>_xlfn.IFERROR(VLOOKUP($P252,'Suppl'!$B$2:$N$57,MATCH($B252,'Suppl'!$C$1:$N$1,0)+1,FALSE),"")</f>
        <v>0</v>
      </c>
      <c r="P252" t="s" s="306">
        <f>E252&amp;I252</f>
        <v>288</v>
      </c>
      <c r="Q252" s="286"/>
      <c r="R252" s="298"/>
      <c r="S252" s="298"/>
    </row>
    <row r="253" ht="15" customHeight="1">
      <c r="A253" t="s" s="276">
        <f>B253&amp;E253&amp;I253</f>
        <v>999</v>
      </c>
      <c r="B253" s="314">
        <f>B252</f>
        <v>7</v>
      </c>
      <c r="C253" t="s" s="315">
        <f>C252</f>
        <v>989</v>
      </c>
      <c r="D253" t="s" s="315">
        <v>975</v>
      </c>
      <c r="E253" s="316">
        <v>1</v>
      </c>
      <c r="F253" t="s" s="315">
        <v>976</v>
      </c>
      <c r="G253" t="s" s="355">
        <v>977</v>
      </c>
      <c r="H253" t="s" s="353">
        <v>171</v>
      </c>
      <c r="I253" s="319">
        <v>7</v>
      </c>
      <c r="J253" s="330"/>
      <c r="K253" t="s" s="320">
        <v>171</v>
      </c>
      <c r="L253" s="321"/>
      <c r="M253" s="322"/>
      <c r="N253" s="323"/>
      <c r="O253" s="324">
        <f>_xlfn.IFERROR(VLOOKUP($P253,'Suppl'!$B$2:$N$57,MATCH($B253,'Suppl'!$C$1:$N$1,0)+1,FALSE),"")</f>
        <v>0</v>
      </c>
      <c r="P253" t="s" s="320">
        <f>E253&amp;I253</f>
        <v>292</v>
      </c>
      <c r="Q253" s="286"/>
      <c r="R253" s="298"/>
      <c r="S253" s="298"/>
    </row>
    <row r="254" ht="15" customHeight="1">
      <c r="A254" t="s" s="276">
        <f>B254&amp;E254&amp;I254</f>
        <v>120</v>
      </c>
      <c r="B254" s="325">
        <f>B253</f>
        <v>7</v>
      </c>
      <c r="C254" t="s" s="326">
        <f>C253</f>
        <v>989</v>
      </c>
      <c r="D254" t="s" s="326">
        <v>975</v>
      </c>
      <c r="E254" s="289">
        <v>2</v>
      </c>
      <c r="F254" t="s" s="288">
        <v>1000</v>
      </c>
      <c r="G254" t="s" s="357">
        <v>1001</v>
      </c>
      <c r="H254" t="s" s="353">
        <v>1002</v>
      </c>
      <c r="I254" s="292">
        <v>1</v>
      </c>
      <c r="J254" t="s" s="288">
        <v>1003</v>
      </c>
      <c r="K254" t="s" s="288">
        <v>283</v>
      </c>
      <c r="L254" t="s" s="293">
        <v>1004</v>
      </c>
      <c r="M254" s="328"/>
      <c r="N254" s="328"/>
      <c r="O254" s="296">
        <f>_xlfn.IFERROR(VLOOKUP($P254,'Suppl'!$B$2:$N$57,MATCH($B254,'Suppl'!$C$1:$N$1,0)+1,FALSE),"")</f>
        <v>0</v>
      </c>
      <c r="P254" t="s" s="288">
        <f>E254&amp;I254</f>
        <v>297</v>
      </c>
      <c r="Q254" s="286"/>
      <c r="R254" s="298"/>
      <c r="S254" s="298"/>
    </row>
    <row r="255" ht="15" customHeight="1">
      <c r="A255" t="s" s="276">
        <f>B255&amp;E255&amp;I255</f>
        <v>1005</v>
      </c>
      <c r="B255" s="299">
        <f>B254</f>
        <v>7</v>
      </c>
      <c r="C255" t="s" s="300">
        <f>C254</f>
        <v>989</v>
      </c>
      <c r="D255" t="s" s="300">
        <v>975</v>
      </c>
      <c r="E255" s="301">
        <v>2</v>
      </c>
      <c r="F255" t="s" s="300">
        <v>1000</v>
      </c>
      <c r="G255" t="s" s="352">
        <v>1001</v>
      </c>
      <c r="H255" t="s" s="353">
        <v>171</v>
      </c>
      <c r="I255" s="305">
        <v>2</v>
      </c>
      <c r="J255" t="s" s="306">
        <v>1006</v>
      </c>
      <c r="K255" t="s" s="306">
        <v>263</v>
      </c>
      <c r="L255" t="s" s="307">
        <v>1007</v>
      </c>
      <c r="M255" s="284"/>
      <c r="N255" s="284"/>
      <c r="O255" s="310">
        <f>_xlfn.IFERROR(VLOOKUP($P255,'Suppl'!$B$2:$N$57,MATCH($B255,'Suppl'!$C$1:$N$1,0)+1,FALSE),"")</f>
        <v>0</v>
      </c>
      <c r="P255" t="s" s="306">
        <f>E255&amp;I255</f>
        <v>300</v>
      </c>
      <c r="Q255" s="286"/>
      <c r="R255" s="298"/>
      <c r="S255" s="298"/>
    </row>
    <row r="256" ht="15" customHeight="1">
      <c r="A256" t="s" s="276">
        <f>B256&amp;E256&amp;I256</f>
        <v>1008</v>
      </c>
      <c r="B256" s="299">
        <f>B255</f>
        <v>7</v>
      </c>
      <c r="C256" t="s" s="300">
        <f>C255</f>
        <v>989</v>
      </c>
      <c r="D256" t="s" s="300">
        <v>975</v>
      </c>
      <c r="E256" s="301">
        <v>2</v>
      </c>
      <c r="F256" t="s" s="300">
        <v>1000</v>
      </c>
      <c r="G256" t="s" s="352">
        <v>1001</v>
      </c>
      <c r="H256" t="s" s="353">
        <v>171</v>
      </c>
      <c r="I256" s="305">
        <v>3</v>
      </c>
      <c r="J256" t="s" s="306">
        <v>1009</v>
      </c>
      <c r="K256" t="s" s="306">
        <v>271</v>
      </c>
      <c r="L256" t="s" s="307">
        <v>1010</v>
      </c>
      <c r="M256" s="284"/>
      <c r="N256" s="284"/>
      <c r="O256" s="310">
        <f>_xlfn.IFERROR(VLOOKUP($P256,'Suppl'!$B$2:$N$57,MATCH($B256,'Suppl'!$C$1:$N$1,0)+1,FALSE),"")</f>
        <v>0</v>
      </c>
      <c r="P256" t="s" s="306">
        <f>E256&amp;I256</f>
        <v>303</v>
      </c>
      <c r="Q256" s="286"/>
      <c r="R256" s="298"/>
      <c r="S256" s="298"/>
    </row>
    <row r="257" ht="15" customHeight="1">
      <c r="A257" t="s" s="276">
        <f>B257&amp;E257&amp;I257</f>
        <v>1011</v>
      </c>
      <c r="B257" s="299">
        <f>B256</f>
        <v>7</v>
      </c>
      <c r="C257" t="s" s="300">
        <f>C256</f>
        <v>989</v>
      </c>
      <c r="D257" t="s" s="300">
        <v>975</v>
      </c>
      <c r="E257" s="301">
        <v>2</v>
      </c>
      <c r="F257" t="s" s="300">
        <v>1000</v>
      </c>
      <c r="G257" t="s" s="352">
        <v>1001</v>
      </c>
      <c r="H257" t="s" s="353">
        <v>171</v>
      </c>
      <c r="I257" s="305">
        <v>4</v>
      </c>
      <c r="J257" t="s" s="306">
        <v>1012</v>
      </c>
      <c r="K257" t="s" s="306">
        <v>263</v>
      </c>
      <c r="L257" t="s" s="307">
        <v>1013</v>
      </c>
      <c r="M257" s="284"/>
      <c r="N257" s="284"/>
      <c r="O257" s="310">
        <f>_xlfn.IFERROR(VLOOKUP($P257,'Suppl'!$B$2:$N$57,MATCH($B257,'Suppl'!$C$1:$N$1,0)+1,FALSE),"")</f>
        <v>0</v>
      </c>
      <c r="P257" t="s" s="306">
        <f>E257&amp;I257</f>
        <v>307</v>
      </c>
      <c r="Q257" s="286"/>
      <c r="R257" s="298"/>
      <c r="S257" s="298"/>
    </row>
    <row r="258" ht="15" customHeight="1">
      <c r="A258" t="s" s="276">
        <f>B258&amp;E258&amp;I258</f>
        <v>1014</v>
      </c>
      <c r="B258" s="299">
        <f>B257</f>
        <v>7</v>
      </c>
      <c r="C258" t="s" s="300">
        <f>C257</f>
        <v>989</v>
      </c>
      <c r="D258" t="s" s="300">
        <v>975</v>
      </c>
      <c r="E258" s="301">
        <v>2</v>
      </c>
      <c r="F258" t="s" s="300">
        <v>1000</v>
      </c>
      <c r="G258" t="s" s="352">
        <v>1001</v>
      </c>
      <c r="H258" t="s" s="353">
        <v>171</v>
      </c>
      <c r="I258" s="305">
        <v>5</v>
      </c>
      <c r="J258" t="s" s="306">
        <v>1015</v>
      </c>
      <c r="K258" t="s" s="306">
        <v>291</v>
      </c>
      <c r="L258" t="s" s="307">
        <v>1016</v>
      </c>
      <c r="M258" s="284"/>
      <c r="N258" s="284"/>
      <c r="O258" s="310">
        <f>_xlfn.IFERROR(VLOOKUP($P258,'Suppl'!$B$2:$N$57,MATCH($B258,'Suppl'!$C$1:$N$1,0)+1,FALSE),"")</f>
        <v>0</v>
      </c>
      <c r="P258" t="s" s="306">
        <f>E258&amp;I258</f>
        <v>311</v>
      </c>
      <c r="Q258" s="286"/>
      <c r="R258" s="298"/>
      <c r="S258" s="298"/>
    </row>
    <row r="259" ht="15" customHeight="1">
      <c r="A259" t="s" s="276">
        <f>B259&amp;E259&amp;I259</f>
        <v>1017</v>
      </c>
      <c r="B259" s="299">
        <f>B258</f>
        <v>7</v>
      </c>
      <c r="C259" t="s" s="300">
        <f>C258</f>
        <v>989</v>
      </c>
      <c r="D259" t="s" s="300">
        <v>975</v>
      </c>
      <c r="E259" s="301">
        <v>2</v>
      </c>
      <c r="F259" t="s" s="300">
        <v>1000</v>
      </c>
      <c r="G259" t="s" s="352">
        <v>1001</v>
      </c>
      <c r="H259" t="s" s="353">
        <v>171</v>
      </c>
      <c r="I259" s="305">
        <v>6</v>
      </c>
      <c r="J259" t="s" s="306">
        <v>1018</v>
      </c>
      <c r="K259" t="s" s="306">
        <v>271</v>
      </c>
      <c r="L259" t="s" s="307">
        <v>1019</v>
      </c>
      <c r="M259" s="284"/>
      <c r="N259" s="284"/>
      <c r="O259" s="310">
        <f>_xlfn.IFERROR(VLOOKUP($P259,'Suppl'!$B$2:$N$57,MATCH($B259,'Suppl'!$C$1:$N$1,0)+1,FALSE),"")</f>
        <v>0</v>
      </c>
      <c r="P259" t="s" s="306">
        <f>E259&amp;I259</f>
        <v>315</v>
      </c>
      <c r="Q259" s="286"/>
      <c r="R259" s="298"/>
      <c r="S259" s="298"/>
    </row>
    <row r="260" ht="15" customHeight="1">
      <c r="A260" t="s" s="276">
        <f>B260&amp;E260&amp;I260</f>
        <v>1020</v>
      </c>
      <c r="B260" s="314">
        <f>B259</f>
        <v>7</v>
      </c>
      <c r="C260" t="s" s="315">
        <f>C259</f>
        <v>989</v>
      </c>
      <c r="D260" t="s" s="315">
        <v>975</v>
      </c>
      <c r="E260" s="316">
        <v>2</v>
      </c>
      <c r="F260" t="s" s="315">
        <v>1000</v>
      </c>
      <c r="G260" t="s" s="355">
        <v>1001</v>
      </c>
      <c r="H260" t="s" s="353">
        <v>171</v>
      </c>
      <c r="I260" s="319">
        <v>7</v>
      </c>
      <c r="J260" s="330"/>
      <c r="K260" t="s" s="320">
        <v>171</v>
      </c>
      <c r="L260" s="321"/>
      <c r="M260" s="330"/>
      <c r="N260" s="330"/>
      <c r="O260" s="324">
        <f>_xlfn.IFERROR(VLOOKUP($P260,'Suppl'!$B$2:$N$57,MATCH($B260,'Suppl'!$C$1:$N$1,0)+1,FALSE),"")</f>
        <v>0</v>
      </c>
      <c r="P260" t="s" s="320">
        <f>E260&amp;I260</f>
        <v>319</v>
      </c>
      <c r="Q260" s="286"/>
      <c r="R260" s="298"/>
      <c r="S260" s="298"/>
    </row>
    <row r="261" ht="15" customHeight="1">
      <c r="A261" t="s" s="276">
        <f>B261&amp;E261&amp;I261</f>
        <v>122</v>
      </c>
      <c r="B261" s="325">
        <f>B260</f>
        <v>7</v>
      </c>
      <c r="C261" t="s" s="326">
        <f>C260</f>
        <v>989</v>
      </c>
      <c r="D261" t="s" s="326">
        <v>975</v>
      </c>
      <c r="E261" s="289">
        <v>3</v>
      </c>
      <c r="F261" t="s" s="288">
        <v>225</v>
      </c>
      <c r="G261" t="s" s="357">
        <v>1021</v>
      </c>
      <c r="H261" t="s" s="353">
        <v>1022</v>
      </c>
      <c r="I261" s="292">
        <v>1</v>
      </c>
      <c r="J261" t="s" s="288">
        <v>1023</v>
      </c>
      <c r="K261" t="s" s="288">
        <v>271</v>
      </c>
      <c r="L261" t="s" s="293">
        <v>1024</v>
      </c>
      <c r="M261" s="328"/>
      <c r="N261" s="328"/>
      <c r="O261" s="296">
        <f>_xlfn.IFERROR(VLOOKUP($P261,'Suppl'!$B$2:$N$57,MATCH($B261,'Suppl'!$C$1:$N$1,0)+1,FALSE),"")</f>
        <v>0</v>
      </c>
      <c r="P261" t="s" s="288">
        <f>E261&amp;I261</f>
        <v>325</v>
      </c>
      <c r="Q261" s="286"/>
      <c r="R261" s="298"/>
      <c r="S261" s="298"/>
    </row>
    <row r="262" ht="15" customHeight="1">
      <c r="A262" t="s" s="276">
        <f>B262&amp;E262&amp;I262</f>
        <v>1025</v>
      </c>
      <c r="B262" s="299">
        <f>B261</f>
        <v>7</v>
      </c>
      <c r="C262" t="s" s="300">
        <f>C261</f>
        <v>989</v>
      </c>
      <c r="D262" t="s" s="300">
        <v>975</v>
      </c>
      <c r="E262" s="301">
        <v>3</v>
      </c>
      <c r="F262" t="s" s="300">
        <v>225</v>
      </c>
      <c r="G262" t="s" s="352">
        <v>1021</v>
      </c>
      <c r="H262" t="s" s="353">
        <v>171</v>
      </c>
      <c r="I262" s="305">
        <v>2</v>
      </c>
      <c r="J262" t="s" s="306">
        <v>1026</v>
      </c>
      <c r="K262" t="s" s="306">
        <v>271</v>
      </c>
      <c r="L262" t="s" s="307">
        <v>1027</v>
      </c>
      <c r="M262" s="284"/>
      <c r="N262" s="284"/>
      <c r="O262" s="310">
        <f>_xlfn.IFERROR(VLOOKUP($P262,'Suppl'!$B$2:$N$57,MATCH($B262,'Suppl'!$C$1:$N$1,0)+1,FALSE),"")</f>
        <v>0</v>
      </c>
      <c r="P262" t="s" s="306">
        <f>E262&amp;I262</f>
        <v>329</v>
      </c>
      <c r="Q262" s="286"/>
      <c r="R262" s="298"/>
      <c r="S262" s="298"/>
    </row>
    <row r="263" ht="15" customHeight="1">
      <c r="A263" t="s" s="276">
        <f>B263&amp;E263&amp;I263</f>
        <v>1028</v>
      </c>
      <c r="B263" s="299">
        <f>B262</f>
        <v>7</v>
      </c>
      <c r="C263" t="s" s="300">
        <f>C262</f>
        <v>989</v>
      </c>
      <c r="D263" t="s" s="300">
        <v>975</v>
      </c>
      <c r="E263" s="301">
        <v>3</v>
      </c>
      <c r="F263" t="s" s="300">
        <v>225</v>
      </c>
      <c r="G263" t="s" s="352">
        <v>1021</v>
      </c>
      <c r="H263" t="s" s="353">
        <v>171</v>
      </c>
      <c r="I263" s="305">
        <v>3</v>
      </c>
      <c r="J263" s="284"/>
      <c r="K263" t="s" s="306">
        <v>171</v>
      </c>
      <c r="L263" s="312"/>
      <c r="M263" s="284"/>
      <c r="N263" s="284"/>
      <c r="O263" s="310">
        <f>_xlfn.IFERROR(VLOOKUP($P263,'Suppl'!$B$2:$N$57,MATCH($B263,'Suppl'!$C$1:$N$1,0)+1,FALSE),"")</f>
        <v>0</v>
      </c>
      <c r="P263" t="s" s="306">
        <f>E263&amp;I263</f>
        <v>333</v>
      </c>
      <c r="Q263" s="286"/>
      <c r="R263" s="298"/>
      <c r="S263" s="298"/>
    </row>
    <row r="264" ht="15" customHeight="1">
      <c r="A264" t="s" s="276">
        <f>B264&amp;E264&amp;I264</f>
        <v>1029</v>
      </c>
      <c r="B264" s="299">
        <f>B263</f>
        <v>7</v>
      </c>
      <c r="C264" t="s" s="300">
        <f>C263</f>
        <v>989</v>
      </c>
      <c r="D264" t="s" s="300">
        <v>975</v>
      </c>
      <c r="E264" s="301">
        <v>3</v>
      </c>
      <c r="F264" t="s" s="300">
        <v>225</v>
      </c>
      <c r="G264" t="s" s="352">
        <v>1021</v>
      </c>
      <c r="H264" t="s" s="353">
        <v>171</v>
      </c>
      <c r="I264" s="305">
        <v>4</v>
      </c>
      <c r="J264" s="284"/>
      <c r="K264" t="s" s="306">
        <v>171</v>
      </c>
      <c r="L264" s="312"/>
      <c r="M264" s="284"/>
      <c r="N264" s="284"/>
      <c r="O264" s="310">
        <f>_xlfn.IFERROR(VLOOKUP($P264,'Suppl'!$B$2:$N$57,MATCH($B264,'Suppl'!$C$1:$N$1,0)+1,FALSE),"")</f>
        <v>0</v>
      </c>
      <c r="P264" t="s" s="306">
        <f>E264&amp;I264</f>
        <v>336</v>
      </c>
      <c r="Q264" s="286"/>
      <c r="R264" s="298"/>
      <c r="S264" s="298"/>
    </row>
    <row r="265" ht="15" customHeight="1">
      <c r="A265" t="s" s="276">
        <f>B265&amp;E265&amp;I265</f>
        <v>1030</v>
      </c>
      <c r="B265" s="299">
        <f>B264</f>
        <v>7</v>
      </c>
      <c r="C265" t="s" s="300">
        <f>C264</f>
        <v>989</v>
      </c>
      <c r="D265" t="s" s="300">
        <v>975</v>
      </c>
      <c r="E265" s="301">
        <v>3</v>
      </c>
      <c r="F265" t="s" s="300">
        <v>225</v>
      </c>
      <c r="G265" t="s" s="352">
        <v>1021</v>
      </c>
      <c r="H265" t="s" s="353">
        <v>171</v>
      </c>
      <c r="I265" s="305">
        <v>5</v>
      </c>
      <c r="J265" s="284"/>
      <c r="K265" t="s" s="306">
        <v>171</v>
      </c>
      <c r="L265" s="312"/>
      <c r="M265" s="284"/>
      <c r="N265" s="284"/>
      <c r="O265" s="310">
        <f>_xlfn.IFERROR(VLOOKUP($P265,'Suppl'!$B$2:$N$57,MATCH($B265,'Suppl'!$C$1:$N$1,0)+1,FALSE),"")</f>
        <v>0</v>
      </c>
      <c r="P265" t="s" s="306">
        <f>E265&amp;I265</f>
        <v>338</v>
      </c>
      <c r="Q265" s="286"/>
      <c r="R265" s="298"/>
      <c r="S265" s="298"/>
    </row>
    <row r="266" ht="15" customHeight="1">
      <c r="A266" t="s" s="276">
        <f>B266&amp;E266&amp;I266</f>
        <v>1031</v>
      </c>
      <c r="B266" s="299">
        <f>B265</f>
        <v>7</v>
      </c>
      <c r="C266" t="s" s="300">
        <f>C265</f>
        <v>989</v>
      </c>
      <c r="D266" t="s" s="300">
        <v>975</v>
      </c>
      <c r="E266" s="301">
        <v>3</v>
      </c>
      <c r="F266" t="s" s="300">
        <v>225</v>
      </c>
      <c r="G266" t="s" s="352">
        <v>1021</v>
      </c>
      <c r="H266" t="s" s="353">
        <v>171</v>
      </c>
      <c r="I266" s="305">
        <v>6</v>
      </c>
      <c r="J266" s="284"/>
      <c r="K266" t="s" s="306">
        <v>171</v>
      </c>
      <c r="L266" s="312"/>
      <c r="M266" s="284"/>
      <c r="N266" s="284"/>
      <c r="O266" s="310">
        <f>_xlfn.IFERROR(VLOOKUP($P266,'Suppl'!$B$2:$N$57,MATCH($B266,'Suppl'!$C$1:$N$1,0)+1,FALSE),"")</f>
        <v>0</v>
      </c>
      <c r="P266" t="s" s="306">
        <f>E266&amp;I266</f>
        <v>340</v>
      </c>
      <c r="Q266" s="286"/>
      <c r="R266" s="298"/>
      <c r="S266" s="298"/>
    </row>
    <row r="267" ht="15" customHeight="1">
      <c r="A267" t="s" s="276">
        <f>B267&amp;E267&amp;I267</f>
        <v>1032</v>
      </c>
      <c r="B267" s="314">
        <f>B266</f>
        <v>7</v>
      </c>
      <c r="C267" t="s" s="315">
        <f>C266</f>
        <v>989</v>
      </c>
      <c r="D267" t="s" s="315">
        <v>975</v>
      </c>
      <c r="E267" s="316">
        <v>3</v>
      </c>
      <c r="F267" t="s" s="315">
        <v>225</v>
      </c>
      <c r="G267" t="s" s="355">
        <v>1021</v>
      </c>
      <c r="H267" t="s" s="353">
        <v>171</v>
      </c>
      <c r="I267" s="319">
        <v>7</v>
      </c>
      <c r="J267" s="330"/>
      <c r="K267" t="s" s="320">
        <v>171</v>
      </c>
      <c r="L267" s="321"/>
      <c r="M267" s="330"/>
      <c r="N267" s="330"/>
      <c r="O267" s="324">
        <f>_xlfn.IFERROR(VLOOKUP($P267,'Suppl'!$B$2:$N$57,MATCH($B267,'Suppl'!$C$1:$N$1,0)+1,FALSE),"")</f>
        <v>0</v>
      </c>
      <c r="P267" t="s" s="320">
        <f>E267&amp;I267</f>
        <v>342</v>
      </c>
      <c r="Q267" s="286"/>
      <c r="R267" s="298"/>
      <c r="S267" s="298"/>
    </row>
    <row r="268" ht="15" customHeight="1">
      <c r="A268" t="s" s="276">
        <f>B268&amp;E268&amp;I268</f>
        <v>125</v>
      </c>
      <c r="B268" s="325">
        <f>B267</f>
        <v>7</v>
      </c>
      <c r="C268" t="s" s="326">
        <f>C267</f>
        <v>989</v>
      </c>
      <c r="D268" t="s" s="326">
        <v>975</v>
      </c>
      <c r="E268" s="289">
        <v>4</v>
      </c>
      <c r="F268" t="s" s="288">
        <v>225</v>
      </c>
      <c r="G268" t="s" s="357">
        <v>1033</v>
      </c>
      <c r="H268" t="s" s="353">
        <v>978</v>
      </c>
      <c r="I268" s="292">
        <v>1</v>
      </c>
      <c r="J268" t="s" s="288">
        <v>1034</v>
      </c>
      <c r="K268" t="s" s="288">
        <v>263</v>
      </c>
      <c r="L268" t="s" s="293">
        <v>1035</v>
      </c>
      <c r="M268" s="328"/>
      <c r="N268" s="328"/>
      <c r="O268" s="296">
        <f>_xlfn.IFERROR(VLOOKUP($P268,'Suppl'!$B$2:$N$57,MATCH($B268,'Suppl'!$C$1:$N$1,0)+1,FALSE),"")</f>
        <v>0</v>
      </c>
      <c r="P268" t="s" s="288">
        <f>E268&amp;I268</f>
        <v>348</v>
      </c>
      <c r="Q268" s="286"/>
      <c r="R268" s="298"/>
      <c r="S268" s="298"/>
    </row>
    <row r="269" ht="15" customHeight="1">
      <c r="A269" t="s" s="276">
        <f>B269&amp;E269&amp;I269</f>
        <v>1036</v>
      </c>
      <c r="B269" s="299">
        <f>B268</f>
        <v>7</v>
      </c>
      <c r="C269" t="s" s="300">
        <f>C268</f>
        <v>989</v>
      </c>
      <c r="D269" t="s" s="300">
        <v>975</v>
      </c>
      <c r="E269" s="301">
        <v>4</v>
      </c>
      <c r="F269" t="s" s="300">
        <v>225</v>
      </c>
      <c r="G269" t="s" s="352">
        <v>1037</v>
      </c>
      <c r="H269" t="s" s="353">
        <v>171</v>
      </c>
      <c r="I269" s="305">
        <v>2</v>
      </c>
      <c r="J269" t="s" s="306">
        <v>1038</v>
      </c>
      <c r="K269" t="s" s="306">
        <v>283</v>
      </c>
      <c r="L269" s="312"/>
      <c r="M269" s="284"/>
      <c r="N269" s="284"/>
      <c r="O269" s="310">
        <f>_xlfn.IFERROR(VLOOKUP($P269,'Suppl'!$B$2:$N$57,MATCH($B269,'Suppl'!$C$1:$N$1,0)+1,FALSE),"")</f>
        <v>0</v>
      </c>
      <c r="P269" t="s" s="306">
        <f>E269&amp;I269</f>
        <v>351</v>
      </c>
      <c r="Q269" s="286"/>
      <c r="R269" s="298"/>
      <c r="S269" s="298"/>
    </row>
    <row r="270" ht="15" customHeight="1">
      <c r="A270" t="s" s="276">
        <f>B270&amp;E270&amp;I270</f>
        <v>1039</v>
      </c>
      <c r="B270" s="299">
        <f>B269</f>
        <v>7</v>
      </c>
      <c r="C270" t="s" s="300">
        <f>C269</f>
        <v>989</v>
      </c>
      <c r="D270" t="s" s="300">
        <v>975</v>
      </c>
      <c r="E270" s="301">
        <v>4</v>
      </c>
      <c r="F270" t="s" s="300">
        <v>225</v>
      </c>
      <c r="G270" t="s" s="352">
        <v>1037</v>
      </c>
      <c r="H270" t="s" s="353">
        <v>171</v>
      </c>
      <c r="I270" s="305">
        <v>3</v>
      </c>
      <c r="J270" t="s" s="306">
        <v>1040</v>
      </c>
      <c r="K270" t="s" s="306">
        <v>271</v>
      </c>
      <c r="L270" t="s" s="307">
        <v>1041</v>
      </c>
      <c r="M270" s="284"/>
      <c r="N270" s="284"/>
      <c r="O270" s="310">
        <f>_xlfn.IFERROR(VLOOKUP($P270,'Suppl'!$B$2:$N$57,MATCH($B270,'Suppl'!$C$1:$N$1,0)+1,FALSE),"")</f>
        <v>0</v>
      </c>
      <c r="P270" t="s" s="306">
        <f>E270&amp;I270</f>
        <v>354</v>
      </c>
      <c r="Q270" s="286"/>
      <c r="R270" s="298"/>
      <c r="S270" s="298"/>
    </row>
    <row r="271" ht="15" customHeight="1">
      <c r="A271" t="s" s="276">
        <f>B271&amp;E271&amp;I271</f>
        <v>1042</v>
      </c>
      <c r="B271" s="299">
        <f>B270</f>
        <v>7</v>
      </c>
      <c r="C271" t="s" s="300">
        <f>C270</f>
        <v>989</v>
      </c>
      <c r="D271" t="s" s="300">
        <v>975</v>
      </c>
      <c r="E271" s="301">
        <v>4</v>
      </c>
      <c r="F271" t="s" s="300">
        <v>225</v>
      </c>
      <c r="G271" t="s" s="352">
        <v>1037</v>
      </c>
      <c r="H271" t="s" s="353">
        <v>171</v>
      </c>
      <c r="I271" s="305">
        <v>4</v>
      </c>
      <c r="J271" t="s" s="306">
        <v>1043</v>
      </c>
      <c r="K271" t="s" s="306">
        <v>263</v>
      </c>
      <c r="L271" t="s" s="307">
        <v>1044</v>
      </c>
      <c r="M271" s="284"/>
      <c r="N271" s="284"/>
      <c r="O271" s="310">
        <f>_xlfn.IFERROR(VLOOKUP($P271,'Suppl'!$B$2:$N$57,MATCH($B271,'Suppl'!$C$1:$N$1,0)+1,FALSE),"")</f>
        <v>0</v>
      </c>
      <c r="P271" t="s" s="306">
        <f>E271&amp;I271</f>
        <v>357</v>
      </c>
      <c r="Q271" s="286"/>
      <c r="R271" s="298"/>
      <c r="S271" s="298"/>
    </row>
    <row r="272" ht="15" customHeight="1">
      <c r="A272" t="s" s="276">
        <f>B272&amp;E272&amp;I272</f>
        <v>1045</v>
      </c>
      <c r="B272" s="299">
        <f>B271</f>
        <v>7</v>
      </c>
      <c r="C272" t="s" s="300">
        <f>C271</f>
        <v>989</v>
      </c>
      <c r="D272" t="s" s="300">
        <v>975</v>
      </c>
      <c r="E272" s="301">
        <v>4</v>
      </c>
      <c r="F272" t="s" s="300">
        <v>225</v>
      </c>
      <c r="G272" t="s" s="352">
        <v>1037</v>
      </c>
      <c r="H272" t="s" s="353">
        <v>171</v>
      </c>
      <c r="I272" s="305">
        <v>5</v>
      </c>
      <c r="J272" t="s" s="306">
        <v>1046</v>
      </c>
      <c r="K272" t="s" s="306">
        <v>256</v>
      </c>
      <c r="L272" t="s" s="307">
        <v>1047</v>
      </c>
      <c r="M272" s="284"/>
      <c r="N272" s="284"/>
      <c r="O272" s="310">
        <f>_xlfn.IFERROR(VLOOKUP($P272,'Suppl'!$B$2:$N$57,MATCH($B272,'Suppl'!$C$1:$N$1,0)+1,FALSE),"")</f>
        <v>0</v>
      </c>
      <c r="P272" t="s" s="306">
        <f>E272&amp;I272</f>
        <v>360</v>
      </c>
      <c r="Q272" s="286"/>
      <c r="R272" s="298"/>
      <c r="S272" s="298"/>
    </row>
    <row r="273" ht="15" customHeight="1">
      <c r="A273" t="s" s="276">
        <f>B273&amp;E273&amp;I273</f>
        <v>1048</v>
      </c>
      <c r="B273" s="299">
        <f>B272</f>
        <v>7</v>
      </c>
      <c r="C273" t="s" s="300">
        <f>C272</f>
        <v>989</v>
      </c>
      <c r="D273" t="s" s="300">
        <v>975</v>
      </c>
      <c r="E273" s="301">
        <v>4</v>
      </c>
      <c r="F273" t="s" s="300">
        <v>225</v>
      </c>
      <c r="G273" t="s" s="352">
        <v>1037</v>
      </c>
      <c r="H273" t="s" s="353">
        <v>171</v>
      </c>
      <c r="I273" s="305">
        <v>6</v>
      </c>
      <c r="J273" s="284"/>
      <c r="K273" t="s" s="306">
        <v>171</v>
      </c>
      <c r="L273" s="312"/>
      <c r="M273" s="284"/>
      <c r="N273" s="284"/>
      <c r="O273" s="310">
        <f>_xlfn.IFERROR(VLOOKUP($P273,'Suppl'!$B$2:$N$57,MATCH($B273,'Suppl'!$C$1:$N$1,0)+1,FALSE),"")</f>
        <v>0</v>
      </c>
      <c r="P273" t="s" s="306">
        <f>E273&amp;I273</f>
        <v>363</v>
      </c>
      <c r="Q273" s="286"/>
      <c r="R273" s="298"/>
      <c r="S273" s="298"/>
    </row>
    <row r="274" ht="15" customHeight="1">
      <c r="A274" t="s" s="276">
        <f>B274&amp;E274&amp;I274</f>
        <v>1049</v>
      </c>
      <c r="B274" s="314">
        <f>B273</f>
        <v>7</v>
      </c>
      <c r="C274" t="s" s="315">
        <f>C273</f>
        <v>989</v>
      </c>
      <c r="D274" t="s" s="315">
        <v>975</v>
      </c>
      <c r="E274" s="316">
        <v>4</v>
      </c>
      <c r="F274" t="s" s="315">
        <v>225</v>
      </c>
      <c r="G274" t="s" s="355">
        <v>1037</v>
      </c>
      <c r="H274" t="s" s="353">
        <v>171</v>
      </c>
      <c r="I274" s="319">
        <v>7</v>
      </c>
      <c r="J274" s="330"/>
      <c r="K274" t="s" s="320">
        <v>171</v>
      </c>
      <c r="L274" s="321"/>
      <c r="M274" s="330"/>
      <c r="N274" s="330"/>
      <c r="O274" s="324">
        <f>_xlfn.IFERROR(VLOOKUP($P274,'Suppl'!$B$2:$N$57,MATCH($B274,'Suppl'!$C$1:$N$1,0)+1,FALSE),"")</f>
        <v>0</v>
      </c>
      <c r="P274" t="s" s="320">
        <f>E274&amp;I274</f>
        <v>365</v>
      </c>
      <c r="Q274" s="286"/>
      <c r="R274" s="298"/>
      <c r="S274" s="298"/>
    </row>
    <row r="275" ht="15" customHeight="1">
      <c r="A275" t="s" s="276">
        <f>B275&amp;E275&amp;I275</f>
        <v>128</v>
      </c>
      <c r="B275" s="325">
        <f>B274</f>
        <v>7</v>
      </c>
      <c r="C275" t="s" s="326">
        <f>C274</f>
        <v>989</v>
      </c>
      <c r="D275" t="s" s="326">
        <v>975</v>
      </c>
      <c r="E275" s="289">
        <v>5</v>
      </c>
      <c r="F275" t="s" s="288">
        <v>1050</v>
      </c>
      <c r="G275" t="s" s="357">
        <v>1051</v>
      </c>
      <c r="H275" t="s" s="353">
        <v>978</v>
      </c>
      <c r="I275" s="292">
        <v>1</v>
      </c>
      <c r="J275" t="s" s="288">
        <v>1052</v>
      </c>
      <c r="K275" t="s" s="288">
        <v>271</v>
      </c>
      <c r="L275" t="s" s="293">
        <v>1053</v>
      </c>
      <c r="M275" s="328"/>
      <c r="N275" s="328"/>
      <c r="O275" s="296">
        <f>_xlfn.IFERROR(VLOOKUP($P275,'Suppl'!$B$2:$N$57,MATCH($B275,'Suppl'!$C$1:$N$1,0)+1,FALSE),"")</f>
        <v>0</v>
      </c>
      <c r="P275" t="s" s="288">
        <f>E275&amp;I275</f>
        <v>370</v>
      </c>
      <c r="Q275" s="286"/>
      <c r="R275" s="298"/>
      <c r="S275" s="298"/>
    </row>
    <row r="276" ht="15" customHeight="1">
      <c r="A276" t="s" s="276">
        <f>B276&amp;E276&amp;I276</f>
        <v>1054</v>
      </c>
      <c r="B276" s="299">
        <f>B275</f>
        <v>7</v>
      </c>
      <c r="C276" t="s" s="300">
        <f>C275</f>
        <v>989</v>
      </c>
      <c r="D276" t="s" s="300">
        <v>975</v>
      </c>
      <c r="E276" s="301">
        <v>5</v>
      </c>
      <c r="F276" t="s" s="300">
        <v>1050</v>
      </c>
      <c r="G276" t="s" s="352">
        <v>1055</v>
      </c>
      <c r="H276" t="s" s="353">
        <v>171</v>
      </c>
      <c r="I276" s="305">
        <v>2</v>
      </c>
      <c r="J276" t="s" s="306">
        <v>1056</v>
      </c>
      <c r="K276" t="s" s="306">
        <v>291</v>
      </c>
      <c r="L276" t="s" s="307">
        <v>1057</v>
      </c>
      <c r="M276" s="284"/>
      <c r="N276" s="284"/>
      <c r="O276" s="310">
        <f>_xlfn.IFERROR(VLOOKUP($P276,'Suppl'!$B$2:$N$57,MATCH($B276,'Suppl'!$C$1:$N$1,0)+1,FALSE),"")</f>
        <v>0</v>
      </c>
      <c r="P276" t="s" s="306">
        <f>E276&amp;I276</f>
        <v>374</v>
      </c>
      <c r="Q276" s="286"/>
      <c r="R276" s="298"/>
      <c r="S276" s="298"/>
    </row>
    <row r="277" ht="15" customHeight="1">
      <c r="A277" t="s" s="276">
        <f>B277&amp;E277&amp;I277</f>
        <v>1058</v>
      </c>
      <c r="B277" s="299">
        <f>B276</f>
        <v>7</v>
      </c>
      <c r="C277" t="s" s="300">
        <f>C276</f>
        <v>989</v>
      </c>
      <c r="D277" t="s" s="300">
        <v>975</v>
      </c>
      <c r="E277" s="301">
        <v>5</v>
      </c>
      <c r="F277" t="s" s="300">
        <v>1050</v>
      </c>
      <c r="G277" t="s" s="352">
        <v>1055</v>
      </c>
      <c r="H277" t="s" s="353">
        <v>171</v>
      </c>
      <c r="I277" s="305">
        <v>3</v>
      </c>
      <c r="J277" t="s" s="306">
        <v>1059</v>
      </c>
      <c r="K277" t="s" s="306">
        <v>271</v>
      </c>
      <c r="L277" t="s" s="307">
        <v>1060</v>
      </c>
      <c r="M277" s="284"/>
      <c r="N277" s="284"/>
      <c r="O277" s="310">
        <f>_xlfn.IFERROR(VLOOKUP($P277,'Suppl'!$B$2:$N$57,MATCH($B277,'Suppl'!$C$1:$N$1,0)+1,FALSE),"")</f>
        <v>0</v>
      </c>
      <c r="P277" t="s" s="306">
        <f>E277&amp;I277</f>
        <v>377</v>
      </c>
      <c r="Q277" s="286"/>
      <c r="R277" s="298"/>
      <c r="S277" s="298"/>
    </row>
    <row r="278" ht="15" customHeight="1">
      <c r="A278" t="s" s="276">
        <f>B278&amp;E278&amp;I278</f>
        <v>1061</v>
      </c>
      <c r="B278" s="299">
        <f>B277</f>
        <v>7</v>
      </c>
      <c r="C278" t="s" s="300">
        <f>C277</f>
        <v>989</v>
      </c>
      <c r="D278" t="s" s="300">
        <v>975</v>
      </c>
      <c r="E278" s="301">
        <v>5</v>
      </c>
      <c r="F278" t="s" s="300">
        <v>1050</v>
      </c>
      <c r="G278" t="s" s="352">
        <v>1055</v>
      </c>
      <c r="H278" t="s" s="353">
        <v>171</v>
      </c>
      <c r="I278" s="305">
        <v>4</v>
      </c>
      <c r="J278" t="s" s="306">
        <v>1062</v>
      </c>
      <c r="K278" t="s" s="306">
        <v>283</v>
      </c>
      <c r="L278" t="s" s="307">
        <v>1063</v>
      </c>
      <c r="M278" s="284"/>
      <c r="N278" s="284"/>
      <c r="O278" s="310">
        <f>_xlfn.IFERROR(VLOOKUP($P278,'Suppl'!$B$2:$N$57,MATCH($B278,'Suppl'!$C$1:$N$1,0)+1,FALSE),"")</f>
        <v>0</v>
      </c>
      <c r="P278" t="s" s="306">
        <f>E278&amp;I278</f>
        <v>380</v>
      </c>
      <c r="Q278" s="286"/>
      <c r="R278" s="298"/>
      <c r="S278" s="298"/>
    </row>
    <row r="279" ht="15" customHeight="1">
      <c r="A279" t="s" s="276">
        <f>B279&amp;E279&amp;I279</f>
        <v>1064</v>
      </c>
      <c r="B279" s="299">
        <f>B278</f>
        <v>7</v>
      </c>
      <c r="C279" t="s" s="300">
        <f>C278</f>
        <v>989</v>
      </c>
      <c r="D279" t="s" s="300">
        <v>975</v>
      </c>
      <c r="E279" s="301">
        <v>5</v>
      </c>
      <c r="F279" t="s" s="300">
        <v>1050</v>
      </c>
      <c r="G279" t="s" s="352">
        <v>1055</v>
      </c>
      <c r="H279" t="s" s="353">
        <v>171</v>
      </c>
      <c r="I279" s="305">
        <v>5</v>
      </c>
      <c r="J279" s="284"/>
      <c r="K279" t="s" s="306">
        <v>171</v>
      </c>
      <c r="L279" s="312"/>
      <c r="M279" s="284"/>
      <c r="N279" s="284"/>
      <c r="O279" s="310">
        <f>_xlfn.IFERROR(VLOOKUP($P279,'Suppl'!$B$2:$N$57,MATCH($B279,'Suppl'!$C$1:$N$1,0)+1,FALSE),"")</f>
        <v>0</v>
      </c>
      <c r="P279" t="s" s="306">
        <f>E279&amp;I279</f>
        <v>383</v>
      </c>
      <c r="Q279" s="286"/>
      <c r="R279" s="298"/>
      <c r="S279" s="298"/>
    </row>
    <row r="280" ht="15" customHeight="1">
      <c r="A280" t="s" s="276">
        <f>B280&amp;E280&amp;I280</f>
        <v>1065</v>
      </c>
      <c r="B280" s="299">
        <f>B279</f>
        <v>7</v>
      </c>
      <c r="C280" t="s" s="300">
        <f>C279</f>
        <v>989</v>
      </c>
      <c r="D280" t="s" s="300">
        <v>975</v>
      </c>
      <c r="E280" s="301">
        <v>5</v>
      </c>
      <c r="F280" t="s" s="300">
        <v>1050</v>
      </c>
      <c r="G280" t="s" s="352">
        <v>1055</v>
      </c>
      <c r="H280" t="s" s="353">
        <v>171</v>
      </c>
      <c r="I280" s="305">
        <v>6</v>
      </c>
      <c r="J280" s="284"/>
      <c r="K280" t="s" s="306">
        <v>171</v>
      </c>
      <c r="L280" s="312"/>
      <c r="M280" s="284"/>
      <c r="N280" s="284"/>
      <c r="O280" s="310">
        <f>_xlfn.IFERROR(VLOOKUP($P280,'Suppl'!$B$2:$N$57,MATCH($B280,'Suppl'!$C$1:$N$1,0)+1,FALSE),"")</f>
        <v>0</v>
      </c>
      <c r="P280" t="s" s="306">
        <f>E280&amp;I280</f>
        <v>385</v>
      </c>
      <c r="Q280" s="286"/>
      <c r="R280" s="298"/>
      <c r="S280" s="298"/>
    </row>
    <row r="281" ht="15" customHeight="1">
      <c r="A281" t="s" s="276">
        <f>B281&amp;E281&amp;I281</f>
        <v>1066</v>
      </c>
      <c r="B281" s="314">
        <f>B280</f>
        <v>7</v>
      </c>
      <c r="C281" t="s" s="315">
        <f>C280</f>
        <v>989</v>
      </c>
      <c r="D281" t="s" s="315">
        <v>975</v>
      </c>
      <c r="E281" s="316">
        <v>5</v>
      </c>
      <c r="F281" t="s" s="315">
        <v>1050</v>
      </c>
      <c r="G281" t="s" s="355">
        <v>1055</v>
      </c>
      <c r="H281" t="s" s="353">
        <v>171</v>
      </c>
      <c r="I281" s="319">
        <v>7</v>
      </c>
      <c r="J281" s="330"/>
      <c r="K281" t="s" s="320">
        <v>171</v>
      </c>
      <c r="L281" s="321"/>
      <c r="M281" s="330"/>
      <c r="N281" s="330"/>
      <c r="O281" s="324">
        <f>_xlfn.IFERROR(VLOOKUP($P281,'Suppl'!$B$2:$N$57,MATCH($B281,'Suppl'!$C$1:$N$1,0)+1,FALSE),"")</f>
        <v>0</v>
      </c>
      <c r="P281" t="s" s="320">
        <f>E281&amp;I281</f>
        <v>387</v>
      </c>
      <c r="Q281" s="286"/>
      <c r="R281" s="298"/>
      <c r="S281" s="298"/>
    </row>
    <row r="282" ht="15" customHeight="1">
      <c r="A282" t="s" s="276">
        <f>B282&amp;E282&amp;I282</f>
        <v>130</v>
      </c>
      <c r="B282" s="325">
        <f>B281</f>
        <v>7</v>
      </c>
      <c r="C282" t="s" s="326">
        <f>C281</f>
        <v>989</v>
      </c>
      <c r="D282" t="s" s="326">
        <v>975</v>
      </c>
      <c r="E282" s="289">
        <v>6</v>
      </c>
      <c r="F282" t="s" s="288">
        <v>1067</v>
      </c>
      <c r="G282" t="s" s="390">
        <v>1068</v>
      </c>
      <c r="H282" s="395"/>
      <c r="I282" s="292">
        <v>1</v>
      </c>
      <c r="J282" t="s" s="288">
        <v>1069</v>
      </c>
      <c r="K282" t="s" s="288">
        <v>291</v>
      </c>
      <c r="L282" t="s" s="293">
        <v>1070</v>
      </c>
      <c r="M282" s="328"/>
      <c r="N282" s="328"/>
      <c r="O282" s="296">
        <f>_xlfn.IFERROR(VLOOKUP($P282,'Suppl'!$B$2:$N$57,MATCH($B282,'Suppl'!$C$1:$N$1,0)+1,FALSE),"")</f>
        <v>0</v>
      </c>
      <c r="P282" t="s" s="288">
        <f>E282&amp;I282</f>
        <v>479</v>
      </c>
      <c r="Q282" s="286"/>
      <c r="R282" s="298"/>
      <c r="S282" s="298"/>
    </row>
    <row r="283" ht="15" customHeight="1">
      <c r="A283" t="s" s="276">
        <f>B283&amp;E283&amp;I283</f>
        <v>1071</v>
      </c>
      <c r="B283" s="299">
        <f>B282</f>
        <v>7</v>
      </c>
      <c r="C283" t="s" s="300">
        <f>C282</f>
        <v>989</v>
      </c>
      <c r="D283" t="s" s="300">
        <v>975</v>
      </c>
      <c r="E283" s="301">
        <v>6</v>
      </c>
      <c r="F283" t="s" s="300">
        <v>1072</v>
      </c>
      <c r="G283" t="s" s="352">
        <v>1073</v>
      </c>
      <c r="H283" t="s" s="353">
        <v>171</v>
      </c>
      <c r="I283" s="305">
        <v>2</v>
      </c>
      <c r="J283" t="s" s="306">
        <v>1074</v>
      </c>
      <c r="K283" t="s" s="306">
        <v>256</v>
      </c>
      <c r="L283" t="s" s="307">
        <v>1075</v>
      </c>
      <c r="M283" s="284"/>
      <c r="N283" s="284"/>
      <c r="O283" s="310">
        <f>_xlfn.IFERROR(VLOOKUP($P283,'Suppl'!$B$2:$N$57,MATCH($B283,'Suppl'!$C$1:$N$1,0)+1,FALSE),"")</f>
        <v>0</v>
      </c>
      <c r="P283" t="s" s="306">
        <f>E283&amp;I283</f>
        <v>483</v>
      </c>
      <c r="Q283" s="286"/>
      <c r="R283" s="298"/>
      <c r="S283" s="298"/>
    </row>
    <row r="284" ht="15" customHeight="1">
      <c r="A284" t="s" s="276">
        <f>B284&amp;E284&amp;I284</f>
        <v>1076</v>
      </c>
      <c r="B284" s="299">
        <f>B283</f>
        <v>7</v>
      </c>
      <c r="C284" t="s" s="300">
        <f>C283</f>
        <v>989</v>
      </c>
      <c r="D284" t="s" s="300">
        <v>975</v>
      </c>
      <c r="E284" s="301">
        <v>6</v>
      </c>
      <c r="F284" t="s" s="300">
        <v>1072</v>
      </c>
      <c r="G284" t="s" s="352">
        <v>1073</v>
      </c>
      <c r="H284" t="s" s="353">
        <v>171</v>
      </c>
      <c r="I284" s="305">
        <v>3</v>
      </c>
      <c r="J284" t="s" s="306">
        <v>1077</v>
      </c>
      <c r="K284" t="s" s="306">
        <v>291</v>
      </c>
      <c r="L284" t="s" s="307">
        <v>1078</v>
      </c>
      <c r="M284" s="284"/>
      <c r="N284" s="284"/>
      <c r="O284" s="310">
        <f>_xlfn.IFERROR(VLOOKUP($P284,'Suppl'!$B$2:$N$57,MATCH($B284,'Suppl'!$C$1:$N$1,0)+1,FALSE),"")</f>
        <v>0</v>
      </c>
      <c r="P284" t="s" s="306">
        <f>E284&amp;I284</f>
        <v>487</v>
      </c>
      <c r="Q284" s="286"/>
      <c r="R284" s="298"/>
      <c r="S284" s="298"/>
    </row>
    <row r="285" ht="15" customHeight="1">
      <c r="A285" t="s" s="276">
        <f>B285&amp;E285&amp;I285</f>
        <v>1079</v>
      </c>
      <c r="B285" s="299">
        <f>B284</f>
        <v>7</v>
      </c>
      <c r="C285" t="s" s="300">
        <f>C284</f>
        <v>989</v>
      </c>
      <c r="D285" t="s" s="300">
        <v>975</v>
      </c>
      <c r="E285" s="301">
        <v>6</v>
      </c>
      <c r="F285" t="s" s="300">
        <v>1072</v>
      </c>
      <c r="G285" t="s" s="352">
        <v>1073</v>
      </c>
      <c r="H285" t="s" s="353">
        <v>171</v>
      </c>
      <c r="I285" s="305">
        <v>4</v>
      </c>
      <c r="J285" t="s" s="306">
        <v>1080</v>
      </c>
      <c r="K285" t="s" s="306">
        <v>291</v>
      </c>
      <c r="L285" t="s" s="307">
        <v>1081</v>
      </c>
      <c r="M285" s="284"/>
      <c r="N285" s="284"/>
      <c r="O285" s="310">
        <f>_xlfn.IFERROR(VLOOKUP($P285,'Suppl'!$B$2:$N$57,MATCH($B285,'Suppl'!$C$1:$N$1,0)+1,FALSE),"")</f>
        <v>0</v>
      </c>
      <c r="P285" t="s" s="306">
        <f>E285&amp;I285</f>
        <v>490</v>
      </c>
      <c r="Q285" s="286"/>
      <c r="R285" s="298"/>
      <c r="S285" s="298"/>
    </row>
    <row r="286" ht="15" customHeight="1">
      <c r="A286" t="s" s="276">
        <f>B286&amp;E286&amp;I286</f>
        <v>1082</v>
      </c>
      <c r="B286" s="299">
        <f>B285</f>
        <v>7</v>
      </c>
      <c r="C286" t="s" s="300">
        <f>C285</f>
        <v>989</v>
      </c>
      <c r="D286" t="s" s="300">
        <v>975</v>
      </c>
      <c r="E286" s="301">
        <v>6</v>
      </c>
      <c r="F286" t="s" s="300">
        <v>1072</v>
      </c>
      <c r="G286" t="s" s="352">
        <v>1073</v>
      </c>
      <c r="H286" t="s" s="353">
        <v>171</v>
      </c>
      <c r="I286" s="305">
        <v>5</v>
      </c>
      <c r="J286" t="s" s="306">
        <v>1083</v>
      </c>
      <c r="K286" t="s" s="306">
        <v>256</v>
      </c>
      <c r="L286" s="312"/>
      <c r="M286" s="284"/>
      <c r="N286" s="284"/>
      <c r="O286" s="310">
        <f>_xlfn.IFERROR(VLOOKUP($P286,'Suppl'!$B$2:$N$57,MATCH($B286,'Suppl'!$C$1:$N$1,0)+1,FALSE),"")</f>
        <v>0</v>
      </c>
      <c r="P286" t="s" s="306">
        <f>E286&amp;I286</f>
        <v>492</v>
      </c>
      <c r="Q286" s="286"/>
      <c r="R286" s="298"/>
      <c r="S286" s="298"/>
    </row>
    <row r="287" ht="15" customHeight="1">
      <c r="A287" t="s" s="276">
        <f>B287&amp;E287&amp;I287</f>
        <v>1084</v>
      </c>
      <c r="B287" s="299">
        <f>B286</f>
        <v>7</v>
      </c>
      <c r="C287" t="s" s="300">
        <f>C286</f>
        <v>989</v>
      </c>
      <c r="D287" t="s" s="300">
        <v>975</v>
      </c>
      <c r="E287" s="301">
        <v>6</v>
      </c>
      <c r="F287" t="s" s="300">
        <v>1072</v>
      </c>
      <c r="G287" t="s" s="352">
        <v>1073</v>
      </c>
      <c r="H287" t="s" s="353">
        <v>171</v>
      </c>
      <c r="I287" s="305">
        <v>6</v>
      </c>
      <c r="J287" s="284"/>
      <c r="K287" t="s" s="306">
        <v>171</v>
      </c>
      <c r="L287" s="312"/>
      <c r="M287" s="284"/>
      <c r="N287" s="284"/>
      <c r="O287" s="310">
        <f>_xlfn.IFERROR(VLOOKUP($P287,'Suppl'!$B$2:$N$57,MATCH($B287,'Suppl'!$C$1:$N$1,0)+1,FALSE),"")</f>
        <v>0</v>
      </c>
      <c r="P287" t="s" s="306">
        <f>E287&amp;I287</f>
        <v>494</v>
      </c>
      <c r="Q287" s="286"/>
      <c r="R287" s="298"/>
      <c r="S287" s="298"/>
    </row>
    <row r="288" ht="15" customHeight="1">
      <c r="A288" t="s" s="276">
        <f>B288&amp;E288&amp;I288</f>
        <v>1085</v>
      </c>
      <c r="B288" s="331">
        <f>B287</f>
        <v>7</v>
      </c>
      <c r="C288" t="s" s="332">
        <f>C287</f>
        <v>989</v>
      </c>
      <c r="D288" t="s" s="332">
        <v>975</v>
      </c>
      <c r="E288" s="333">
        <v>6</v>
      </c>
      <c r="F288" t="s" s="332">
        <v>1072</v>
      </c>
      <c r="G288" t="s" s="361">
        <v>1073</v>
      </c>
      <c r="H288" t="s" s="385">
        <v>171</v>
      </c>
      <c r="I288" s="337">
        <v>7</v>
      </c>
      <c r="J288" s="338"/>
      <c r="K288" t="s" s="341">
        <v>171</v>
      </c>
      <c r="L288" s="339"/>
      <c r="M288" s="330"/>
      <c r="N288" s="330"/>
      <c r="O288" s="340">
        <f>_xlfn.IFERROR(VLOOKUP($P288,'Suppl'!$B$2:$N$57,MATCH($B288,'Suppl'!$C$1:$N$1,0)+1,FALSE),"")</f>
        <v>0</v>
      </c>
      <c r="P288" t="s" s="341">
        <f>E288&amp;I288</f>
        <v>496</v>
      </c>
      <c r="Q288" s="286"/>
      <c r="R288" s="298"/>
      <c r="S288" s="298"/>
    </row>
    <row r="289" ht="15" customHeight="1">
      <c r="A289" t="s" s="276">
        <f>B289&amp;E289&amp;I289</f>
        <v>132</v>
      </c>
      <c r="B289" s="342">
        <v>8</v>
      </c>
      <c r="C289" t="s" s="343">
        <v>231</v>
      </c>
      <c r="D289" t="s" s="343">
        <v>1086</v>
      </c>
      <c r="E289" s="344">
        <v>1</v>
      </c>
      <c r="F289" t="s" s="343">
        <v>1087</v>
      </c>
      <c r="G289" t="s" s="345">
        <v>1088</v>
      </c>
      <c r="H289" t="s" s="346">
        <v>171</v>
      </c>
      <c r="I289" s="342">
        <v>1</v>
      </c>
      <c r="J289" t="s" s="343">
        <v>1089</v>
      </c>
      <c r="K289" t="s" s="343">
        <v>283</v>
      </c>
      <c r="L289" s="389"/>
      <c r="M289" t="s" s="294">
        <v>1090</v>
      </c>
      <c r="N289" t="s" s="295">
        <v>1091</v>
      </c>
      <c r="O289" s="350">
        <f>_xlfn.IFERROR(VLOOKUP($P289,'Suppl'!$B$2:$N$57,MATCH($B289,'Suppl'!$C$1:$N$1,0)+1,FALSE),"")</f>
        <v>0</v>
      </c>
      <c r="P289" t="s" s="343">
        <f>E289&amp;I289</f>
        <v>260</v>
      </c>
      <c r="Q289" s="286"/>
      <c r="R289" s="298"/>
      <c r="S289" s="298"/>
    </row>
    <row r="290" ht="15" customHeight="1">
      <c r="A290" t="s" s="276">
        <f>B290&amp;E290&amp;I290</f>
        <v>1092</v>
      </c>
      <c r="B290" s="351">
        <f>B289</f>
        <v>8</v>
      </c>
      <c r="C290" t="s" s="300">
        <f>C289</f>
        <v>231</v>
      </c>
      <c r="D290" t="s" s="300">
        <v>1086</v>
      </c>
      <c r="E290" s="301">
        <v>1</v>
      </c>
      <c r="F290" t="s" s="300">
        <v>1087</v>
      </c>
      <c r="G290" t="s" s="352">
        <v>1088</v>
      </c>
      <c r="H290" t="s" s="353">
        <v>171</v>
      </c>
      <c r="I290" s="305">
        <v>2</v>
      </c>
      <c r="J290" t="s" s="306">
        <v>1093</v>
      </c>
      <c r="K290" t="s" s="306">
        <v>263</v>
      </c>
      <c r="L290" s="312"/>
      <c r="M290" t="s" s="308">
        <v>1094</v>
      </c>
      <c r="N290" t="s" s="309">
        <v>1095</v>
      </c>
      <c r="O290" s="310">
        <f>_xlfn.IFERROR(VLOOKUP($P290,'Suppl'!$B$2:$N$57,MATCH($B290,'Suppl'!$C$1:$N$1,0)+1,FALSE),"")</f>
        <v>0</v>
      </c>
      <c r="P290" t="s" s="306">
        <f>E290&amp;I290</f>
        <v>267</v>
      </c>
      <c r="Q290" s="286"/>
      <c r="R290" s="298"/>
      <c r="S290" s="298"/>
    </row>
    <row r="291" ht="15" customHeight="1">
      <c r="A291" t="s" s="276">
        <f>B291&amp;E291&amp;I291</f>
        <v>1096</v>
      </c>
      <c r="B291" s="351">
        <f>B290</f>
        <v>8</v>
      </c>
      <c r="C291" t="s" s="300">
        <f>C290</f>
        <v>1097</v>
      </c>
      <c r="D291" t="s" s="300">
        <v>1086</v>
      </c>
      <c r="E291" s="301">
        <v>1</v>
      </c>
      <c r="F291" t="s" s="300">
        <v>1087</v>
      </c>
      <c r="G291" t="s" s="352">
        <v>1088</v>
      </c>
      <c r="H291" t="s" s="353">
        <v>171</v>
      </c>
      <c r="I291" s="305">
        <v>3</v>
      </c>
      <c r="J291" s="284"/>
      <c r="K291" t="s" s="306">
        <v>171</v>
      </c>
      <c r="L291" s="312"/>
      <c r="M291" t="s" s="308">
        <v>1098</v>
      </c>
      <c r="N291" t="s" s="309">
        <v>1099</v>
      </c>
      <c r="O291" s="310">
        <f>_xlfn.IFERROR(VLOOKUP($P291,'Suppl'!$B$2:$N$57,MATCH($B291,'Suppl'!$C$1:$N$1,0)+1,FALSE),"")</f>
        <v>0</v>
      </c>
      <c r="P291" t="s" s="306">
        <f>E291&amp;I291</f>
        <v>275</v>
      </c>
      <c r="Q291" s="286"/>
      <c r="R291" s="298"/>
      <c r="S291" s="298"/>
    </row>
    <row r="292" ht="15" customHeight="1">
      <c r="A292" t="s" s="276">
        <f>B292&amp;E292&amp;I292</f>
        <v>1100</v>
      </c>
      <c r="B292" s="351">
        <f>B291</f>
        <v>8</v>
      </c>
      <c r="C292" t="s" s="300">
        <f>C291</f>
        <v>1097</v>
      </c>
      <c r="D292" t="s" s="300">
        <v>1086</v>
      </c>
      <c r="E292" s="301">
        <v>1</v>
      </c>
      <c r="F292" t="s" s="300">
        <v>1087</v>
      </c>
      <c r="G292" t="s" s="352">
        <v>1088</v>
      </c>
      <c r="H292" t="s" s="353">
        <v>171</v>
      </c>
      <c r="I292" s="305">
        <v>4</v>
      </c>
      <c r="J292" s="284"/>
      <c r="K292" t="s" s="306">
        <v>171</v>
      </c>
      <c r="L292" s="312"/>
      <c r="M292" s="311"/>
      <c r="N292" s="313"/>
      <c r="O292" s="310">
        <f>_xlfn.IFERROR(VLOOKUP($P292,'Suppl'!$B$2:$N$57,MATCH($B292,'Suppl'!$C$1:$N$1,0)+1,FALSE),"")</f>
        <v>0</v>
      </c>
      <c r="P292" t="s" s="306">
        <f>E292&amp;I292</f>
        <v>280</v>
      </c>
      <c r="Q292" s="286"/>
      <c r="R292" s="298"/>
      <c r="S292" s="298"/>
    </row>
    <row r="293" ht="15" customHeight="1">
      <c r="A293" t="s" s="276">
        <f>B293&amp;E293&amp;I293</f>
        <v>1101</v>
      </c>
      <c r="B293" s="351">
        <f>B292</f>
        <v>8</v>
      </c>
      <c r="C293" t="s" s="300">
        <f>C292</f>
        <v>1097</v>
      </c>
      <c r="D293" t="s" s="300">
        <v>1086</v>
      </c>
      <c r="E293" s="301">
        <v>1</v>
      </c>
      <c r="F293" t="s" s="300">
        <v>1087</v>
      </c>
      <c r="G293" t="s" s="352">
        <v>1088</v>
      </c>
      <c r="H293" t="s" s="353">
        <v>171</v>
      </c>
      <c r="I293" s="305">
        <v>5</v>
      </c>
      <c r="J293" s="284"/>
      <c r="K293" t="s" s="306">
        <v>171</v>
      </c>
      <c r="L293" s="312"/>
      <c r="M293" s="311"/>
      <c r="N293" s="313"/>
      <c r="O293" s="310">
        <f>_xlfn.IFERROR(VLOOKUP($P293,'Suppl'!$B$2:$N$57,MATCH($B293,'Suppl'!$C$1:$N$1,0)+1,FALSE),"")</f>
        <v>0</v>
      </c>
      <c r="P293" t="s" s="306">
        <f>E293&amp;I293</f>
        <v>284</v>
      </c>
      <c r="Q293" s="286"/>
      <c r="R293" s="298"/>
      <c r="S293" s="298"/>
    </row>
    <row r="294" ht="15" customHeight="1">
      <c r="A294" t="s" s="276">
        <f>B294&amp;E294&amp;I294</f>
        <v>1102</v>
      </c>
      <c r="B294" s="351">
        <f>B293</f>
        <v>8</v>
      </c>
      <c r="C294" t="s" s="300">
        <f>C293</f>
        <v>1097</v>
      </c>
      <c r="D294" t="s" s="300">
        <v>1086</v>
      </c>
      <c r="E294" s="301">
        <v>1</v>
      </c>
      <c r="F294" t="s" s="300">
        <v>1087</v>
      </c>
      <c r="G294" t="s" s="352">
        <v>1088</v>
      </c>
      <c r="H294" t="s" s="353">
        <v>171</v>
      </c>
      <c r="I294" s="305">
        <v>6</v>
      </c>
      <c r="J294" s="284"/>
      <c r="K294" t="s" s="306">
        <v>171</v>
      </c>
      <c r="L294" s="312"/>
      <c r="M294" s="311"/>
      <c r="N294" s="313"/>
      <c r="O294" s="310">
        <f>_xlfn.IFERROR(VLOOKUP($P294,'Suppl'!$B$2:$N$57,MATCH($B294,'Suppl'!$C$1:$N$1,0)+1,FALSE),"")</f>
        <v>0</v>
      </c>
      <c r="P294" t="s" s="306">
        <f>E294&amp;I294</f>
        <v>288</v>
      </c>
      <c r="Q294" s="286"/>
      <c r="R294" s="298"/>
      <c r="S294" s="298"/>
    </row>
    <row r="295" ht="15" customHeight="1">
      <c r="A295" t="s" s="276">
        <f>B295&amp;E295&amp;I295</f>
        <v>1103</v>
      </c>
      <c r="B295" s="354">
        <f>B294</f>
        <v>8</v>
      </c>
      <c r="C295" t="s" s="315">
        <f>C294</f>
        <v>1097</v>
      </c>
      <c r="D295" t="s" s="315">
        <v>1086</v>
      </c>
      <c r="E295" s="316">
        <v>1</v>
      </c>
      <c r="F295" t="s" s="315">
        <v>1087</v>
      </c>
      <c r="G295" t="s" s="355">
        <v>1088</v>
      </c>
      <c r="H295" t="s" s="353">
        <v>171</v>
      </c>
      <c r="I295" s="319">
        <v>7</v>
      </c>
      <c r="J295" s="330"/>
      <c r="K295" t="s" s="320">
        <v>171</v>
      </c>
      <c r="L295" s="321"/>
      <c r="M295" s="322"/>
      <c r="N295" s="323"/>
      <c r="O295" s="324">
        <f>_xlfn.IFERROR(VLOOKUP($P295,'Suppl'!$B$2:$N$57,MATCH($B295,'Suppl'!$C$1:$N$1,0)+1,FALSE),"")</f>
        <v>0</v>
      </c>
      <c r="P295" t="s" s="320">
        <f>E295&amp;I295</f>
        <v>292</v>
      </c>
      <c r="Q295" s="286"/>
      <c r="R295" s="298"/>
      <c r="S295" s="298"/>
    </row>
    <row r="296" ht="15" customHeight="1">
      <c r="A296" t="s" s="276">
        <f>B296&amp;E296&amp;I296</f>
        <v>135</v>
      </c>
      <c r="B296" s="356">
        <f>B295</f>
        <v>8</v>
      </c>
      <c r="C296" t="s" s="326">
        <f>C295</f>
        <v>1097</v>
      </c>
      <c r="D296" t="s" s="326">
        <v>1086</v>
      </c>
      <c r="E296" s="289">
        <v>2</v>
      </c>
      <c r="F296" t="s" s="288">
        <v>1104</v>
      </c>
      <c r="G296" t="s" s="357">
        <v>1105</v>
      </c>
      <c r="H296" t="s" s="353">
        <v>1106</v>
      </c>
      <c r="I296" s="292">
        <v>1</v>
      </c>
      <c r="J296" t="s" s="288">
        <v>1107</v>
      </c>
      <c r="K296" t="s" s="288">
        <v>283</v>
      </c>
      <c r="L296" t="s" s="293">
        <v>1108</v>
      </c>
      <c r="M296" s="328"/>
      <c r="N296" s="328"/>
      <c r="O296" s="296">
        <f>_xlfn.IFERROR(VLOOKUP($P296,'Suppl'!$B$2:$N$57,MATCH($B296,'Suppl'!$C$1:$N$1,0)+1,FALSE),"")</f>
        <v>0</v>
      </c>
      <c r="P296" t="s" s="288">
        <f>E296&amp;I296</f>
        <v>297</v>
      </c>
      <c r="Q296" s="286"/>
      <c r="R296" s="298"/>
      <c r="S296" s="298"/>
    </row>
    <row r="297" ht="15" customHeight="1">
      <c r="A297" t="s" s="276">
        <f>B297&amp;E297&amp;I297</f>
        <v>1109</v>
      </c>
      <c r="B297" s="351">
        <f>B296</f>
        <v>8</v>
      </c>
      <c r="C297" t="s" s="300">
        <f>C296</f>
        <v>1097</v>
      </c>
      <c r="D297" t="s" s="300">
        <v>1086</v>
      </c>
      <c r="E297" s="301">
        <v>2</v>
      </c>
      <c r="F297" t="s" s="300">
        <v>1104</v>
      </c>
      <c r="G297" t="s" s="352">
        <v>1105</v>
      </c>
      <c r="H297" t="s" s="353">
        <v>171</v>
      </c>
      <c r="I297" s="305">
        <v>2</v>
      </c>
      <c r="J297" t="s" s="306">
        <v>1110</v>
      </c>
      <c r="K297" t="s" s="306">
        <v>283</v>
      </c>
      <c r="L297" t="s" s="307">
        <v>1111</v>
      </c>
      <c r="M297" s="284"/>
      <c r="N297" s="284"/>
      <c r="O297" s="310">
        <f>_xlfn.IFERROR(VLOOKUP($P297,'Suppl'!$B$2:$N$57,MATCH($B297,'Suppl'!$C$1:$N$1,0)+1,FALSE),"")</f>
        <v>0</v>
      </c>
      <c r="P297" t="s" s="306">
        <f>E297&amp;I297</f>
        <v>300</v>
      </c>
      <c r="Q297" s="286"/>
      <c r="R297" s="298"/>
      <c r="S297" s="298"/>
    </row>
    <row r="298" ht="15" customHeight="1">
      <c r="A298" t="s" s="276">
        <f>B298&amp;E298&amp;I298</f>
        <v>1112</v>
      </c>
      <c r="B298" s="351">
        <f>B297</f>
        <v>8</v>
      </c>
      <c r="C298" t="s" s="300">
        <f>C297</f>
        <v>1097</v>
      </c>
      <c r="D298" t="s" s="300">
        <v>1086</v>
      </c>
      <c r="E298" s="301">
        <v>2</v>
      </c>
      <c r="F298" t="s" s="300">
        <v>1104</v>
      </c>
      <c r="G298" t="s" s="352">
        <v>1105</v>
      </c>
      <c r="H298" t="s" s="353">
        <v>171</v>
      </c>
      <c r="I298" s="305">
        <v>3</v>
      </c>
      <c r="J298" t="s" s="306">
        <v>1113</v>
      </c>
      <c r="K298" t="s" s="306">
        <v>263</v>
      </c>
      <c r="L298" t="s" s="307">
        <v>1114</v>
      </c>
      <c r="M298" s="284"/>
      <c r="N298" s="284"/>
      <c r="O298" s="310">
        <f>_xlfn.IFERROR(VLOOKUP($P298,'Suppl'!$B$2:$N$57,MATCH($B298,'Suppl'!$C$1:$N$1,0)+1,FALSE),"")</f>
        <v>0</v>
      </c>
      <c r="P298" t="s" s="306">
        <f>E298&amp;I298</f>
        <v>303</v>
      </c>
      <c r="Q298" s="286"/>
      <c r="R298" s="298"/>
      <c r="S298" s="298"/>
    </row>
    <row r="299" ht="15" customHeight="1">
      <c r="A299" t="s" s="276">
        <f>B299&amp;E299&amp;I299</f>
        <v>1115</v>
      </c>
      <c r="B299" s="351">
        <f>B298</f>
        <v>8</v>
      </c>
      <c r="C299" t="s" s="300">
        <f>C298</f>
        <v>1097</v>
      </c>
      <c r="D299" t="s" s="300">
        <v>1086</v>
      </c>
      <c r="E299" s="301">
        <v>2</v>
      </c>
      <c r="F299" t="s" s="300">
        <v>1104</v>
      </c>
      <c r="G299" t="s" s="352">
        <v>1105</v>
      </c>
      <c r="H299" t="s" s="353">
        <v>171</v>
      </c>
      <c r="I299" s="305">
        <v>4</v>
      </c>
      <c r="J299" t="s" s="306">
        <v>1116</v>
      </c>
      <c r="K299" t="s" s="306">
        <v>263</v>
      </c>
      <c r="L299" t="s" s="307">
        <v>1117</v>
      </c>
      <c r="M299" s="284"/>
      <c r="N299" s="284"/>
      <c r="O299" s="310">
        <f>_xlfn.IFERROR(VLOOKUP($P299,'Suppl'!$B$2:$N$57,MATCH($B299,'Suppl'!$C$1:$N$1,0)+1,FALSE),"")</f>
        <v>0</v>
      </c>
      <c r="P299" t="s" s="306">
        <f>E299&amp;I299</f>
        <v>307</v>
      </c>
      <c r="Q299" s="286"/>
      <c r="R299" s="298"/>
      <c r="S299" s="298"/>
    </row>
    <row r="300" ht="15" customHeight="1">
      <c r="A300" t="s" s="276">
        <f>B300&amp;E300&amp;I300</f>
        <v>1118</v>
      </c>
      <c r="B300" s="351">
        <f>B299</f>
        <v>8</v>
      </c>
      <c r="C300" t="s" s="300">
        <f>C299</f>
        <v>1097</v>
      </c>
      <c r="D300" t="s" s="300">
        <v>1086</v>
      </c>
      <c r="E300" s="301">
        <v>2</v>
      </c>
      <c r="F300" t="s" s="300">
        <v>1104</v>
      </c>
      <c r="G300" t="s" s="352">
        <v>1105</v>
      </c>
      <c r="H300" t="s" s="353">
        <v>171</v>
      </c>
      <c r="I300" s="305">
        <v>5</v>
      </c>
      <c r="J300" t="s" s="306">
        <v>1119</v>
      </c>
      <c r="K300" t="s" s="306">
        <v>263</v>
      </c>
      <c r="L300" t="s" s="307">
        <v>1120</v>
      </c>
      <c r="M300" s="284"/>
      <c r="N300" s="284"/>
      <c r="O300" s="310">
        <f>_xlfn.IFERROR(VLOOKUP($P300,'Suppl'!$B$2:$N$57,MATCH($B300,'Suppl'!$C$1:$N$1,0)+1,FALSE),"")</f>
        <v>0</v>
      </c>
      <c r="P300" t="s" s="306">
        <f>E300&amp;I300</f>
        <v>311</v>
      </c>
      <c r="Q300" s="286"/>
      <c r="R300" s="298"/>
      <c r="S300" s="298"/>
    </row>
    <row r="301" ht="15" customHeight="1">
      <c r="A301" t="s" s="276">
        <f>B301&amp;E301&amp;I301</f>
        <v>1121</v>
      </c>
      <c r="B301" s="351">
        <f>B300</f>
        <v>8</v>
      </c>
      <c r="C301" t="s" s="300">
        <f>C300</f>
        <v>1097</v>
      </c>
      <c r="D301" t="s" s="300">
        <v>1086</v>
      </c>
      <c r="E301" s="301">
        <v>2</v>
      </c>
      <c r="F301" t="s" s="300">
        <v>1104</v>
      </c>
      <c r="G301" t="s" s="352">
        <v>1105</v>
      </c>
      <c r="H301" t="s" s="353">
        <v>171</v>
      </c>
      <c r="I301" s="305">
        <v>6</v>
      </c>
      <c r="J301" t="s" s="306">
        <v>1122</v>
      </c>
      <c r="K301" t="s" s="306">
        <v>291</v>
      </c>
      <c r="L301" t="s" s="307">
        <v>1123</v>
      </c>
      <c r="M301" s="284"/>
      <c r="N301" s="284"/>
      <c r="O301" s="310">
        <f>_xlfn.IFERROR(VLOOKUP($P301,'Suppl'!$B$2:$N$57,MATCH($B301,'Suppl'!$C$1:$N$1,0)+1,FALSE),"")</f>
        <v>0</v>
      </c>
      <c r="P301" t="s" s="306">
        <f>E301&amp;I301</f>
        <v>315</v>
      </c>
      <c r="Q301" s="286"/>
      <c r="R301" s="298"/>
      <c r="S301" s="298"/>
    </row>
    <row r="302" ht="15" customHeight="1">
      <c r="A302" t="s" s="276">
        <f>B302&amp;E302&amp;I302</f>
        <v>1124</v>
      </c>
      <c r="B302" s="354">
        <f>B301</f>
        <v>8</v>
      </c>
      <c r="C302" t="s" s="315">
        <f>C301</f>
        <v>1097</v>
      </c>
      <c r="D302" t="s" s="315">
        <v>1086</v>
      </c>
      <c r="E302" s="316">
        <v>2</v>
      </c>
      <c r="F302" t="s" s="315">
        <v>1104</v>
      </c>
      <c r="G302" t="s" s="355">
        <v>1105</v>
      </c>
      <c r="H302" t="s" s="353">
        <v>171</v>
      </c>
      <c r="I302" s="319">
        <v>7</v>
      </c>
      <c r="J302" s="330"/>
      <c r="K302" t="s" s="320">
        <v>171</v>
      </c>
      <c r="L302" s="321"/>
      <c r="M302" s="330"/>
      <c r="N302" s="330"/>
      <c r="O302" s="324">
        <f>_xlfn.IFERROR(VLOOKUP($P302,'Suppl'!$B$2:$N$57,MATCH($B302,'Suppl'!$C$1:$N$1,0)+1,FALSE),"")</f>
        <v>0</v>
      </c>
      <c r="P302" t="s" s="320">
        <f>E302&amp;I302</f>
        <v>319</v>
      </c>
      <c r="Q302" s="286"/>
      <c r="R302" s="298"/>
      <c r="S302" s="298"/>
    </row>
    <row r="303" ht="15" customHeight="1">
      <c r="A303" t="s" s="276">
        <f>B303&amp;E303&amp;I303</f>
        <v>137</v>
      </c>
      <c r="B303" s="356">
        <f>B302</f>
        <v>8</v>
      </c>
      <c r="C303" t="s" s="326">
        <f>C302</f>
        <v>1097</v>
      </c>
      <c r="D303" t="s" s="326">
        <v>1086</v>
      </c>
      <c r="E303" s="289">
        <v>3</v>
      </c>
      <c r="F303" t="s" s="288">
        <v>1125</v>
      </c>
      <c r="G303" t="s" s="357">
        <v>1126</v>
      </c>
      <c r="H303" t="s" s="353">
        <v>171</v>
      </c>
      <c r="I303" s="292">
        <v>1</v>
      </c>
      <c r="J303" t="s" s="288">
        <v>1127</v>
      </c>
      <c r="K303" t="s" s="288">
        <v>263</v>
      </c>
      <c r="L303" t="s" s="293">
        <v>1128</v>
      </c>
      <c r="M303" s="328"/>
      <c r="N303" s="328"/>
      <c r="O303" s="296">
        <f>_xlfn.IFERROR(VLOOKUP($P303,'Suppl'!$B$2:$N$57,MATCH($B303,'Suppl'!$C$1:$N$1,0)+1,FALSE),"")</f>
        <v>0</v>
      </c>
      <c r="P303" t="s" s="288">
        <f>E303&amp;I303</f>
        <v>325</v>
      </c>
      <c r="Q303" s="286"/>
      <c r="R303" s="298"/>
      <c r="S303" s="298"/>
    </row>
    <row r="304" ht="15" customHeight="1">
      <c r="A304" t="s" s="276">
        <f>B304&amp;E304&amp;I304</f>
        <v>1129</v>
      </c>
      <c r="B304" s="351">
        <f>B303</f>
        <v>8</v>
      </c>
      <c r="C304" t="s" s="300">
        <f>C303</f>
        <v>1097</v>
      </c>
      <c r="D304" t="s" s="300">
        <v>1086</v>
      </c>
      <c r="E304" s="301">
        <v>3</v>
      </c>
      <c r="F304" t="s" s="300">
        <v>1125</v>
      </c>
      <c r="G304" t="s" s="352">
        <v>1126</v>
      </c>
      <c r="H304" t="s" s="353">
        <v>171</v>
      </c>
      <c r="I304" s="305">
        <v>2</v>
      </c>
      <c r="J304" t="s" s="306">
        <v>1130</v>
      </c>
      <c r="K304" t="s" s="306">
        <v>283</v>
      </c>
      <c r="L304" t="s" s="307">
        <v>1131</v>
      </c>
      <c r="M304" s="284"/>
      <c r="N304" s="284"/>
      <c r="O304" s="310">
        <f>_xlfn.IFERROR(VLOOKUP($P304,'Suppl'!$B$2:$N$57,MATCH($B304,'Suppl'!$C$1:$N$1,0)+1,FALSE),"")</f>
        <v>0</v>
      </c>
      <c r="P304" t="s" s="306">
        <f>E304&amp;I304</f>
        <v>329</v>
      </c>
      <c r="Q304" s="286"/>
      <c r="R304" s="298"/>
      <c r="S304" s="298"/>
    </row>
    <row r="305" ht="15" customHeight="1">
      <c r="A305" t="s" s="276">
        <f>B305&amp;E305&amp;I305</f>
        <v>1132</v>
      </c>
      <c r="B305" s="351">
        <f>B304</f>
        <v>8</v>
      </c>
      <c r="C305" t="s" s="300">
        <f>C304</f>
        <v>1097</v>
      </c>
      <c r="D305" t="s" s="300">
        <v>1086</v>
      </c>
      <c r="E305" s="301">
        <v>3</v>
      </c>
      <c r="F305" t="s" s="300">
        <v>1125</v>
      </c>
      <c r="G305" t="s" s="352">
        <v>1126</v>
      </c>
      <c r="H305" t="s" s="353">
        <v>171</v>
      </c>
      <c r="I305" s="305">
        <v>3</v>
      </c>
      <c r="J305" t="s" s="306">
        <v>1133</v>
      </c>
      <c r="K305" t="s" s="306">
        <v>271</v>
      </c>
      <c r="L305" t="s" s="307">
        <v>1134</v>
      </c>
      <c r="M305" s="284"/>
      <c r="N305" s="284"/>
      <c r="O305" s="310">
        <f>_xlfn.IFERROR(VLOOKUP($P305,'Suppl'!$B$2:$N$57,MATCH($B305,'Suppl'!$C$1:$N$1,0)+1,FALSE),"")</f>
        <v>0</v>
      </c>
      <c r="P305" t="s" s="306">
        <f>E305&amp;I305</f>
        <v>333</v>
      </c>
      <c r="Q305" s="286"/>
      <c r="R305" s="298"/>
      <c r="S305" s="298"/>
    </row>
    <row r="306" ht="15" customHeight="1">
      <c r="A306" t="s" s="276">
        <f>B306&amp;E306&amp;I306</f>
        <v>1135</v>
      </c>
      <c r="B306" s="351">
        <f>B305</f>
        <v>8</v>
      </c>
      <c r="C306" t="s" s="300">
        <f>C305</f>
        <v>1097</v>
      </c>
      <c r="D306" t="s" s="300">
        <v>1086</v>
      </c>
      <c r="E306" s="301">
        <v>3</v>
      </c>
      <c r="F306" t="s" s="300">
        <v>1125</v>
      </c>
      <c r="G306" t="s" s="352">
        <v>1126</v>
      </c>
      <c r="H306" t="s" s="353">
        <v>171</v>
      </c>
      <c r="I306" s="305">
        <v>4</v>
      </c>
      <c r="J306" t="s" s="306">
        <v>1136</v>
      </c>
      <c r="K306" t="s" s="306">
        <v>263</v>
      </c>
      <c r="L306" t="s" s="307">
        <v>1137</v>
      </c>
      <c r="M306" s="284"/>
      <c r="N306" s="284"/>
      <c r="O306" s="310">
        <f>_xlfn.IFERROR(VLOOKUP($P306,'Suppl'!$B$2:$N$57,MATCH($B306,'Suppl'!$C$1:$N$1,0)+1,FALSE),"")</f>
        <v>0</v>
      </c>
      <c r="P306" t="s" s="306">
        <f>E306&amp;I306</f>
        <v>336</v>
      </c>
      <c r="Q306" s="286"/>
      <c r="R306" s="298"/>
      <c r="S306" s="298"/>
    </row>
    <row r="307" ht="15" customHeight="1">
      <c r="A307" t="s" s="276">
        <f>B307&amp;E307&amp;I307</f>
        <v>1138</v>
      </c>
      <c r="B307" s="351">
        <f>B306</f>
        <v>8</v>
      </c>
      <c r="C307" t="s" s="300">
        <f>C306</f>
        <v>1097</v>
      </c>
      <c r="D307" t="s" s="300">
        <v>1086</v>
      </c>
      <c r="E307" s="301">
        <v>3</v>
      </c>
      <c r="F307" t="s" s="300">
        <v>1125</v>
      </c>
      <c r="G307" t="s" s="352">
        <v>1126</v>
      </c>
      <c r="H307" t="s" s="353">
        <v>171</v>
      </c>
      <c r="I307" s="305">
        <v>5</v>
      </c>
      <c r="J307" t="s" s="306">
        <v>1139</v>
      </c>
      <c r="K307" t="s" s="306">
        <v>271</v>
      </c>
      <c r="L307" t="s" s="307">
        <v>1140</v>
      </c>
      <c r="M307" s="284"/>
      <c r="N307" s="284"/>
      <c r="O307" s="310">
        <f>_xlfn.IFERROR(VLOOKUP($P307,'Suppl'!$B$2:$N$57,MATCH($B307,'Suppl'!$C$1:$N$1,0)+1,FALSE),"")</f>
        <v>0</v>
      </c>
      <c r="P307" t="s" s="306">
        <f>E307&amp;I307</f>
        <v>338</v>
      </c>
      <c r="Q307" s="286"/>
      <c r="R307" s="298"/>
      <c r="S307" s="298"/>
    </row>
    <row r="308" ht="15" customHeight="1">
      <c r="A308" t="s" s="276">
        <f>B308&amp;E308&amp;I308</f>
        <v>1141</v>
      </c>
      <c r="B308" s="351">
        <f>B307</f>
        <v>8</v>
      </c>
      <c r="C308" t="s" s="300">
        <f>C307</f>
        <v>1097</v>
      </c>
      <c r="D308" t="s" s="300">
        <v>1086</v>
      </c>
      <c r="E308" s="301">
        <v>3</v>
      </c>
      <c r="F308" t="s" s="300">
        <v>1125</v>
      </c>
      <c r="G308" t="s" s="352">
        <v>1126</v>
      </c>
      <c r="H308" t="s" s="353">
        <v>171</v>
      </c>
      <c r="I308" s="305">
        <v>6</v>
      </c>
      <c r="J308" s="284"/>
      <c r="K308" t="s" s="306">
        <v>171</v>
      </c>
      <c r="L308" s="312"/>
      <c r="M308" s="284"/>
      <c r="N308" s="284"/>
      <c r="O308" s="310">
        <f>_xlfn.IFERROR(VLOOKUP($P308,'Suppl'!$B$2:$N$57,MATCH($B308,'Suppl'!$C$1:$N$1,0)+1,FALSE),"")</f>
        <v>0</v>
      </c>
      <c r="P308" t="s" s="306">
        <f>E308&amp;I308</f>
        <v>340</v>
      </c>
      <c r="Q308" s="286"/>
      <c r="R308" s="298"/>
      <c r="S308" s="298"/>
    </row>
    <row r="309" ht="15" customHeight="1">
      <c r="A309" t="s" s="276">
        <f>B309&amp;E309&amp;I309</f>
        <v>1142</v>
      </c>
      <c r="B309" s="354">
        <f>B308</f>
        <v>8</v>
      </c>
      <c r="C309" t="s" s="315">
        <f>C308</f>
        <v>1097</v>
      </c>
      <c r="D309" t="s" s="315">
        <v>1086</v>
      </c>
      <c r="E309" s="316">
        <v>3</v>
      </c>
      <c r="F309" t="s" s="315">
        <v>1125</v>
      </c>
      <c r="G309" t="s" s="355">
        <v>1126</v>
      </c>
      <c r="H309" t="s" s="353">
        <v>171</v>
      </c>
      <c r="I309" s="319">
        <v>7</v>
      </c>
      <c r="J309" s="330"/>
      <c r="K309" t="s" s="320">
        <v>171</v>
      </c>
      <c r="L309" s="321"/>
      <c r="M309" s="330"/>
      <c r="N309" s="330"/>
      <c r="O309" s="324">
        <f>_xlfn.IFERROR(VLOOKUP($P309,'Suppl'!$B$2:$N$57,MATCH($B309,'Suppl'!$C$1:$N$1,0)+1,FALSE),"")</f>
        <v>0</v>
      </c>
      <c r="P309" t="s" s="320">
        <f>E309&amp;I309</f>
        <v>342</v>
      </c>
      <c r="Q309" s="286"/>
      <c r="R309" s="298"/>
      <c r="S309" s="298"/>
    </row>
    <row r="310" ht="15" customHeight="1">
      <c r="A310" t="s" s="276">
        <f>B310&amp;E310&amp;I310</f>
        <v>139</v>
      </c>
      <c r="B310" s="356">
        <f>B309</f>
        <v>8</v>
      </c>
      <c r="C310" t="s" s="326">
        <f>C309</f>
        <v>1097</v>
      </c>
      <c r="D310" t="s" s="326">
        <v>1086</v>
      </c>
      <c r="E310" s="289">
        <v>4</v>
      </c>
      <c r="F310" t="s" s="288">
        <v>1143</v>
      </c>
      <c r="G310" t="s" s="357">
        <v>1144</v>
      </c>
      <c r="H310" t="s" s="353">
        <v>1145</v>
      </c>
      <c r="I310" s="292">
        <v>1</v>
      </c>
      <c r="J310" t="s" s="288">
        <v>1146</v>
      </c>
      <c r="K310" t="s" s="288">
        <v>271</v>
      </c>
      <c r="L310" t="s" s="293">
        <v>1147</v>
      </c>
      <c r="M310" s="328"/>
      <c r="N310" s="328"/>
      <c r="O310" s="296">
        <f>_xlfn.IFERROR(VLOOKUP($P310,'Suppl'!$B$2:$N$57,MATCH($B310,'Suppl'!$C$1:$N$1,0)+1,FALSE),"")</f>
        <v>0</v>
      </c>
      <c r="P310" t="s" s="288">
        <f>E310&amp;I310</f>
        <v>348</v>
      </c>
      <c r="Q310" s="286"/>
      <c r="R310" s="298"/>
      <c r="S310" s="298"/>
    </row>
    <row r="311" ht="15" customHeight="1">
      <c r="A311" t="s" s="276">
        <f>B311&amp;E311&amp;I311</f>
        <v>1148</v>
      </c>
      <c r="B311" s="351">
        <f>B310</f>
        <v>8</v>
      </c>
      <c r="C311" t="s" s="300">
        <f>C310</f>
        <v>1097</v>
      </c>
      <c r="D311" t="s" s="300">
        <v>1086</v>
      </c>
      <c r="E311" s="301">
        <v>4</v>
      </c>
      <c r="F311" t="s" s="300">
        <v>1143</v>
      </c>
      <c r="G311" t="s" s="352">
        <v>1144</v>
      </c>
      <c r="H311" t="s" s="353">
        <v>171</v>
      </c>
      <c r="I311" s="305">
        <v>2</v>
      </c>
      <c r="J311" t="s" s="306">
        <v>1149</v>
      </c>
      <c r="K311" t="s" s="306">
        <v>271</v>
      </c>
      <c r="L311" t="s" s="307">
        <v>1150</v>
      </c>
      <c r="M311" s="284"/>
      <c r="N311" s="284"/>
      <c r="O311" s="310">
        <f>_xlfn.IFERROR(VLOOKUP($P311,'Suppl'!$B$2:$N$57,MATCH($B311,'Suppl'!$C$1:$N$1,0)+1,FALSE),"")</f>
        <v>0</v>
      </c>
      <c r="P311" t="s" s="306">
        <f>E311&amp;I311</f>
        <v>351</v>
      </c>
      <c r="Q311" s="286"/>
      <c r="R311" s="298"/>
      <c r="S311" s="298"/>
    </row>
    <row r="312" ht="15" customHeight="1">
      <c r="A312" t="s" s="276">
        <f>B312&amp;E312&amp;I312</f>
        <v>1151</v>
      </c>
      <c r="B312" s="351">
        <f>B311</f>
        <v>8</v>
      </c>
      <c r="C312" t="s" s="300">
        <f>C311</f>
        <v>1097</v>
      </c>
      <c r="D312" t="s" s="300">
        <v>1086</v>
      </c>
      <c r="E312" s="301">
        <v>4</v>
      </c>
      <c r="F312" t="s" s="300">
        <v>1143</v>
      </c>
      <c r="G312" t="s" s="352">
        <v>1144</v>
      </c>
      <c r="H312" t="s" s="353">
        <v>171</v>
      </c>
      <c r="I312" s="305">
        <v>3</v>
      </c>
      <c r="J312" t="s" s="306">
        <v>1152</v>
      </c>
      <c r="K312" t="s" s="306">
        <v>271</v>
      </c>
      <c r="L312" t="s" s="307">
        <v>1153</v>
      </c>
      <c r="M312" s="284"/>
      <c r="N312" s="284"/>
      <c r="O312" s="310">
        <f>_xlfn.IFERROR(VLOOKUP($P312,'Suppl'!$B$2:$N$57,MATCH($B312,'Suppl'!$C$1:$N$1,0)+1,FALSE),"")</f>
        <v>0</v>
      </c>
      <c r="P312" t="s" s="306">
        <f>E312&amp;I312</f>
        <v>354</v>
      </c>
      <c r="Q312" s="286"/>
      <c r="R312" s="298"/>
      <c r="S312" s="298"/>
    </row>
    <row r="313" ht="15" customHeight="1">
      <c r="A313" t="s" s="276">
        <f>B313&amp;E313&amp;I313</f>
        <v>1154</v>
      </c>
      <c r="B313" s="351">
        <f>B312</f>
        <v>8</v>
      </c>
      <c r="C313" t="s" s="300">
        <f>C312</f>
        <v>1097</v>
      </c>
      <c r="D313" t="s" s="300">
        <v>1086</v>
      </c>
      <c r="E313" s="301">
        <v>4</v>
      </c>
      <c r="F313" t="s" s="300">
        <v>1143</v>
      </c>
      <c r="G313" t="s" s="352">
        <v>1144</v>
      </c>
      <c r="H313" t="s" s="353">
        <v>171</v>
      </c>
      <c r="I313" s="305">
        <v>4</v>
      </c>
      <c r="J313" t="s" s="306">
        <v>1155</v>
      </c>
      <c r="K313" t="s" s="306">
        <v>291</v>
      </c>
      <c r="L313" t="s" s="307">
        <v>1156</v>
      </c>
      <c r="M313" s="284"/>
      <c r="N313" s="284"/>
      <c r="O313" s="310">
        <f>_xlfn.IFERROR(VLOOKUP($P313,'Suppl'!$B$2:$N$57,MATCH($B313,'Suppl'!$C$1:$N$1,0)+1,FALSE),"")</f>
        <v>0</v>
      </c>
      <c r="P313" t="s" s="306">
        <f>E313&amp;I313</f>
        <v>357</v>
      </c>
      <c r="Q313" s="286"/>
      <c r="R313" s="298"/>
      <c r="S313" s="298"/>
    </row>
    <row r="314" ht="15" customHeight="1">
      <c r="A314" t="s" s="276">
        <f>B314&amp;E314&amp;I314</f>
        <v>1157</v>
      </c>
      <c r="B314" s="351">
        <f>B313</f>
        <v>8</v>
      </c>
      <c r="C314" t="s" s="300">
        <f>C313</f>
        <v>1097</v>
      </c>
      <c r="D314" t="s" s="300">
        <v>1086</v>
      </c>
      <c r="E314" s="301">
        <v>4</v>
      </c>
      <c r="F314" t="s" s="300">
        <v>1143</v>
      </c>
      <c r="G314" t="s" s="352">
        <v>1144</v>
      </c>
      <c r="H314" t="s" s="353">
        <v>171</v>
      </c>
      <c r="I314" s="305">
        <v>5</v>
      </c>
      <c r="J314" s="284"/>
      <c r="K314" t="s" s="306">
        <v>171</v>
      </c>
      <c r="L314" s="312"/>
      <c r="M314" s="284"/>
      <c r="N314" s="284"/>
      <c r="O314" s="310">
        <f>_xlfn.IFERROR(VLOOKUP($P314,'Suppl'!$B$2:$N$57,MATCH($B314,'Suppl'!$C$1:$N$1,0)+1,FALSE),"")</f>
        <v>0</v>
      </c>
      <c r="P314" t="s" s="306">
        <f>E314&amp;I314</f>
        <v>360</v>
      </c>
      <c r="Q314" s="286"/>
      <c r="R314" s="298"/>
      <c r="S314" s="298"/>
    </row>
    <row r="315" ht="15" customHeight="1">
      <c r="A315" t="s" s="276">
        <f>B315&amp;E315&amp;I315</f>
        <v>1158</v>
      </c>
      <c r="B315" s="351">
        <f>B314</f>
        <v>8</v>
      </c>
      <c r="C315" t="s" s="300">
        <f>C314</f>
        <v>1097</v>
      </c>
      <c r="D315" t="s" s="300">
        <v>1086</v>
      </c>
      <c r="E315" s="301">
        <v>4</v>
      </c>
      <c r="F315" t="s" s="300">
        <v>1143</v>
      </c>
      <c r="G315" t="s" s="352">
        <v>1144</v>
      </c>
      <c r="H315" t="s" s="353">
        <v>171</v>
      </c>
      <c r="I315" s="305">
        <v>6</v>
      </c>
      <c r="J315" s="284"/>
      <c r="K315" t="s" s="306">
        <v>171</v>
      </c>
      <c r="L315" s="312"/>
      <c r="M315" s="284"/>
      <c r="N315" s="284"/>
      <c r="O315" s="310">
        <f>_xlfn.IFERROR(VLOOKUP($P315,'Suppl'!$B$2:$N$57,MATCH($B315,'Suppl'!$C$1:$N$1,0)+1,FALSE),"")</f>
        <v>0</v>
      </c>
      <c r="P315" t="s" s="306">
        <f>E315&amp;I315</f>
        <v>363</v>
      </c>
      <c r="Q315" s="286"/>
      <c r="R315" s="298"/>
      <c r="S315" s="298"/>
    </row>
    <row r="316" ht="15" customHeight="1">
      <c r="A316" t="s" s="276">
        <f>B316&amp;E316&amp;I316</f>
        <v>1159</v>
      </c>
      <c r="B316" s="354">
        <f>B315</f>
        <v>8</v>
      </c>
      <c r="C316" t="s" s="315">
        <f>C315</f>
        <v>1097</v>
      </c>
      <c r="D316" t="s" s="315">
        <v>1086</v>
      </c>
      <c r="E316" s="316">
        <v>4</v>
      </c>
      <c r="F316" t="s" s="315">
        <v>1143</v>
      </c>
      <c r="G316" t="s" s="355">
        <v>1144</v>
      </c>
      <c r="H316" t="s" s="353">
        <v>171</v>
      </c>
      <c r="I316" s="319">
        <v>7</v>
      </c>
      <c r="J316" s="330"/>
      <c r="K316" t="s" s="320">
        <v>171</v>
      </c>
      <c r="L316" s="321"/>
      <c r="M316" s="330"/>
      <c r="N316" s="330"/>
      <c r="O316" s="324">
        <f>_xlfn.IFERROR(VLOOKUP($P316,'Suppl'!$B$2:$N$57,MATCH($B316,'Suppl'!$C$1:$N$1,0)+1,FALSE),"")</f>
        <v>0</v>
      </c>
      <c r="P316" t="s" s="320">
        <f>E316&amp;I316</f>
        <v>365</v>
      </c>
      <c r="Q316" s="286"/>
      <c r="R316" s="298"/>
      <c r="S316" s="298"/>
    </row>
    <row r="317" ht="15" customHeight="1">
      <c r="A317" t="s" s="276">
        <f>B317&amp;E317&amp;I317</f>
        <v>142</v>
      </c>
      <c r="B317" s="356">
        <f>B316</f>
        <v>8</v>
      </c>
      <c r="C317" t="s" s="326">
        <f>C316</f>
        <v>1097</v>
      </c>
      <c r="D317" t="s" s="326">
        <v>1086</v>
      </c>
      <c r="E317" s="289">
        <v>5</v>
      </c>
      <c r="F317" t="s" s="288">
        <v>1160</v>
      </c>
      <c r="G317" t="s" s="357">
        <v>1161</v>
      </c>
      <c r="H317" t="s" s="353">
        <v>1162</v>
      </c>
      <c r="I317" s="292">
        <v>1</v>
      </c>
      <c r="J317" t="s" s="288">
        <v>1163</v>
      </c>
      <c r="K317" t="s" s="288">
        <v>283</v>
      </c>
      <c r="L317" t="s" s="293">
        <v>1164</v>
      </c>
      <c r="M317" s="328"/>
      <c r="N317" s="328"/>
      <c r="O317" s="296">
        <f>_xlfn.IFERROR(VLOOKUP($P317,'Suppl'!$B$2:$N$57,MATCH($B317,'Suppl'!$C$1:$N$1,0)+1,FALSE),"")</f>
        <v>0</v>
      </c>
      <c r="P317" t="s" s="288">
        <f>E317&amp;I317</f>
        <v>370</v>
      </c>
      <c r="Q317" s="286"/>
      <c r="R317" s="298"/>
      <c r="S317" s="298"/>
    </row>
    <row r="318" ht="15" customHeight="1">
      <c r="A318" t="s" s="276">
        <f>B318&amp;E318&amp;I318</f>
        <v>1165</v>
      </c>
      <c r="B318" s="351">
        <f>B317</f>
        <v>8</v>
      </c>
      <c r="C318" t="s" s="300">
        <f>C317</f>
        <v>1097</v>
      </c>
      <c r="D318" t="s" s="300">
        <v>1086</v>
      </c>
      <c r="E318" s="301">
        <v>5</v>
      </c>
      <c r="F318" t="s" s="300">
        <v>1160</v>
      </c>
      <c r="G318" t="s" s="352">
        <v>1161</v>
      </c>
      <c r="H318" t="s" s="353">
        <v>171</v>
      </c>
      <c r="I318" s="305">
        <v>2</v>
      </c>
      <c r="J318" t="s" s="306">
        <v>1166</v>
      </c>
      <c r="K318" t="s" s="306">
        <v>283</v>
      </c>
      <c r="L318" t="s" s="307">
        <v>1167</v>
      </c>
      <c r="M318" s="284"/>
      <c r="N318" s="284"/>
      <c r="O318" s="310">
        <f>_xlfn.IFERROR(VLOOKUP($P318,'Suppl'!$B$2:$N$57,MATCH($B318,'Suppl'!$C$1:$N$1,0)+1,FALSE),"")</f>
        <v>0</v>
      </c>
      <c r="P318" t="s" s="306">
        <f>E318&amp;I318</f>
        <v>374</v>
      </c>
      <c r="Q318" s="286"/>
      <c r="R318" s="298"/>
      <c r="S318" s="298"/>
    </row>
    <row r="319" ht="15" customHeight="1">
      <c r="A319" t="s" s="276">
        <f>B319&amp;E319&amp;I319</f>
        <v>1168</v>
      </c>
      <c r="B319" s="351">
        <f>B318</f>
        <v>8</v>
      </c>
      <c r="C319" t="s" s="300">
        <f>C318</f>
        <v>1097</v>
      </c>
      <c r="D319" t="s" s="300">
        <v>1086</v>
      </c>
      <c r="E319" s="301">
        <v>5</v>
      </c>
      <c r="F319" t="s" s="300">
        <v>1160</v>
      </c>
      <c r="G319" t="s" s="352">
        <v>1161</v>
      </c>
      <c r="H319" t="s" s="353">
        <v>171</v>
      </c>
      <c r="I319" s="305">
        <v>3</v>
      </c>
      <c r="J319" t="s" s="306">
        <v>1169</v>
      </c>
      <c r="K319" t="s" s="306">
        <v>263</v>
      </c>
      <c r="L319" s="312"/>
      <c r="M319" s="284"/>
      <c r="N319" s="284"/>
      <c r="O319" s="310">
        <f>_xlfn.IFERROR(VLOOKUP($P319,'Suppl'!$B$2:$N$57,MATCH($B319,'Suppl'!$C$1:$N$1,0)+1,FALSE),"")</f>
        <v>0</v>
      </c>
      <c r="P319" t="s" s="306">
        <f>E319&amp;I319</f>
        <v>377</v>
      </c>
      <c r="Q319" s="286"/>
      <c r="R319" s="298"/>
      <c r="S319" s="298"/>
    </row>
    <row r="320" ht="15" customHeight="1">
      <c r="A320" t="s" s="276">
        <f>B320&amp;E320&amp;I320</f>
        <v>1170</v>
      </c>
      <c r="B320" s="351">
        <f>B319</f>
        <v>8</v>
      </c>
      <c r="C320" t="s" s="300">
        <f>C319</f>
        <v>1097</v>
      </c>
      <c r="D320" t="s" s="300">
        <v>1086</v>
      </c>
      <c r="E320" s="301">
        <v>5</v>
      </c>
      <c r="F320" t="s" s="300">
        <v>1160</v>
      </c>
      <c r="G320" t="s" s="352">
        <v>1161</v>
      </c>
      <c r="H320" t="s" s="353">
        <v>171</v>
      </c>
      <c r="I320" s="305">
        <v>4</v>
      </c>
      <c r="J320" t="s" s="306">
        <v>1171</v>
      </c>
      <c r="K320" t="s" s="306">
        <v>271</v>
      </c>
      <c r="L320" t="s" s="307">
        <v>1172</v>
      </c>
      <c r="M320" s="284"/>
      <c r="N320" s="284"/>
      <c r="O320" s="310">
        <f>_xlfn.IFERROR(VLOOKUP($P320,'Suppl'!$B$2:$N$57,MATCH($B320,'Suppl'!$C$1:$N$1,0)+1,FALSE),"")</f>
        <v>0</v>
      </c>
      <c r="P320" t="s" s="306">
        <f>E320&amp;I320</f>
        <v>380</v>
      </c>
      <c r="Q320" s="286"/>
      <c r="R320" s="298"/>
      <c r="S320" s="298"/>
    </row>
    <row r="321" ht="15" customHeight="1">
      <c r="A321" t="s" s="276">
        <f>B321&amp;E321&amp;I321</f>
        <v>1173</v>
      </c>
      <c r="B321" s="351">
        <f>B320</f>
        <v>8</v>
      </c>
      <c r="C321" t="s" s="300">
        <f>C320</f>
        <v>1097</v>
      </c>
      <c r="D321" t="s" s="300">
        <v>1086</v>
      </c>
      <c r="E321" s="301">
        <v>5</v>
      </c>
      <c r="F321" t="s" s="300">
        <v>1160</v>
      </c>
      <c r="G321" t="s" s="352">
        <v>1161</v>
      </c>
      <c r="H321" t="s" s="353">
        <v>171</v>
      </c>
      <c r="I321" s="305">
        <v>5</v>
      </c>
      <c r="J321" t="s" s="306">
        <v>1174</v>
      </c>
      <c r="K321" t="s" s="306">
        <v>263</v>
      </c>
      <c r="L321" t="s" s="307">
        <v>1175</v>
      </c>
      <c r="M321" s="284"/>
      <c r="N321" s="284"/>
      <c r="O321" s="310">
        <f>_xlfn.IFERROR(VLOOKUP($P321,'Suppl'!$B$2:$N$57,MATCH($B321,'Suppl'!$C$1:$N$1,0)+1,FALSE),"")</f>
        <v>0</v>
      </c>
      <c r="P321" t="s" s="306">
        <f>E321&amp;I321</f>
        <v>383</v>
      </c>
      <c r="Q321" s="286"/>
      <c r="R321" s="298"/>
      <c r="S321" s="298"/>
    </row>
    <row r="322" ht="15" customHeight="1">
      <c r="A322" t="s" s="276">
        <f>B322&amp;E322&amp;I322</f>
        <v>1176</v>
      </c>
      <c r="B322" s="351">
        <f>B321</f>
        <v>8</v>
      </c>
      <c r="C322" t="s" s="300">
        <f>C321</f>
        <v>1097</v>
      </c>
      <c r="D322" t="s" s="300">
        <v>1086</v>
      </c>
      <c r="E322" s="301">
        <v>5</v>
      </c>
      <c r="F322" t="s" s="300">
        <v>1160</v>
      </c>
      <c r="G322" t="s" s="352">
        <v>1161</v>
      </c>
      <c r="H322" t="s" s="353">
        <v>171</v>
      </c>
      <c r="I322" s="305">
        <v>6</v>
      </c>
      <c r="J322" s="284"/>
      <c r="K322" t="s" s="306">
        <v>171</v>
      </c>
      <c r="L322" s="312"/>
      <c r="M322" s="284"/>
      <c r="N322" s="284"/>
      <c r="O322" s="310">
        <f>_xlfn.IFERROR(VLOOKUP($P322,'Suppl'!$B$2:$N$57,MATCH($B322,'Suppl'!$C$1:$N$1,0)+1,FALSE),"")</f>
        <v>0</v>
      </c>
      <c r="P322" t="s" s="306">
        <f>E322&amp;I322</f>
        <v>385</v>
      </c>
      <c r="Q322" s="286"/>
      <c r="R322" s="298"/>
      <c r="S322" s="298"/>
    </row>
    <row r="323" ht="15" customHeight="1">
      <c r="A323" t="s" s="276">
        <f>B323&amp;E323&amp;I323</f>
        <v>1177</v>
      </c>
      <c r="B323" s="354">
        <f>B322</f>
        <v>8</v>
      </c>
      <c r="C323" t="s" s="315">
        <f>C322</f>
        <v>1097</v>
      </c>
      <c r="D323" t="s" s="315">
        <v>1086</v>
      </c>
      <c r="E323" s="316">
        <v>5</v>
      </c>
      <c r="F323" t="s" s="315">
        <v>1160</v>
      </c>
      <c r="G323" t="s" s="355">
        <v>1161</v>
      </c>
      <c r="H323" t="s" s="353">
        <v>171</v>
      </c>
      <c r="I323" s="319">
        <v>7</v>
      </c>
      <c r="J323" s="330"/>
      <c r="K323" t="s" s="320">
        <v>171</v>
      </c>
      <c r="L323" s="321"/>
      <c r="M323" s="330"/>
      <c r="N323" s="330"/>
      <c r="O323" s="324">
        <f>_xlfn.IFERROR(VLOOKUP($P323,'Suppl'!$B$2:$N$57,MATCH($B323,'Suppl'!$C$1:$N$1,0)+1,FALSE),"")</f>
        <v>0</v>
      </c>
      <c r="P323" t="s" s="320">
        <f>E323&amp;I323</f>
        <v>387</v>
      </c>
      <c r="Q323" s="286"/>
      <c r="R323" s="298"/>
      <c r="S323" s="298"/>
    </row>
    <row r="324" ht="15" customHeight="1">
      <c r="A324" t="s" s="276">
        <f>B324&amp;E324&amp;I324</f>
        <v>145</v>
      </c>
      <c r="B324" s="356">
        <f>B323</f>
        <v>8</v>
      </c>
      <c r="C324" t="s" s="326">
        <f>C323</f>
        <v>1097</v>
      </c>
      <c r="D324" t="s" s="326">
        <v>1086</v>
      </c>
      <c r="E324" s="289">
        <v>6</v>
      </c>
      <c r="F324" t="s" s="288">
        <v>1178</v>
      </c>
      <c r="G324" t="s" s="357">
        <v>1179</v>
      </c>
      <c r="H324" t="s" s="353">
        <v>171</v>
      </c>
      <c r="I324" s="292">
        <v>1</v>
      </c>
      <c r="J324" t="s" s="288">
        <v>1180</v>
      </c>
      <c r="K324" t="s" s="288">
        <v>283</v>
      </c>
      <c r="L324" t="s" s="293">
        <v>1181</v>
      </c>
      <c r="M324" t="s" s="288">
        <v>171</v>
      </c>
      <c r="N324" s="328"/>
      <c r="O324" s="296">
        <f>_xlfn.IFERROR(VLOOKUP($P324,'Suppl'!$B$2:$N$57,MATCH($B324,'Suppl'!$C$1:$N$1,0)+1,FALSE),"")</f>
        <v>0</v>
      </c>
      <c r="P324" t="s" s="288">
        <f>E324&amp;I324</f>
        <v>479</v>
      </c>
      <c r="Q324" s="286"/>
      <c r="R324" s="298"/>
      <c r="S324" s="298"/>
    </row>
    <row r="325" ht="15" customHeight="1">
      <c r="A325" t="s" s="276">
        <f>B325&amp;E325&amp;I325</f>
        <v>1182</v>
      </c>
      <c r="B325" s="351">
        <f>B324</f>
        <v>8</v>
      </c>
      <c r="C325" t="s" s="300">
        <f>C324</f>
        <v>1097</v>
      </c>
      <c r="D325" t="s" s="300">
        <v>1086</v>
      </c>
      <c r="E325" s="301">
        <v>6</v>
      </c>
      <c r="F325" t="s" s="300">
        <v>1178</v>
      </c>
      <c r="G325" t="s" s="352">
        <v>1179</v>
      </c>
      <c r="H325" t="s" s="353">
        <v>171</v>
      </c>
      <c r="I325" s="305">
        <v>2</v>
      </c>
      <c r="J325" t="s" s="306">
        <v>1183</v>
      </c>
      <c r="K325" t="s" s="306">
        <v>263</v>
      </c>
      <c r="L325" t="s" s="307">
        <v>1184</v>
      </c>
      <c r="M325" t="s" s="306">
        <v>171</v>
      </c>
      <c r="N325" s="284"/>
      <c r="O325" s="310">
        <f>_xlfn.IFERROR(VLOOKUP($P325,'Suppl'!$B$2:$N$57,MATCH($B325,'Suppl'!$C$1:$N$1,0)+1,FALSE),"")</f>
        <v>0</v>
      </c>
      <c r="P325" t="s" s="306">
        <f>E325&amp;I325</f>
        <v>483</v>
      </c>
      <c r="Q325" s="286"/>
      <c r="R325" s="298"/>
      <c r="S325" s="298"/>
    </row>
    <row r="326" ht="15" customHeight="1">
      <c r="A326" t="s" s="276">
        <f>B326&amp;E326&amp;I326</f>
        <v>1185</v>
      </c>
      <c r="B326" s="351">
        <f>B325</f>
        <v>8</v>
      </c>
      <c r="C326" t="s" s="300">
        <f>C325</f>
        <v>1097</v>
      </c>
      <c r="D326" t="s" s="300">
        <v>1086</v>
      </c>
      <c r="E326" s="301">
        <v>6</v>
      </c>
      <c r="F326" t="s" s="300">
        <v>1178</v>
      </c>
      <c r="G326" t="s" s="352">
        <v>1179</v>
      </c>
      <c r="H326" t="s" s="353">
        <v>171</v>
      </c>
      <c r="I326" s="305">
        <v>3</v>
      </c>
      <c r="J326" t="s" s="306">
        <v>1186</v>
      </c>
      <c r="K326" t="s" s="306">
        <v>263</v>
      </c>
      <c r="L326" t="s" s="307">
        <v>1187</v>
      </c>
      <c r="M326" t="s" s="306">
        <v>171</v>
      </c>
      <c r="N326" s="284"/>
      <c r="O326" s="310">
        <f>_xlfn.IFERROR(VLOOKUP($P326,'Suppl'!$B$2:$N$57,MATCH($B326,'Suppl'!$C$1:$N$1,0)+1,FALSE),"")</f>
        <v>0</v>
      </c>
      <c r="P326" t="s" s="306">
        <f>E326&amp;I326</f>
        <v>487</v>
      </c>
      <c r="Q326" s="286"/>
      <c r="R326" s="298"/>
      <c r="S326" s="298"/>
    </row>
    <row r="327" ht="15" customHeight="1">
      <c r="A327" t="s" s="276">
        <f>B327&amp;E327&amp;I327</f>
        <v>1188</v>
      </c>
      <c r="B327" s="351">
        <f>B326</f>
        <v>8</v>
      </c>
      <c r="C327" t="s" s="300">
        <f>C326</f>
        <v>1097</v>
      </c>
      <c r="D327" t="s" s="300">
        <v>1086</v>
      </c>
      <c r="E327" s="301">
        <v>6</v>
      </c>
      <c r="F327" t="s" s="300">
        <v>1178</v>
      </c>
      <c r="G327" t="s" s="352">
        <v>1179</v>
      </c>
      <c r="H327" t="s" s="353">
        <v>171</v>
      </c>
      <c r="I327" s="305">
        <v>4</v>
      </c>
      <c r="J327" t="s" s="306">
        <v>1189</v>
      </c>
      <c r="K327" t="s" s="306">
        <v>271</v>
      </c>
      <c r="L327" t="s" s="307">
        <v>1190</v>
      </c>
      <c r="M327" t="s" s="306">
        <v>171</v>
      </c>
      <c r="N327" s="284"/>
      <c r="O327" s="310">
        <f>_xlfn.IFERROR(VLOOKUP($P327,'Suppl'!$B$2:$N$57,MATCH($B327,'Suppl'!$C$1:$N$1,0)+1,FALSE),"")</f>
        <v>0</v>
      </c>
      <c r="P327" t="s" s="306">
        <f>E327&amp;I327</f>
        <v>490</v>
      </c>
      <c r="Q327" s="286"/>
      <c r="R327" s="298"/>
      <c r="S327" s="298"/>
    </row>
    <row r="328" ht="15" customHeight="1">
      <c r="A328" t="s" s="276">
        <f>B328&amp;E328&amp;I328</f>
        <v>1191</v>
      </c>
      <c r="B328" s="351">
        <f>B327</f>
        <v>8</v>
      </c>
      <c r="C328" t="s" s="300">
        <f>C327</f>
        <v>1097</v>
      </c>
      <c r="D328" t="s" s="300">
        <v>1086</v>
      </c>
      <c r="E328" s="301">
        <v>6</v>
      </c>
      <c r="F328" t="s" s="300">
        <v>1178</v>
      </c>
      <c r="G328" t="s" s="352">
        <v>1179</v>
      </c>
      <c r="H328" t="s" s="353">
        <v>171</v>
      </c>
      <c r="I328" s="305">
        <v>5</v>
      </c>
      <c r="J328" t="s" s="306">
        <v>1192</v>
      </c>
      <c r="K328" t="s" s="306">
        <v>271</v>
      </c>
      <c r="L328" t="s" s="307">
        <v>1193</v>
      </c>
      <c r="M328" t="s" s="306">
        <v>171</v>
      </c>
      <c r="N328" s="284"/>
      <c r="O328" s="310">
        <f>_xlfn.IFERROR(VLOOKUP($P328,'Suppl'!$B$2:$N$57,MATCH($B328,'Suppl'!$C$1:$N$1,0)+1,FALSE),"")</f>
        <v>0</v>
      </c>
      <c r="P328" t="s" s="306">
        <f>E328&amp;I328</f>
        <v>492</v>
      </c>
      <c r="Q328" s="286"/>
      <c r="R328" s="298"/>
      <c r="S328" s="298"/>
    </row>
    <row r="329" ht="15" customHeight="1">
      <c r="A329" t="s" s="276">
        <f>B329&amp;E329&amp;I329</f>
        <v>1194</v>
      </c>
      <c r="B329" s="351">
        <f>B328</f>
        <v>8</v>
      </c>
      <c r="C329" t="s" s="300">
        <f>C328</f>
        <v>1097</v>
      </c>
      <c r="D329" t="s" s="300">
        <v>1086</v>
      </c>
      <c r="E329" s="301">
        <v>6</v>
      </c>
      <c r="F329" t="s" s="300">
        <v>1178</v>
      </c>
      <c r="G329" t="s" s="352">
        <v>1179</v>
      </c>
      <c r="H329" t="s" s="353">
        <v>171</v>
      </c>
      <c r="I329" s="305">
        <v>6</v>
      </c>
      <c r="J329" s="284"/>
      <c r="K329" t="s" s="306">
        <v>171</v>
      </c>
      <c r="L329" s="312"/>
      <c r="M329" t="s" s="306">
        <v>171</v>
      </c>
      <c r="N329" s="284"/>
      <c r="O329" s="310">
        <f>_xlfn.IFERROR(VLOOKUP($P329,'Suppl'!$B$2:$N$57,MATCH($B329,'Suppl'!$C$1:$N$1,0)+1,FALSE),"")</f>
        <v>0</v>
      </c>
      <c r="P329" t="s" s="306">
        <f>E329&amp;I329</f>
        <v>494</v>
      </c>
      <c r="Q329" s="286"/>
      <c r="R329" s="298"/>
      <c r="S329" s="298"/>
    </row>
    <row r="330" ht="15" customHeight="1">
      <c r="A330" t="s" s="276">
        <f>B330&amp;E330&amp;I330</f>
        <v>1195</v>
      </c>
      <c r="B330" s="354">
        <f>B329</f>
        <v>8</v>
      </c>
      <c r="C330" t="s" s="315">
        <f>C329</f>
        <v>1097</v>
      </c>
      <c r="D330" t="s" s="315">
        <v>1086</v>
      </c>
      <c r="E330" s="316">
        <v>6</v>
      </c>
      <c r="F330" t="s" s="315">
        <v>1178</v>
      </c>
      <c r="G330" t="s" s="355">
        <v>1179</v>
      </c>
      <c r="H330" t="s" s="353">
        <v>171</v>
      </c>
      <c r="I330" s="319">
        <v>7</v>
      </c>
      <c r="J330" s="330"/>
      <c r="K330" t="s" s="320">
        <v>171</v>
      </c>
      <c r="L330" s="321"/>
      <c r="M330" t="s" s="320">
        <v>171</v>
      </c>
      <c r="N330" s="330"/>
      <c r="O330" s="324">
        <f>_xlfn.IFERROR(VLOOKUP($P330,'Suppl'!$B$2:$N$57,MATCH($B330,'Suppl'!$C$1:$N$1,0)+1,FALSE),"")</f>
        <v>0</v>
      </c>
      <c r="P330" t="s" s="320">
        <f>E330&amp;I330</f>
        <v>496</v>
      </c>
      <c r="Q330" s="286"/>
      <c r="R330" s="298"/>
      <c r="S330" s="298"/>
    </row>
    <row r="331" ht="15" customHeight="1">
      <c r="A331" t="s" s="276">
        <f>B331&amp;E331&amp;I331</f>
        <v>147</v>
      </c>
      <c r="B331" s="356">
        <f>B330</f>
        <v>8</v>
      </c>
      <c r="C331" t="s" s="326">
        <f>C330</f>
        <v>1097</v>
      </c>
      <c r="D331" t="s" s="326">
        <v>1086</v>
      </c>
      <c r="E331" s="289">
        <v>7</v>
      </c>
      <c r="F331" t="s" s="288">
        <v>1196</v>
      </c>
      <c r="G331" t="s" s="357">
        <v>1197</v>
      </c>
      <c r="H331" s="396"/>
      <c r="I331" s="292">
        <v>1</v>
      </c>
      <c r="J331" t="s" s="288">
        <v>1198</v>
      </c>
      <c r="K331" t="s" s="288">
        <v>263</v>
      </c>
      <c r="L331" t="s" s="293">
        <v>1199</v>
      </c>
      <c r="M331" t="s" s="288">
        <v>171</v>
      </c>
      <c r="N331" s="328"/>
      <c r="O331" s="296">
        <f>_xlfn.IFERROR(VLOOKUP($P331,'Suppl'!$B$2:$N$57,MATCH($B331,'Suppl'!$C$1:$N$1,0)+1,FALSE),"")</f>
        <v>0</v>
      </c>
      <c r="P331" t="s" s="288">
        <f>E331&amp;I331</f>
        <v>623</v>
      </c>
      <c r="Q331" s="286"/>
      <c r="R331" s="298"/>
      <c r="S331" s="298"/>
    </row>
    <row r="332" ht="15" customHeight="1">
      <c r="A332" t="s" s="276">
        <f>B332&amp;E332&amp;I332</f>
        <v>1200</v>
      </c>
      <c r="B332" s="351">
        <f>B331</f>
        <v>8</v>
      </c>
      <c r="C332" t="s" s="300">
        <f>C331</f>
        <v>1097</v>
      </c>
      <c r="D332" t="s" s="300">
        <v>1086</v>
      </c>
      <c r="E332" s="301">
        <v>7</v>
      </c>
      <c r="F332" t="s" s="300">
        <v>1196</v>
      </c>
      <c r="G332" t="s" s="352">
        <v>1197</v>
      </c>
      <c r="H332" t="s" s="353">
        <v>171</v>
      </c>
      <c r="I332" s="305">
        <v>2</v>
      </c>
      <c r="J332" t="s" s="306">
        <v>1201</v>
      </c>
      <c r="K332" t="s" s="306">
        <v>263</v>
      </c>
      <c r="L332" t="s" s="307">
        <v>1202</v>
      </c>
      <c r="M332" t="s" s="306">
        <v>171</v>
      </c>
      <c r="N332" s="284"/>
      <c r="O332" s="310">
        <f>_xlfn.IFERROR(VLOOKUP($P332,'Suppl'!$B$2:$N$57,MATCH($B332,'Suppl'!$C$1:$N$1,0)+1,FALSE),"")</f>
        <v>0</v>
      </c>
      <c r="P332" t="s" s="306">
        <f>E332&amp;I332</f>
        <v>627</v>
      </c>
      <c r="Q332" s="286"/>
      <c r="R332" s="298"/>
      <c r="S332" s="298"/>
    </row>
    <row r="333" ht="15" customHeight="1">
      <c r="A333" t="s" s="276">
        <f>B333&amp;E333&amp;I333</f>
        <v>1203</v>
      </c>
      <c r="B333" s="351">
        <f>B332</f>
        <v>8</v>
      </c>
      <c r="C333" t="s" s="300">
        <f>C332</f>
        <v>1097</v>
      </c>
      <c r="D333" t="s" s="300">
        <v>1086</v>
      </c>
      <c r="E333" s="301">
        <v>7</v>
      </c>
      <c r="F333" t="s" s="300">
        <v>1196</v>
      </c>
      <c r="G333" t="s" s="352">
        <v>1197</v>
      </c>
      <c r="H333" t="s" s="353">
        <v>171</v>
      </c>
      <c r="I333" s="305">
        <v>3</v>
      </c>
      <c r="J333" t="s" s="306">
        <v>1204</v>
      </c>
      <c r="K333" t="s" s="306">
        <v>291</v>
      </c>
      <c r="L333" t="s" s="307">
        <v>1205</v>
      </c>
      <c r="M333" t="s" s="306">
        <v>171</v>
      </c>
      <c r="N333" s="284"/>
      <c r="O333" s="310">
        <f>_xlfn.IFERROR(VLOOKUP($P333,'Suppl'!$B$2:$N$57,MATCH($B333,'Suppl'!$C$1:$N$1,0)+1,FALSE),"")</f>
        <v>0</v>
      </c>
      <c r="P333" t="s" s="306">
        <f>E333&amp;I333</f>
        <v>630</v>
      </c>
      <c r="Q333" s="286"/>
      <c r="R333" s="298"/>
      <c r="S333" s="298"/>
    </row>
    <row r="334" ht="15" customHeight="1">
      <c r="A334" t="s" s="276">
        <f>B334&amp;E334&amp;I334</f>
        <v>1206</v>
      </c>
      <c r="B334" s="351">
        <f>B333</f>
        <v>8</v>
      </c>
      <c r="C334" t="s" s="300">
        <f>C333</f>
        <v>1097</v>
      </c>
      <c r="D334" t="s" s="300">
        <v>1086</v>
      </c>
      <c r="E334" s="301">
        <v>7</v>
      </c>
      <c r="F334" t="s" s="300">
        <v>1196</v>
      </c>
      <c r="G334" t="s" s="352">
        <v>1197</v>
      </c>
      <c r="H334" t="s" s="353">
        <v>171</v>
      </c>
      <c r="I334" s="305">
        <v>4</v>
      </c>
      <c r="J334" s="284"/>
      <c r="K334" t="s" s="306">
        <v>171</v>
      </c>
      <c r="L334" s="312"/>
      <c r="M334" t="s" s="306">
        <v>171</v>
      </c>
      <c r="N334" s="284"/>
      <c r="O334" s="310">
        <f>_xlfn.IFERROR(VLOOKUP($P334,'Suppl'!$B$2:$N$57,MATCH($B334,'Suppl'!$C$1:$N$1,0)+1,FALSE),"")</f>
        <v>0</v>
      </c>
      <c r="P334" t="s" s="306">
        <f>E334&amp;I334</f>
        <v>634</v>
      </c>
      <c r="Q334" s="286"/>
      <c r="R334" s="298"/>
      <c r="S334" s="298"/>
    </row>
    <row r="335" ht="15" customHeight="1">
      <c r="A335" t="s" s="276">
        <f>B335&amp;E335&amp;I335</f>
        <v>1207</v>
      </c>
      <c r="B335" s="351">
        <f>B334</f>
        <v>8</v>
      </c>
      <c r="C335" t="s" s="300">
        <f>C334</f>
        <v>1097</v>
      </c>
      <c r="D335" t="s" s="300">
        <v>1086</v>
      </c>
      <c r="E335" s="301">
        <v>7</v>
      </c>
      <c r="F335" t="s" s="300">
        <v>1196</v>
      </c>
      <c r="G335" t="s" s="352">
        <v>1197</v>
      </c>
      <c r="H335" t="s" s="353">
        <v>171</v>
      </c>
      <c r="I335" s="305">
        <v>5</v>
      </c>
      <c r="J335" s="284"/>
      <c r="K335" t="s" s="306">
        <v>171</v>
      </c>
      <c r="L335" s="312"/>
      <c r="M335" t="s" s="306">
        <v>171</v>
      </c>
      <c r="N335" s="284"/>
      <c r="O335" s="310">
        <f>_xlfn.IFERROR(VLOOKUP($P335,'Suppl'!$B$2:$N$57,MATCH($B335,'Suppl'!$C$1:$N$1,0)+1,FALSE),"")</f>
        <v>0</v>
      </c>
      <c r="P335" t="s" s="306">
        <f>E335&amp;I335</f>
        <v>637</v>
      </c>
      <c r="Q335" s="286"/>
      <c r="R335" s="298"/>
      <c r="S335" s="298"/>
    </row>
    <row r="336" ht="15" customHeight="1">
      <c r="A336" t="s" s="276">
        <f>B336&amp;E336&amp;I336</f>
        <v>1208</v>
      </c>
      <c r="B336" s="351">
        <f>B335</f>
        <v>8</v>
      </c>
      <c r="C336" t="s" s="300">
        <f>C335</f>
        <v>1097</v>
      </c>
      <c r="D336" t="s" s="300">
        <v>1086</v>
      </c>
      <c r="E336" s="301">
        <v>7</v>
      </c>
      <c r="F336" t="s" s="300">
        <v>1196</v>
      </c>
      <c r="G336" t="s" s="352">
        <v>1197</v>
      </c>
      <c r="H336" t="s" s="353">
        <v>171</v>
      </c>
      <c r="I336" s="305">
        <v>6</v>
      </c>
      <c r="J336" s="284"/>
      <c r="K336" t="s" s="306">
        <v>171</v>
      </c>
      <c r="L336" s="312"/>
      <c r="M336" t="s" s="306">
        <v>171</v>
      </c>
      <c r="N336" s="284"/>
      <c r="O336" s="310">
        <f>_xlfn.IFERROR(VLOOKUP($P336,'Suppl'!$B$2:$N$57,MATCH($B336,'Suppl'!$C$1:$N$1,0)+1,FALSE),"")</f>
        <v>0</v>
      </c>
      <c r="P336" t="s" s="306">
        <f>E336&amp;I336</f>
        <v>639</v>
      </c>
      <c r="Q336" s="286"/>
      <c r="R336" s="298"/>
      <c r="S336" s="298"/>
    </row>
    <row r="337" ht="15" customHeight="1">
      <c r="A337" t="s" s="276">
        <f>B337&amp;E337&amp;I337</f>
        <v>1209</v>
      </c>
      <c r="B337" s="384">
        <f>B336</f>
        <v>8</v>
      </c>
      <c r="C337" s="375">
        <f>C336</f>
      </c>
      <c r="D337" t="s" s="332">
        <v>1086</v>
      </c>
      <c r="E337" s="333">
        <v>7</v>
      </c>
      <c r="F337" t="s" s="332">
        <v>1196</v>
      </c>
      <c r="G337" t="s" s="361">
        <v>1197</v>
      </c>
      <c r="H337" t="s" s="385">
        <v>171</v>
      </c>
      <c r="I337" s="337">
        <v>7</v>
      </c>
      <c r="J337" s="338"/>
      <c r="K337" t="s" s="341">
        <v>171</v>
      </c>
      <c r="L337" s="339"/>
      <c r="M337" t="s" s="320">
        <v>171</v>
      </c>
      <c r="N337" t="s" s="320">
        <v>171</v>
      </c>
      <c r="O337" s="324">
        <f>_xlfn.IFERROR(VLOOKUP($P337,'Suppl'!$B$2:$N$57,MATCH($B337,'Suppl'!$C$1:$N$1,0)+1,FALSE),"")</f>
        <v>0</v>
      </c>
      <c r="P337" t="s" s="320">
        <f>E337&amp;I337</f>
        <v>641</v>
      </c>
      <c r="Q337" s="286"/>
      <c r="R337" s="298"/>
      <c r="S337" s="298"/>
    </row>
    <row r="338" ht="15" customHeight="1">
      <c r="A338" t="s" s="276">
        <f>B338&amp;E338&amp;I338</f>
        <v>163</v>
      </c>
      <c r="B338" s="386">
        <v>10</v>
      </c>
      <c r="C338" t="s" s="343">
        <v>233</v>
      </c>
      <c r="D338" t="s" s="343">
        <v>1210</v>
      </c>
      <c r="E338" s="344">
        <v>1</v>
      </c>
      <c r="F338" t="s" s="343">
        <v>1211</v>
      </c>
      <c r="G338" t="s" s="345">
        <v>1212</v>
      </c>
      <c r="H338" t="s" s="346">
        <v>171</v>
      </c>
      <c r="I338" s="342">
        <v>1</v>
      </c>
      <c r="J338" t="s" s="343">
        <v>1213</v>
      </c>
      <c r="K338" t="s" s="343">
        <v>263</v>
      </c>
      <c r="L338" t="s" s="347">
        <v>1214</v>
      </c>
      <c r="M338" t="s" s="294">
        <v>1215</v>
      </c>
      <c r="N338" t="s" s="295">
        <v>1216</v>
      </c>
      <c r="O338" s="296">
        <f>_xlfn.IFERROR(VLOOKUP($P338,'Suppl'!$B$2:$N$57,MATCH($B338,'Suppl'!$C$1:$N$1,0)+1,FALSE),"")</f>
        <v>0</v>
      </c>
      <c r="P338" t="s" s="288">
        <f>E338&amp;I338</f>
        <v>260</v>
      </c>
      <c r="Q338" s="286"/>
      <c r="R338" s="298"/>
      <c r="S338" s="298"/>
    </row>
    <row r="339" ht="15" customHeight="1">
      <c r="A339" t="s" s="276">
        <f>B339&amp;E339&amp;I339</f>
        <v>1217</v>
      </c>
      <c r="B339" s="299">
        <f>B338</f>
        <v>10</v>
      </c>
      <c r="C339" t="s" s="300">
        <f>C338</f>
        <v>233</v>
      </c>
      <c r="D339" t="s" s="300">
        <v>1210</v>
      </c>
      <c r="E339" s="301">
        <v>1</v>
      </c>
      <c r="F339" t="s" s="300">
        <v>1211</v>
      </c>
      <c r="G339" t="s" s="352">
        <v>1212</v>
      </c>
      <c r="H339" t="s" s="353">
        <v>171</v>
      </c>
      <c r="I339" s="305">
        <v>2</v>
      </c>
      <c r="J339" t="s" s="306">
        <v>1218</v>
      </c>
      <c r="K339" t="s" s="306">
        <v>271</v>
      </c>
      <c r="L339" t="s" s="307">
        <v>1219</v>
      </c>
      <c r="M339" t="s" s="308">
        <v>1220</v>
      </c>
      <c r="N339" t="s" s="309">
        <v>1221</v>
      </c>
      <c r="O339" s="310">
        <f>_xlfn.IFERROR(VLOOKUP($P339,'Suppl'!$B$2:$N$57,MATCH($B339,'Suppl'!$C$1:$N$1,0)+1,FALSE),"")</f>
        <v>0</v>
      </c>
      <c r="P339" t="s" s="306">
        <f>E339&amp;I339</f>
        <v>267</v>
      </c>
      <c r="Q339" s="286"/>
      <c r="R339" s="298"/>
      <c r="S339" s="298"/>
    </row>
    <row r="340" ht="15" customHeight="1">
      <c r="A340" t="s" s="276">
        <f>B340&amp;E340&amp;I340</f>
        <v>1222</v>
      </c>
      <c r="B340" s="299">
        <f>B339</f>
        <v>10</v>
      </c>
      <c r="C340" t="s" s="300">
        <f>C339</f>
        <v>1223</v>
      </c>
      <c r="D340" t="s" s="300">
        <v>1210</v>
      </c>
      <c r="E340" s="301">
        <v>1</v>
      </c>
      <c r="F340" t="s" s="300">
        <v>1211</v>
      </c>
      <c r="G340" t="s" s="352">
        <v>1212</v>
      </c>
      <c r="H340" t="s" s="353">
        <v>171</v>
      </c>
      <c r="I340" s="305">
        <v>3</v>
      </c>
      <c r="J340" t="s" s="306">
        <v>1224</v>
      </c>
      <c r="K340" t="s" s="306">
        <v>271</v>
      </c>
      <c r="L340" t="s" s="307">
        <v>1225</v>
      </c>
      <c r="M340" t="s" s="308">
        <v>1226</v>
      </c>
      <c r="N340" t="s" s="309">
        <v>1227</v>
      </c>
      <c r="O340" s="310">
        <f>_xlfn.IFERROR(VLOOKUP($P340,'Suppl'!$B$2:$N$57,MATCH($B340,'Suppl'!$C$1:$N$1,0)+1,FALSE),"")</f>
        <v>0</v>
      </c>
      <c r="P340" t="s" s="306">
        <f>E340&amp;I340</f>
        <v>275</v>
      </c>
      <c r="Q340" s="286"/>
      <c r="R340" s="298"/>
      <c r="S340" s="298"/>
    </row>
    <row r="341" ht="15" customHeight="1">
      <c r="A341" t="s" s="276">
        <f>B341&amp;E341&amp;I341</f>
        <v>1228</v>
      </c>
      <c r="B341" s="299">
        <f>B340</f>
        <v>10</v>
      </c>
      <c r="C341" t="s" s="300">
        <f>C340</f>
        <v>1223</v>
      </c>
      <c r="D341" t="s" s="300">
        <v>1210</v>
      </c>
      <c r="E341" s="301">
        <v>1</v>
      </c>
      <c r="F341" t="s" s="300">
        <v>1211</v>
      </c>
      <c r="G341" t="s" s="352">
        <v>1212</v>
      </c>
      <c r="H341" t="s" s="353">
        <v>171</v>
      </c>
      <c r="I341" s="305">
        <v>4</v>
      </c>
      <c r="J341" t="s" s="306">
        <v>1229</v>
      </c>
      <c r="K341" t="s" s="306">
        <v>271</v>
      </c>
      <c r="L341" s="312"/>
      <c r="M341" t="s" s="308">
        <v>1230</v>
      </c>
      <c r="N341" s="313"/>
      <c r="O341" s="310">
        <f>_xlfn.IFERROR(VLOOKUP($P341,'Suppl'!$B$2:$N$57,MATCH($B341,'Suppl'!$C$1:$N$1,0)+1,FALSE),"")</f>
        <v>0</v>
      </c>
      <c r="P341" t="s" s="306">
        <f>E341&amp;I341</f>
        <v>280</v>
      </c>
      <c r="Q341" s="286"/>
      <c r="R341" s="298"/>
      <c r="S341" s="298"/>
    </row>
    <row r="342" ht="15" customHeight="1">
      <c r="A342" t="s" s="276">
        <f>B342&amp;E342&amp;I342</f>
        <v>1231</v>
      </c>
      <c r="B342" s="299">
        <f>B341</f>
        <v>10</v>
      </c>
      <c r="C342" t="s" s="300">
        <f>C341</f>
        <v>1223</v>
      </c>
      <c r="D342" t="s" s="300">
        <v>1210</v>
      </c>
      <c r="E342" s="301">
        <v>1</v>
      </c>
      <c r="F342" t="s" s="300">
        <v>1211</v>
      </c>
      <c r="G342" t="s" s="352">
        <v>1212</v>
      </c>
      <c r="H342" t="s" s="353">
        <v>171</v>
      </c>
      <c r="I342" s="305">
        <v>5</v>
      </c>
      <c r="J342" t="s" s="306">
        <v>1232</v>
      </c>
      <c r="K342" t="s" s="306">
        <v>283</v>
      </c>
      <c r="L342" t="s" s="307">
        <v>1233</v>
      </c>
      <c r="M342" s="311"/>
      <c r="N342" s="313"/>
      <c r="O342" s="310">
        <f>_xlfn.IFERROR(VLOOKUP($P342,'Suppl'!$B$2:$N$57,MATCH($B342,'Suppl'!$C$1:$N$1,0)+1,FALSE),"")</f>
        <v>0</v>
      </c>
      <c r="P342" t="s" s="306">
        <f>E342&amp;I342</f>
        <v>284</v>
      </c>
      <c r="Q342" s="286"/>
      <c r="R342" s="298"/>
      <c r="S342" s="298"/>
    </row>
    <row r="343" ht="15" customHeight="1">
      <c r="A343" t="s" s="276">
        <f>B343&amp;E343&amp;I343</f>
        <v>1234</v>
      </c>
      <c r="B343" s="299">
        <f>B342</f>
        <v>10</v>
      </c>
      <c r="C343" t="s" s="300">
        <f>C342</f>
        <v>1223</v>
      </c>
      <c r="D343" t="s" s="300">
        <v>1210</v>
      </c>
      <c r="E343" s="301">
        <v>1</v>
      </c>
      <c r="F343" t="s" s="300">
        <v>1211</v>
      </c>
      <c r="G343" t="s" s="352">
        <v>1212</v>
      </c>
      <c r="H343" t="s" s="353">
        <v>171</v>
      </c>
      <c r="I343" s="305">
        <v>6</v>
      </c>
      <c r="J343" t="s" s="306">
        <v>1235</v>
      </c>
      <c r="K343" t="s" s="306">
        <v>271</v>
      </c>
      <c r="L343" t="s" s="307">
        <v>1236</v>
      </c>
      <c r="M343" s="311"/>
      <c r="N343" s="313"/>
      <c r="O343" s="310">
        <f>_xlfn.IFERROR(VLOOKUP($P343,'Suppl'!$B$2:$N$57,MATCH($B343,'Suppl'!$C$1:$N$1,0)+1,FALSE),"")</f>
        <v>0</v>
      </c>
      <c r="P343" t="s" s="306">
        <f>E343&amp;I343</f>
        <v>288</v>
      </c>
      <c r="Q343" s="286"/>
      <c r="R343" s="298"/>
      <c r="S343" s="298"/>
    </row>
    <row r="344" ht="15" customHeight="1">
      <c r="A344" t="s" s="276">
        <f>B344&amp;E344&amp;I344</f>
        <v>1237</v>
      </c>
      <c r="B344" s="314">
        <f>B343</f>
        <v>10</v>
      </c>
      <c r="C344" t="s" s="315">
        <f>C343</f>
        <v>1223</v>
      </c>
      <c r="D344" t="s" s="315">
        <v>1210</v>
      </c>
      <c r="E344" s="316">
        <v>1</v>
      </c>
      <c r="F344" t="s" s="315">
        <v>1211</v>
      </c>
      <c r="G344" t="s" s="355">
        <v>1212</v>
      </c>
      <c r="H344" t="s" s="353">
        <v>171</v>
      </c>
      <c r="I344" s="319">
        <v>7</v>
      </c>
      <c r="J344" s="330"/>
      <c r="K344" t="s" s="320">
        <v>171</v>
      </c>
      <c r="L344" s="321"/>
      <c r="M344" s="322"/>
      <c r="N344" s="323"/>
      <c r="O344" s="324">
        <f>_xlfn.IFERROR(VLOOKUP($P344,'Suppl'!$B$2:$N$57,MATCH($B344,'Suppl'!$C$1:$N$1,0)+1,FALSE),"")</f>
        <v>0</v>
      </c>
      <c r="P344" t="s" s="320">
        <f>E344&amp;I344</f>
        <v>292</v>
      </c>
      <c r="Q344" s="286"/>
      <c r="R344" s="298"/>
      <c r="S344" s="298"/>
    </row>
    <row r="345" ht="15" customHeight="1">
      <c r="A345" t="s" s="276">
        <f>B345&amp;E345&amp;I345</f>
        <v>166</v>
      </c>
      <c r="B345" s="325">
        <f>B344</f>
        <v>10</v>
      </c>
      <c r="C345" t="s" s="326">
        <f>C344</f>
        <v>1223</v>
      </c>
      <c r="D345" t="s" s="326">
        <v>1210</v>
      </c>
      <c r="E345" s="289">
        <v>2</v>
      </c>
      <c r="F345" t="s" s="288">
        <v>1238</v>
      </c>
      <c r="G345" t="s" s="357">
        <v>1239</v>
      </c>
      <c r="H345" t="s" s="353">
        <v>171</v>
      </c>
      <c r="I345" s="292">
        <v>1</v>
      </c>
      <c r="J345" t="s" s="288">
        <v>1240</v>
      </c>
      <c r="K345" t="s" s="288">
        <v>283</v>
      </c>
      <c r="L345" t="s" s="293">
        <v>1241</v>
      </c>
      <c r="M345" s="328"/>
      <c r="N345" s="328"/>
      <c r="O345" s="296">
        <f>_xlfn.IFERROR(VLOOKUP($P345,'Suppl'!$B$2:$N$57,MATCH($B345,'Suppl'!$C$1:$N$1,0)+1,FALSE),"")</f>
        <v>0</v>
      </c>
      <c r="P345" t="s" s="288">
        <f>E345&amp;I345</f>
        <v>297</v>
      </c>
      <c r="Q345" s="286"/>
      <c r="R345" s="298"/>
      <c r="S345" s="298"/>
    </row>
    <row r="346" ht="15" customHeight="1">
      <c r="A346" t="s" s="276">
        <f>B346&amp;E346&amp;I346</f>
        <v>1242</v>
      </c>
      <c r="B346" s="299">
        <f>B345</f>
        <v>10</v>
      </c>
      <c r="C346" t="s" s="300">
        <f>C345</f>
        <v>1223</v>
      </c>
      <c r="D346" t="s" s="300">
        <v>1210</v>
      </c>
      <c r="E346" s="301">
        <v>2</v>
      </c>
      <c r="F346" t="s" s="300">
        <v>1238</v>
      </c>
      <c r="G346" t="s" s="352">
        <v>1239</v>
      </c>
      <c r="H346" t="s" s="353">
        <v>171</v>
      </c>
      <c r="I346" s="305">
        <v>2</v>
      </c>
      <c r="J346" t="s" s="306">
        <v>1243</v>
      </c>
      <c r="K346" t="s" s="306">
        <v>283</v>
      </c>
      <c r="L346" t="s" s="307">
        <v>1244</v>
      </c>
      <c r="M346" s="284"/>
      <c r="N346" s="284"/>
      <c r="O346" s="310">
        <f>_xlfn.IFERROR(VLOOKUP($P346,'Suppl'!$B$2:$N$57,MATCH($B346,'Suppl'!$C$1:$N$1,0)+1,FALSE),"")</f>
        <v>0</v>
      </c>
      <c r="P346" t="s" s="306">
        <f>E346&amp;I346</f>
        <v>300</v>
      </c>
      <c r="Q346" s="286"/>
      <c r="R346" s="298"/>
      <c r="S346" s="298"/>
    </row>
    <row r="347" ht="15" customHeight="1">
      <c r="A347" t="s" s="276">
        <f>B347&amp;E347&amp;I347</f>
        <v>1245</v>
      </c>
      <c r="B347" s="299">
        <f>B346</f>
        <v>10</v>
      </c>
      <c r="C347" t="s" s="300">
        <f>C346</f>
        <v>1223</v>
      </c>
      <c r="D347" t="s" s="300">
        <v>1210</v>
      </c>
      <c r="E347" s="301">
        <v>2</v>
      </c>
      <c r="F347" t="s" s="300">
        <v>1238</v>
      </c>
      <c r="G347" t="s" s="352">
        <v>1239</v>
      </c>
      <c r="H347" t="s" s="353">
        <v>171</v>
      </c>
      <c r="I347" s="305">
        <v>3</v>
      </c>
      <c r="J347" t="s" s="306">
        <v>1246</v>
      </c>
      <c r="K347" t="s" s="306">
        <v>271</v>
      </c>
      <c r="L347" t="s" s="307">
        <v>1247</v>
      </c>
      <c r="M347" s="284"/>
      <c r="N347" s="284"/>
      <c r="O347" s="310">
        <f>_xlfn.IFERROR(VLOOKUP($P347,'Suppl'!$B$2:$N$57,MATCH($B347,'Suppl'!$C$1:$N$1,0)+1,FALSE),"")</f>
        <v>0</v>
      </c>
      <c r="P347" t="s" s="306">
        <f>E347&amp;I347</f>
        <v>303</v>
      </c>
      <c r="Q347" s="286"/>
      <c r="R347" s="298"/>
      <c r="S347" s="298"/>
    </row>
    <row r="348" ht="15" customHeight="1">
      <c r="A348" t="s" s="276">
        <f>B348&amp;E348&amp;I348</f>
        <v>1248</v>
      </c>
      <c r="B348" s="299">
        <f>B347</f>
        <v>10</v>
      </c>
      <c r="C348" t="s" s="300">
        <f>C347</f>
        <v>1223</v>
      </c>
      <c r="D348" t="s" s="300">
        <v>1210</v>
      </c>
      <c r="E348" s="301">
        <v>2</v>
      </c>
      <c r="F348" t="s" s="300">
        <v>1238</v>
      </c>
      <c r="G348" t="s" s="352">
        <v>1239</v>
      </c>
      <c r="H348" t="s" s="353">
        <v>171</v>
      </c>
      <c r="I348" s="305">
        <v>4</v>
      </c>
      <c r="J348" s="284"/>
      <c r="K348" t="s" s="306">
        <v>171</v>
      </c>
      <c r="L348" s="312"/>
      <c r="M348" s="284"/>
      <c r="N348" s="284"/>
      <c r="O348" s="310">
        <f>_xlfn.IFERROR(VLOOKUP($P348,'Suppl'!$B$2:$N$57,MATCH($B348,'Suppl'!$C$1:$N$1,0)+1,FALSE),"")</f>
        <v>0</v>
      </c>
      <c r="P348" t="s" s="306">
        <f>E348&amp;I348</f>
        <v>307</v>
      </c>
      <c r="Q348" s="286"/>
      <c r="R348" s="298"/>
      <c r="S348" s="298"/>
    </row>
    <row r="349" ht="15" customHeight="1">
      <c r="A349" t="s" s="276">
        <f>B349&amp;E349&amp;I349</f>
        <v>1249</v>
      </c>
      <c r="B349" s="299">
        <f>B348</f>
        <v>10</v>
      </c>
      <c r="C349" t="s" s="300">
        <f>C348</f>
        <v>1223</v>
      </c>
      <c r="D349" t="s" s="300">
        <v>1210</v>
      </c>
      <c r="E349" s="301">
        <v>2</v>
      </c>
      <c r="F349" t="s" s="300">
        <v>1238</v>
      </c>
      <c r="G349" t="s" s="352">
        <v>1239</v>
      </c>
      <c r="H349" t="s" s="353">
        <v>171</v>
      </c>
      <c r="I349" s="305">
        <v>5</v>
      </c>
      <c r="J349" s="284"/>
      <c r="K349" t="s" s="306">
        <v>171</v>
      </c>
      <c r="L349" s="312"/>
      <c r="M349" s="284"/>
      <c r="N349" s="284"/>
      <c r="O349" s="310">
        <f>_xlfn.IFERROR(VLOOKUP($P349,'Suppl'!$B$2:$N$57,MATCH($B349,'Suppl'!$C$1:$N$1,0)+1,FALSE),"")</f>
        <v>0</v>
      </c>
      <c r="P349" t="s" s="306">
        <f>E349&amp;I349</f>
        <v>311</v>
      </c>
      <c r="Q349" s="286"/>
      <c r="R349" s="298"/>
      <c r="S349" s="298"/>
    </row>
    <row r="350" ht="15" customHeight="1">
      <c r="A350" t="s" s="276">
        <f>B350&amp;E350&amp;I350</f>
        <v>1250</v>
      </c>
      <c r="B350" s="299">
        <f>B349</f>
        <v>10</v>
      </c>
      <c r="C350" t="s" s="300">
        <f>C349</f>
        <v>1223</v>
      </c>
      <c r="D350" t="s" s="300">
        <v>1210</v>
      </c>
      <c r="E350" s="301">
        <v>2</v>
      </c>
      <c r="F350" t="s" s="300">
        <v>1238</v>
      </c>
      <c r="G350" t="s" s="352">
        <v>1239</v>
      </c>
      <c r="H350" t="s" s="353">
        <v>171</v>
      </c>
      <c r="I350" s="305">
        <v>6</v>
      </c>
      <c r="J350" s="284"/>
      <c r="K350" t="s" s="306">
        <v>171</v>
      </c>
      <c r="L350" s="312"/>
      <c r="M350" s="284"/>
      <c r="N350" s="284"/>
      <c r="O350" s="310">
        <f>_xlfn.IFERROR(VLOOKUP($P350,'Suppl'!$B$2:$N$57,MATCH($B350,'Suppl'!$C$1:$N$1,0)+1,FALSE),"")</f>
        <v>0</v>
      </c>
      <c r="P350" t="s" s="306">
        <f>E350&amp;I350</f>
        <v>315</v>
      </c>
      <c r="Q350" s="286"/>
      <c r="R350" s="298"/>
      <c r="S350" s="298"/>
    </row>
    <row r="351" ht="15" customHeight="1">
      <c r="A351" t="s" s="276">
        <f>B351&amp;E351&amp;I351</f>
        <v>1251</v>
      </c>
      <c r="B351" s="314">
        <f>B350</f>
        <v>10</v>
      </c>
      <c r="C351" t="s" s="315">
        <f>C350</f>
        <v>1223</v>
      </c>
      <c r="D351" t="s" s="315">
        <v>1210</v>
      </c>
      <c r="E351" s="316">
        <v>2</v>
      </c>
      <c r="F351" t="s" s="315">
        <v>1238</v>
      </c>
      <c r="G351" t="s" s="355">
        <v>1239</v>
      </c>
      <c r="H351" t="s" s="353">
        <v>171</v>
      </c>
      <c r="I351" s="319">
        <v>7</v>
      </c>
      <c r="J351" s="330"/>
      <c r="K351" t="s" s="320">
        <v>171</v>
      </c>
      <c r="L351" s="321"/>
      <c r="M351" s="330"/>
      <c r="N351" s="330"/>
      <c r="O351" s="324">
        <f>_xlfn.IFERROR(VLOOKUP($P351,'Suppl'!$B$2:$N$57,MATCH($B351,'Suppl'!$C$1:$N$1,0)+1,FALSE),"")</f>
        <v>0</v>
      </c>
      <c r="P351" t="s" s="320">
        <f>E351&amp;I351</f>
        <v>319</v>
      </c>
      <c r="Q351" s="286"/>
      <c r="R351" s="298"/>
      <c r="S351" s="298"/>
    </row>
    <row r="352" ht="15" customHeight="1">
      <c r="A352" t="s" s="276">
        <f>B352&amp;E352&amp;I352</f>
        <v>168</v>
      </c>
      <c r="B352" s="325">
        <f>B351</f>
        <v>10</v>
      </c>
      <c r="C352" t="s" s="326">
        <f>C351</f>
        <v>1223</v>
      </c>
      <c r="D352" t="s" s="326">
        <v>1210</v>
      </c>
      <c r="E352" s="289">
        <v>3</v>
      </c>
      <c r="F352" t="s" s="288">
        <v>1252</v>
      </c>
      <c r="G352" t="s" s="357">
        <v>1253</v>
      </c>
      <c r="H352" t="s" s="353">
        <v>1254</v>
      </c>
      <c r="I352" s="292">
        <v>1</v>
      </c>
      <c r="J352" t="s" s="288">
        <v>1255</v>
      </c>
      <c r="K352" t="s" s="288">
        <v>283</v>
      </c>
      <c r="L352" t="s" s="293">
        <v>1256</v>
      </c>
      <c r="M352" s="328"/>
      <c r="N352" s="328"/>
      <c r="O352" s="296">
        <f>_xlfn.IFERROR(VLOOKUP($P352,'Suppl'!$B$2:$N$57,MATCH($B352,'Suppl'!$C$1:$N$1,0)+1,FALSE),"")</f>
        <v>0</v>
      </c>
      <c r="P352" t="s" s="288">
        <f>E352&amp;I352</f>
        <v>325</v>
      </c>
      <c r="Q352" s="286"/>
      <c r="R352" s="298"/>
      <c r="S352" s="298"/>
    </row>
    <row r="353" ht="15" customHeight="1">
      <c r="A353" t="s" s="276">
        <f>B353&amp;E353&amp;I353</f>
        <v>1257</v>
      </c>
      <c r="B353" s="299">
        <f>B352</f>
        <v>10</v>
      </c>
      <c r="C353" t="s" s="300">
        <f>C352</f>
        <v>1223</v>
      </c>
      <c r="D353" t="s" s="300">
        <v>1210</v>
      </c>
      <c r="E353" s="301">
        <v>3</v>
      </c>
      <c r="F353" t="s" s="300">
        <v>1252</v>
      </c>
      <c r="G353" t="s" s="352">
        <v>1253</v>
      </c>
      <c r="H353" t="s" s="353">
        <v>171</v>
      </c>
      <c r="I353" s="305">
        <v>2</v>
      </c>
      <c r="J353" t="s" s="306">
        <v>1258</v>
      </c>
      <c r="K353" t="s" s="306">
        <v>271</v>
      </c>
      <c r="L353" s="312"/>
      <c r="M353" s="284"/>
      <c r="N353" s="284"/>
      <c r="O353" s="310">
        <f>_xlfn.IFERROR(VLOOKUP($P353,'Suppl'!$B$2:$N$57,MATCH($B353,'Suppl'!$C$1:$N$1,0)+1,FALSE),"")</f>
        <v>0</v>
      </c>
      <c r="P353" t="s" s="306">
        <f>E353&amp;I353</f>
        <v>329</v>
      </c>
      <c r="Q353" s="286"/>
      <c r="R353" s="298"/>
      <c r="S353" s="298"/>
    </row>
    <row r="354" ht="15" customHeight="1">
      <c r="A354" t="s" s="276">
        <f>B354&amp;E354&amp;I354</f>
        <v>1259</v>
      </c>
      <c r="B354" s="299">
        <f>B353</f>
        <v>10</v>
      </c>
      <c r="C354" t="s" s="300">
        <f>C353</f>
        <v>1223</v>
      </c>
      <c r="D354" t="s" s="300">
        <v>1210</v>
      </c>
      <c r="E354" s="301">
        <v>3</v>
      </c>
      <c r="F354" t="s" s="300">
        <v>1252</v>
      </c>
      <c r="G354" t="s" s="352">
        <v>1253</v>
      </c>
      <c r="H354" t="s" s="353">
        <v>171</v>
      </c>
      <c r="I354" s="305">
        <v>3</v>
      </c>
      <c r="J354" t="s" s="306">
        <v>1260</v>
      </c>
      <c r="K354" t="s" s="306">
        <v>291</v>
      </c>
      <c r="L354" t="s" s="307">
        <v>1261</v>
      </c>
      <c r="M354" s="284"/>
      <c r="N354" s="284"/>
      <c r="O354" s="310">
        <f>_xlfn.IFERROR(VLOOKUP($P354,'Suppl'!$B$2:$N$57,MATCH($B354,'Suppl'!$C$1:$N$1,0)+1,FALSE),"")</f>
        <v>0</v>
      </c>
      <c r="P354" t="s" s="306">
        <f>E354&amp;I354</f>
        <v>333</v>
      </c>
      <c r="Q354" s="286"/>
      <c r="R354" s="298"/>
      <c r="S354" s="298"/>
    </row>
    <row r="355" ht="15" customHeight="1">
      <c r="A355" t="s" s="276">
        <f>B355&amp;E355&amp;I355</f>
        <v>1262</v>
      </c>
      <c r="B355" s="299">
        <f>B354</f>
        <v>10</v>
      </c>
      <c r="C355" t="s" s="300">
        <f>C354</f>
        <v>1223</v>
      </c>
      <c r="D355" t="s" s="300">
        <v>1210</v>
      </c>
      <c r="E355" s="301">
        <v>3</v>
      </c>
      <c r="F355" t="s" s="300">
        <v>1252</v>
      </c>
      <c r="G355" t="s" s="352">
        <v>1253</v>
      </c>
      <c r="H355" t="s" s="353">
        <v>171</v>
      </c>
      <c r="I355" s="305">
        <v>4</v>
      </c>
      <c r="J355" s="284"/>
      <c r="K355" s="284"/>
      <c r="L355" s="312"/>
      <c r="M355" s="284"/>
      <c r="N355" s="284"/>
      <c r="O355" s="310">
        <f>_xlfn.IFERROR(VLOOKUP($P355,'Suppl'!$B$2:$N$57,MATCH($B355,'Suppl'!$C$1:$N$1,0)+1,FALSE),"")</f>
        <v>0</v>
      </c>
      <c r="P355" t="s" s="306">
        <f>E355&amp;I355</f>
        <v>336</v>
      </c>
      <c r="Q355" s="286"/>
      <c r="R355" s="298"/>
      <c r="S355" s="298"/>
    </row>
    <row r="356" ht="15" customHeight="1">
      <c r="A356" t="s" s="276">
        <f>B356&amp;E356&amp;I356</f>
        <v>1263</v>
      </c>
      <c r="B356" s="299">
        <f>B355</f>
        <v>10</v>
      </c>
      <c r="C356" t="s" s="300">
        <f>C355</f>
        <v>1223</v>
      </c>
      <c r="D356" t="s" s="300">
        <v>1210</v>
      </c>
      <c r="E356" s="301">
        <v>3</v>
      </c>
      <c r="F356" t="s" s="300">
        <v>1252</v>
      </c>
      <c r="G356" t="s" s="352">
        <v>1253</v>
      </c>
      <c r="H356" t="s" s="353">
        <v>171</v>
      </c>
      <c r="I356" s="305">
        <v>5</v>
      </c>
      <c r="J356" s="284"/>
      <c r="K356" t="s" s="306">
        <v>171</v>
      </c>
      <c r="L356" s="312"/>
      <c r="M356" s="284"/>
      <c r="N356" s="284"/>
      <c r="O356" s="310">
        <f>_xlfn.IFERROR(VLOOKUP($P356,'Suppl'!$B$2:$N$57,MATCH($B356,'Suppl'!$C$1:$N$1,0)+1,FALSE),"")</f>
        <v>0</v>
      </c>
      <c r="P356" t="s" s="306">
        <f>E356&amp;I356</f>
        <v>338</v>
      </c>
      <c r="Q356" s="397"/>
      <c r="R356" s="298"/>
      <c r="S356" s="298"/>
    </row>
    <row r="357" ht="15" customHeight="1">
      <c r="A357" t="s" s="276">
        <f>B357&amp;E357&amp;I357</f>
        <v>1264</v>
      </c>
      <c r="B357" s="299">
        <f>B356</f>
        <v>10</v>
      </c>
      <c r="C357" t="s" s="300">
        <f>C356</f>
        <v>1223</v>
      </c>
      <c r="D357" t="s" s="300">
        <v>1210</v>
      </c>
      <c r="E357" s="301">
        <v>3</v>
      </c>
      <c r="F357" t="s" s="300">
        <v>1252</v>
      </c>
      <c r="G357" t="s" s="352">
        <v>1253</v>
      </c>
      <c r="H357" t="s" s="353">
        <v>171</v>
      </c>
      <c r="I357" s="305">
        <v>6</v>
      </c>
      <c r="J357" s="284"/>
      <c r="K357" t="s" s="306">
        <v>171</v>
      </c>
      <c r="L357" s="312"/>
      <c r="M357" s="284"/>
      <c r="N357" s="284"/>
      <c r="O357" s="310">
        <f>_xlfn.IFERROR(VLOOKUP($P357,'Suppl'!$B$2:$N$57,MATCH($B357,'Suppl'!$C$1:$N$1,0)+1,FALSE),"")</f>
        <v>0</v>
      </c>
      <c r="P357" t="s" s="306">
        <f>E357&amp;I357</f>
        <v>340</v>
      </c>
      <c r="Q357" s="398"/>
      <c r="R357" s="399"/>
      <c r="S357" s="298"/>
    </row>
    <row r="358" ht="15" customHeight="1">
      <c r="A358" t="s" s="276">
        <f>B358&amp;E358&amp;I358</f>
        <v>1265</v>
      </c>
      <c r="B358" s="314">
        <f>B357</f>
        <v>10</v>
      </c>
      <c r="C358" t="s" s="315">
        <f>C357</f>
        <v>1223</v>
      </c>
      <c r="D358" t="s" s="315">
        <v>1210</v>
      </c>
      <c r="E358" s="316">
        <v>3</v>
      </c>
      <c r="F358" t="s" s="315">
        <v>1252</v>
      </c>
      <c r="G358" t="s" s="355">
        <v>1253</v>
      </c>
      <c r="H358" t="s" s="353">
        <v>171</v>
      </c>
      <c r="I358" s="319">
        <v>7</v>
      </c>
      <c r="J358" s="330"/>
      <c r="K358" t="s" s="320">
        <v>171</v>
      </c>
      <c r="L358" s="321"/>
      <c r="M358" s="330"/>
      <c r="N358" s="330"/>
      <c r="O358" s="324">
        <f>_xlfn.IFERROR(VLOOKUP($P358,'Suppl'!$B$2:$N$57,MATCH($B358,'Suppl'!$C$1:$N$1,0)+1,FALSE),"")</f>
        <v>0</v>
      </c>
      <c r="P358" t="s" s="320">
        <f>E358&amp;I358</f>
        <v>342</v>
      </c>
      <c r="Q358" s="400"/>
      <c r="R358" s="298"/>
      <c r="S358" s="298"/>
    </row>
    <row r="359" ht="15" customHeight="1">
      <c r="A359" t="s" s="276">
        <f>B359&amp;E359&amp;I359</f>
        <v>172</v>
      </c>
      <c r="B359" s="325">
        <f>B358</f>
        <v>10</v>
      </c>
      <c r="C359" t="s" s="326">
        <f>C358</f>
        <v>1223</v>
      </c>
      <c r="D359" t="s" s="326">
        <v>1210</v>
      </c>
      <c r="E359" s="289">
        <v>4</v>
      </c>
      <c r="F359" t="s" s="288">
        <v>1266</v>
      </c>
      <c r="G359" t="s" s="357">
        <v>1267</v>
      </c>
      <c r="H359" t="s" s="353">
        <v>171</v>
      </c>
      <c r="I359" s="292">
        <v>1</v>
      </c>
      <c r="J359" t="s" s="288">
        <v>1268</v>
      </c>
      <c r="K359" t="s" s="288">
        <v>283</v>
      </c>
      <c r="L359" s="327"/>
      <c r="M359" s="328"/>
      <c r="N359" s="328"/>
      <c r="O359" s="296">
        <f>_xlfn.IFERROR(VLOOKUP($P359,'Suppl'!$B$2:$N$57,MATCH($B359,'Suppl'!$C$1:$N$1,0)+1,FALSE),"")</f>
        <v>0</v>
      </c>
      <c r="P359" t="s" s="288">
        <f>E359&amp;I359</f>
        <v>348</v>
      </c>
      <c r="Q359" s="286"/>
      <c r="R359" s="298"/>
      <c r="S359" s="298"/>
    </row>
    <row r="360" ht="15" customHeight="1">
      <c r="A360" t="s" s="276">
        <f>B360&amp;E360&amp;I360</f>
        <v>1269</v>
      </c>
      <c r="B360" s="299">
        <f>B359</f>
        <v>10</v>
      </c>
      <c r="C360" t="s" s="300">
        <f>C359</f>
        <v>1223</v>
      </c>
      <c r="D360" t="s" s="300">
        <v>1210</v>
      </c>
      <c r="E360" s="301">
        <v>4</v>
      </c>
      <c r="F360" t="s" s="300">
        <v>1266</v>
      </c>
      <c r="G360" t="s" s="352">
        <v>1267</v>
      </c>
      <c r="H360" t="s" s="353">
        <v>171</v>
      </c>
      <c r="I360" s="305">
        <v>2</v>
      </c>
      <c r="J360" t="s" s="306">
        <v>1270</v>
      </c>
      <c r="K360" t="s" s="306">
        <v>263</v>
      </c>
      <c r="L360" t="s" s="307">
        <v>1271</v>
      </c>
      <c r="M360" s="284"/>
      <c r="N360" s="284"/>
      <c r="O360" s="310">
        <f>_xlfn.IFERROR(VLOOKUP($P360,'Suppl'!$B$2:$N$57,MATCH($B360,'Suppl'!$C$1:$N$1,0)+1,FALSE),"")</f>
        <v>0</v>
      </c>
      <c r="P360" t="s" s="306">
        <f>E360&amp;I360</f>
        <v>351</v>
      </c>
      <c r="Q360" s="286"/>
      <c r="R360" s="298"/>
      <c r="S360" s="298"/>
    </row>
    <row r="361" ht="15" customHeight="1">
      <c r="A361" t="s" s="276">
        <f>B361&amp;E361&amp;I361</f>
        <v>1272</v>
      </c>
      <c r="B361" s="299">
        <f>B360</f>
        <v>10</v>
      </c>
      <c r="C361" t="s" s="300">
        <f>C360</f>
        <v>1223</v>
      </c>
      <c r="D361" t="s" s="300">
        <v>1210</v>
      </c>
      <c r="E361" s="301">
        <v>4</v>
      </c>
      <c r="F361" t="s" s="300">
        <v>1266</v>
      </c>
      <c r="G361" t="s" s="352">
        <v>1267</v>
      </c>
      <c r="H361" t="s" s="353">
        <v>171</v>
      </c>
      <c r="I361" s="305">
        <v>3</v>
      </c>
      <c r="J361" t="s" s="306">
        <v>1273</v>
      </c>
      <c r="K361" t="s" s="306">
        <v>291</v>
      </c>
      <c r="L361" s="312"/>
      <c r="M361" s="284"/>
      <c r="N361" s="284"/>
      <c r="O361" s="310">
        <f>_xlfn.IFERROR(VLOOKUP($P361,'Suppl'!$B$2:$N$57,MATCH($B361,'Suppl'!$C$1:$N$1,0)+1,FALSE),"")</f>
        <v>0</v>
      </c>
      <c r="P361" t="s" s="306">
        <f>E361&amp;I361</f>
        <v>354</v>
      </c>
      <c r="Q361" s="286"/>
      <c r="R361" s="298"/>
      <c r="S361" s="298"/>
    </row>
    <row r="362" ht="15" customHeight="1">
      <c r="A362" t="s" s="276">
        <f>B362&amp;E362&amp;I362</f>
        <v>1274</v>
      </c>
      <c r="B362" s="299">
        <f>B361</f>
        <v>10</v>
      </c>
      <c r="C362" t="s" s="300">
        <f>C361</f>
        <v>1223</v>
      </c>
      <c r="D362" t="s" s="300">
        <v>1210</v>
      </c>
      <c r="E362" s="301">
        <v>4</v>
      </c>
      <c r="F362" t="s" s="300">
        <v>1266</v>
      </c>
      <c r="G362" t="s" s="352">
        <v>1267</v>
      </c>
      <c r="H362" t="s" s="353">
        <v>171</v>
      </c>
      <c r="I362" s="305">
        <v>4</v>
      </c>
      <c r="J362" t="s" s="306">
        <v>1275</v>
      </c>
      <c r="K362" t="s" s="306">
        <v>283</v>
      </c>
      <c r="L362" t="s" s="307">
        <v>1276</v>
      </c>
      <c r="M362" s="284"/>
      <c r="N362" s="284"/>
      <c r="O362" s="310">
        <f>_xlfn.IFERROR(VLOOKUP($P362,'Suppl'!$B$2:$N$57,MATCH($B362,'Suppl'!$C$1:$N$1,0)+1,FALSE),"")</f>
        <v>0</v>
      </c>
      <c r="P362" t="s" s="306">
        <f>E362&amp;I362</f>
        <v>357</v>
      </c>
      <c r="Q362" s="286"/>
      <c r="R362" s="298"/>
      <c r="S362" s="298"/>
    </row>
    <row r="363" ht="15" customHeight="1">
      <c r="A363" t="s" s="276">
        <f>B363&amp;E363&amp;I363</f>
        <v>1277</v>
      </c>
      <c r="B363" s="299">
        <f>B362</f>
        <v>10</v>
      </c>
      <c r="C363" t="s" s="300">
        <f>C362</f>
        <v>1223</v>
      </c>
      <c r="D363" t="s" s="300">
        <v>1210</v>
      </c>
      <c r="E363" s="301">
        <v>4</v>
      </c>
      <c r="F363" t="s" s="300">
        <v>1266</v>
      </c>
      <c r="G363" t="s" s="352">
        <v>1267</v>
      </c>
      <c r="H363" t="s" s="353">
        <v>171</v>
      </c>
      <c r="I363" s="305">
        <v>5</v>
      </c>
      <c r="J363" t="s" s="306">
        <v>1278</v>
      </c>
      <c r="K363" t="s" s="306">
        <v>263</v>
      </c>
      <c r="L363" t="s" s="307">
        <v>1279</v>
      </c>
      <c r="M363" s="284"/>
      <c r="N363" s="284"/>
      <c r="O363" s="310">
        <f>_xlfn.IFERROR(VLOOKUP($P363,'Suppl'!$B$2:$N$57,MATCH($B363,'Suppl'!$C$1:$N$1,0)+1,FALSE),"")</f>
        <v>0</v>
      </c>
      <c r="P363" t="s" s="306">
        <f>E363&amp;I363</f>
        <v>360</v>
      </c>
      <c r="Q363" s="286"/>
      <c r="R363" s="298"/>
      <c r="S363" s="298"/>
    </row>
    <row r="364" ht="15" customHeight="1">
      <c r="A364" t="s" s="276">
        <f>B364&amp;E364&amp;I364</f>
        <v>1280</v>
      </c>
      <c r="B364" s="299">
        <f>B363</f>
        <v>10</v>
      </c>
      <c r="C364" t="s" s="300">
        <f>C363</f>
        <v>1223</v>
      </c>
      <c r="D364" t="s" s="300">
        <v>1210</v>
      </c>
      <c r="E364" s="301">
        <v>4</v>
      </c>
      <c r="F364" t="s" s="300">
        <v>1266</v>
      </c>
      <c r="G364" t="s" s="352">
        <v>1267</v>
      </c>
      <c r="H364" t="s" s="353">
        <v>171</v>
      </c>
      <c r="I364" s="305">
        <v>6</v>
      </c>
      <c r="J364" t="s" s="306">
        <v>1281</v>
      </c>
      <c r="K364" t="s" s="306">
        <v>291</v>
      </c>
      <c r="L364" t="s" s="307">
        <v>1282</v>
      </c>
      <c r="M364" s="284"/>
      <c r="N364" s="284"/>
      <c r="O364" s="310">
        <f>_xlfn.IFERROR(VLOOKUP($P364,'Suppl'!$B$2:$N$57,MATCH($B364,'Suppl'!$C$1:$N$1,0)+1,FALSE),"")</f>
        <v>0</v>
      </c>
      <c r="P364" t="s" s="306">
        <f>E364&amp;I364</f>
        <v>363</v>
      </c>
      <c r="Q364" s="286"/>
      <c r="R364" s="298"/>
      <c r="S364" s="298"/>
    </row>
    <row r="365" ht="15" customHeight="1">
      <c r="A365" t="s" s="276">
        <f>B365&amp;E365&amp;I365</f>
        <v>1283</v>
      </c>
      <c r="B365" s="314">
        <f>B364</f>
        <v>10</v>
      </c>
      <c r="C365" t="s" s="315">
        <f>C364</f>
        <v>1223</v>
      </c>
      <c r="D365" t="s" s="315">
        <v>1210</v>
      </c>
      <c r="E365" s="316">
        <v>4</v>
      </c>
      <c r="F365" t="s" s="315">
        <v>1266</v>
      </c>
      <c r="G365" t="s" s="355">
        <v>1267</v>
      </c>
      <c r="H365" t="s" s="353">
        <v>171</v>
      </c>
      <c r="I365" s="319">
        <v>7</v>
      </c>
      <c r="J365" s="330"/>
      <c r="K365" t="s" s="320">
        <v>171</v>
      </c>
      <c r="L365" s="321"/>
      <c r="M365" s="330"/>
      <c r="N365" s="330"/>
      <c r="O365" s="324">
        <f>_xlfn.IFERROR(VLOOKUP($P365,'Suppl'!$B$2:$N$57,MATCH($B365,'Suppl'!$C$1:$N$1,0)+1,FALSE),"")</f>
        <v>0</v>
      </c>
      <c r="P365" t="s" s="320">
        <f>E365&amp;I365</f>
        <v>365</v>
      </c>
      <c r="Q365" s="286"/>
      <c r="R365" s="298"/>
      <c r="S365" s="298"/>
    </row>
    <row r="366" ht="15" customHeight="1">
      <c r="A366" t="s" s="276">
        <f>B366&amp;E366&amp;I366</f>
        <v>175</v>
      </c>
      <c r="B366" s="325">
        <f>B365</f>
        <v>10</v>
      </c>
      <c r="C366" t="s" s="326">
        <f>C365</f>
        <v>1223</v>
      </c>
      <c r="D366" t="s" s="326">
        <v>1210</v>
      </c>
      <c r="E366" s="289">
        <v>5</v>
      </c>
      <c r="F366" t="s" s="288">
        <v>1284</v>
      </c>
      <c r="G366" t="s" s="357">
        <v>1285</v>
      </c>
      <c r="H366" t="s" s="353">
        <v>171</v>
      </c>
      <c r="I366" s="292">
        <v>1</v>
      </c>
      <c r="J366" t="s" s="288">
        <v>1286</v>
      </c>
      <c r="K366" t="s" s="288">
        <v>283</v>
      </c>
      <c r="L366" t="s" s="293">
        <v>1287</v>
      </c>
      <c r="M366" s="328"/>
      <c r="N366" s="328"/>
      <c r="O366" s="296">
        <f>_xlfn.IFERROR(VLOOKUP($P366,'Suppl'!$B$2:$N$57,MATCH($B366,'Suppl'!$C$1:$N$1,0)+1,FALSE),"")</f>
        <v>0</v>
      </c>
      <c r="P366" t="s" s="288">
        <f>E366&amp;I366</f>
        <v>370</v>
      </c>
      <c r="Q366" s="286"/>
      <c r="R366" s="298"/>
      <c r="S366" s="298"/>
    </row>
    <row r="367" ht="15" customHeight="1">
      <c r="A367" t="s" s="276">
        <f>B367&amp;E367&amp;I367</f>
        <v>1288</v>
      </c>
      <c r="B367" s="299">
        <f>B366</f>
        <v>10</v>
      </c>
      <c r="C367" t="s" s="300">
        <f>C366</f>
        <v>1223</v>
      </c>
      <c r="D367" t="s" s="300">
        <v>1210</v>
      </c>
      <c r="E367" s="301">
        <v>5</v>
      </c>
      <c r="F367" t="s" s="300">
        <v>1284</v>
      </c>
      <c r="G367" t="s" s="352">
        <v>1285</v>
      </c>
      <c r="H367" t="s" s="353">
        <v>171</v>
      </c>
      <c r="I367" s="305">
        <v>2</v>
      </c>
      <c r="J367" t="s" s="306">
        <v>1289</v>
      </c>
      <c r="K367" t="s" s="306">
        <v>263</v>
      </c>
      <c r="L367" t="s" s="307">
        <v>1290</v>
      </c>
      <c r="M367" s="284"/>
      <c r="N367" s="284"/>
      <c r="O367" s="310">
        <f>_xlfn.IFERROR(VLOOKUP($P367,'Suppl'!$B$2:$N$57,MATCH($B367,'Suppl'!$C$1:$N$1,0)+1,FALSE),"")</f>
        <v>0</v>
      </c>
      <c r="P367" t="s" s="306">
        <f>E367&amp;I367</f>
        <v>374</v>
      </c>
      <c r="Q367" s="286"/>
      <c r="R367" s="298"/>
      <c r="S367" s="298"/>
    </row>
    <row r="368" ht="15" customHeight="1">
      <c r="A368" t="s" s="276">
        <f>B368&amp;E368&amp;I368</f>
        <v>1291</v>
      </c>
      <c r="B368" s="299">
        <f>B367</f>
        <v>10</v>
      </c>
      <c r="C368" t="s" s="300">
        <f>C367</f>
        <v>1223</v>
      </c>
      <c r="D368" t="s" s="300">
        <v>1210</v>
      </c>
      <c r="E368" s="301">
        <v>5</v>
      </c>
      <c r="F368" t="s" s="300">
        <v>1284</v>
      </c>
      <c r="G368" t="s" s="352">
        <v>1285</v>
      </c>
      <c r="H368" t="s" s="353">
        <v>171</v>
      </c>
      <c r="I368" s="305">
        <v>3</v>
      </c>
      <c r="J368" t="s" s="306">
        <v>1292</v>
      </c>
      <c r="K368" t="s" s="306">
        <v>263</v>
      </c>
      <c r="L368" t="s" s="307">
        <v>1293</v>
      </c>
      <c r="M368" s="284"/>
      <c r="N368" s="284"/>
      <c r="O368" s="310">
        <f>_xlfn.IFERROR(VLOOKUP($P368,'Suppl'!$B$2:$N$57,MATCH($B368,'Suppl'!$C$1:$N$1,0)+1,FALSE),"")</f>
        <v>0</v>
      </c>
      <c r="P368" t="s" s="306">
        <f>E368&amp;I368</f>
        <v>377</v>
      </c>
      <c r="Q368" s="286"/>
      <c r="R368" s="298"/>
      <c r="S368" s="298"/>
    </row>
    <row r="369" ht="15" customHeight="1">
      <c r="A369" t="s" s="276">
        <f>B369&amp;E369&amp;I369</f>
        <v>1294</v>
      </c>
      <c r="B369" s="299">
        <f>B368</f>
        <v>10</v>
      </c>
      <c r="C369" t="s" s="300">
        <f>C368</f>
        <v>1223</v>
      </c>
      <c r="D369" t="s" s="300">
        <v>1210</v>
      </c>
      <c r="E369" s="301">
        <v>5</v>
      </c>
      <c r="F369" t="s" s="300">
        <v>1284</v>
      </c>
      <c r="G369" t="s" s="352">
        <v>1285</v>
      </c>
      <c r="H369" t="s" s="353">
        <v>171</v>
      </c>
      <c r="I369" s="305">
        <v>4</v>
      </c>
      <c r="J369" s="284"/>
      <c r="K369" t="s" s="306">
        <v>171</v>
      </c>
      <c r="L369" s="312"/>
      <c r="M369" s="284"/>
      <c r="N369" s="284"/>
      <c r="O369" s="310">
        <f>_xlfn.IFERROR(VLOOKUP($P369,'Suppl'!$B$2:$N$57,MATCH($B369,'Suppl'!$C$1:$N$1,0)+1,FALSE),"")</f>
        <v>0</v>
      </c>
      <c r="P369" t="s" s="306">
        <f>E369&amp;I369</f>
        <v>380</v>
      </c>
      <c r="Q369" s="286"/>
      <c r="R369" s="298"/>
      <c r="S369" s="298"/>
    </row>
    <row r="370" ht="15" customHeight="1">
      <c r="A370" t="s" s="276">
        <f>B370&amp;E370&amp;I370</f>
        <v>1295</v>
      </c>
      <c r="B370" s="299">
        <f>B369</f>
        <v>10</v>
      </c>
      <c r="C370" t="s" s="300">
        <f>C369</f>
        <v>1223</v>
      </c>
      <c r="D370" t="s" s="300">
        <v>1210</v>
      </c>
      <c r="E370" s="301">
        <v>5</v>
      </c>
      <c r="F370" t="s" s="300">
        <v>1284</v>
      </c>
      <c r="G370" t="s" s="352">
        <v>1285</v>
      </c>
      <c r="H370" t="s" s="353">
        <v>171</v>
      </c>
      <c r="I370" s="305">
        <v>5</v>
      </c>
      <c r="J370" s="284"/>
      <c r="K370" t="s" s="306">
        <v>171</v>
      </c>
      <c r="L370" s="312"/>
      <c r="M370" s="284"/>
      <c r="N370" s="284"/>
      <c r="O370" s="310">
        <f>_xlfn.IFERROR(VLOOKUP($P370,'Suppl'!$B$2:$N$57,MATCH($B370,'Suppl'!$C$1:$N$1,0)+1,FALSE),"")</f>
        <v>0</v>
      </c>
      <c r="P370" t="s" s="306">
        <f>E370&amp;I370</f>
        <v>383</v>
      </c>
      <c r="Q370" s="286"/>
      <c r="R370" s="298"/>
      <c r="S370" s="298"/>
    </row>
    <row r="371" ht="15" customHeight="1">
      <c r="A371" t="s" s="276">
        <f>B371&amp;E371&amp;I371</f>
        <v>1296</v>
      </c>
      <c r="B371" s="299">
        <f>B370</f>
        <v>10</v>
      </c>
      <c r="C371" t="s" s="300">
        <f>C370</f>
        <v>1223</v>
      </c>
      <c r="D371" t="s" s="300">
        <v>1210</v>
      </c>
      <c r="E371" s="301">
        <v>5</v>
      </c>
      <c r="F371" t="s" s="300">
        <v>1284</v>
      </c>
      <c r="G371" t="s" s="352">
        <v>1285</v>
      </c>
      <c r="H371" t="s" s="353">
        <v>171</v>
      </c>
      <c r="I371" s="305">
        <v>6</v>
      </c>
      <c r="J371" s="284"/>
      <c r="K371" t="s" s="306">
        <v>171</v>
      </c>
      <c r="L371" s="312"/>
      <c r="M371" s="284"/>
      <c r="N371" s="284"/>
      <c r="O371" s="310">
        <f>_xlfn.IFERROR(VLOOKUP($P371,'Suppl'!$B$2:$N$57,MATCH($B371,'Suppl'!$C$1:$N$1,0)+1,FALSE),"")</f>
        <v>0</v>
      </c>
      <c r="P371" t="s" s="306">
        <f>E371&amp;I371</f>
        <v>385</v>
      </c>
      <c r="Q371" s="286"/>
      <c r="R371" s="298"/>
      <c r="S371" s="298"/>
    </row>
    <row r="372" ht="15" customHeight="1">
      <c r="A372" t="s" s="276">
        <f>B372&amp;E372&amp;I372</f>
        <v>1297</v>
      </c>
      <c r="B372" s="314">
        <f>B371</f>
        <v>10</v>
      </c>
      <c r="C372" t="s" s="315">
        <f>C371</f>
        <v>1223</v>
      </c>
      <c r="D372" t="s" s="315">
        <v>1210</v>
      </c>
      <c r="E372" s="316">
        <v>5</v>
      </c>
      <c r="F372" t="s" s="315">
        <v>1284</v>
      </c>
      <c r="G372" t="s" s="355">
        <v>1285</v>
      </c>
      <c r="H372" t="s" s="353">
        <v>171</v>
      </c>
      <c r="I372" s="319">
        <v>7</v>
      </c>
      <c r="J372" s="330"/>
      <c r="K372" t="s" s="320">
        <v>171</v>
      </c>
      <c r="L372" s="321"/>
      <c r="M372" s="330"/>
      <c r="N372" s="330"/>
      <c r="O372" s="324">
        <f>_xlfn.IFERROR(VLOOKUP($P372,'Suppl'!$B$2:$N$57,MATCH($B372,'Suppl'!$C$1:$N$1,0)+1,FALSE),"")</f>
        <v>0</v>
      </c>
      <c r="P372" t="s" s="320">
        <f>E372&amp;I372</f>
        <v>387</v>
      </c>
      <c r="Q372" s="286"/>
      <c r="R372" s="298"/>
      <c r="S372" s="298"/>
    </row>
    <row r="373" ht="15" customHeight="1">
      <c r="A373" t="s" s="276">
        <f>B373&amp;E373&amp;I373</f>
        <v>177</v>
      </c>
      <c r="B373" s="325">
        <f>B372</f>
        <v>10</v>
      </c>
      <c r="C373" t="s" s="326">
        <f>C372</f>
        <v>1223</v>
      </c>
      <c r="D373" t="s" s="326">
        <v>1210</v>
      </c>
      <c r="E373" s="289">
        <v>6</v>
      </c>
      <c r="F373" t="s" s="288">
        <v>1298</v>
      </c>
      <c r="G373" t="s" s="357">
        <v>1299</v>
      </c>
      <c r="H373" s="396"/>
      <c r="I373" s="292">
        <v>1</v>
      </c>
      <c r="J373" t="s" s="288">
        <v>1300</v>
      </c>
      <c r="K373" t="s" s="288">
        <v>263</v>
      </c>
      <c r="L373" t="s" s="293">
        <v>1301</v>
      </c>
      <c r="M373" s="328"/>
      <c r="N373" s="366"/>
      <c r="O373" s="367">
        <f>_xlfn.IFERROR(VLOOKUP($P373,'Suppl'!$B$2:$N$57,MATCH($B373,'Suppl'!$C$1:$N$1,0)+1,FALSE),"")</f>
        <v>0</v>
      </c>
      <c r="P373" t="s" s="394">
        <f>E373&amp;I373</f>
        <v>479</v>
      </c>
      <c r="Q373" s="298"/>
      <c r="R373" s="298"/>
      <c r="S373" s="298"/>
    </row>
    <row r="374" ht="15" customHeight="1">
      <c r="A374" t="s" s="276">
        <f>B374&amp;E374&amp;I374</f>
        <v>1302</v>
      </c>
      <c r="B374" s="299">
        <f>B373</f>
        <v>10</v>
      </c>
      <c r="C374" t="s" s="300">
        <f>C373</f>
        <v>1223</v>
      </c>
      <c r="D374" t="s" s="300">
        <v>1210</v>
      </c>
      <c r="E374" s="301">
        <v>6</v>
      </c>
      <c r="F374" t="s" s="300">
        <v>1298</v>
      </c>
      <c r="G374" t="s" s="352">
        <v>1299</v>
      </c>
      <c r="H374" t="s" s="353">
        <v>171</v>
      </c>
      <c r="I374" s="305">
        <v>2</v>
      </c>
      <c r="J374" t="s" s="306">
        <v>1303</v>
      </c>
      <c r="K374" t="s" s="306">
        <v>263</v>
      </c>
      <c r="L374" t="s" s="307">
        <v>1304</v>
      </c>
      <c r="M374" s="284"/>
      <c r="N374" s="369"/>
      <c r="O374" s="370">
        <f>_xlfn.IFERROR(VLOOKUP($P374,'Suppl'!$B$2:$N$57,MATCH($B374,'Suppl'!$C$1:$N$1,0)+1,FALSE),"")</f>
        <v>0</v>
      </c>
      <c r="P374" t="s" s="383">
        <f>E374&amp;I374</f>
        <v>483</v>
      </c>
      <c r="Q374" s="298"/>
      <c r="R374" s="298"/>
      <c r="S374" s="298"/>
    </row>
    <row r="375" ht="15" customHeight="1">
      <c r="A375" t="s" s="276">
        <f>B375&amp;E375&amp;I375</f>
        <v>1305</v>
      </c>
      <c r="B375" s="299">
        <f>B374</f>
        <v>10</v>
      </c>
      <c r="C375" t="s" s="300">
        <f>C374</f>
        <v>1223</v>
      </c>
      <c r="D375" t="s" s="300">
        <v>1210</v>
      </c>
      <c r="E375" s="301">
        <v>6</v>
      </c>
      <c r="F375" t="s" s="300">
        <v>1298</v>
      </c>
      <c r="G375" t="s" s="352">
        <v>1299</v>
      </c>
      <c r="H375" t="s" s="353">
        <v>171</v>
      </c>
      <c r="I375" s="305">
        <v>3</v>
      </c>
      <c r="J375" t="s" s="306">
        <v>1306</v>
      </c>
      <c r="K375" t="s" s="306">
        <v>263</v>
      </c>
      <c r="L375" t="s" s="307">
        <v>1307</v>
      </c>
      <c r="M375" s="284"/>
      <c r="N375" s="369"/>
      <c r="O375" s="370">
        <f>_xlfn.IFERROR(VLOOKUP($P375,'Suppl'!$B$2:$N$57,MATCH($B375,'Suppl'!$C$1:$N$1,0)+1,FALSE),"")</f>
        <v>0</v>
      </c>
      <c r="P375" t="s" s="383">
        <f>E375&amp;I375</f>
        <v>487</v>
      </c>
      <c r="Q375" s="298"/>
      <c r="R375" s="298"/>
      <c r="S375" s="298"/>
    </row>
    <row r="376" ht="15" customHeight="1">
      <c r="A376" t="s" s="276">
        <f>B376&amp;E376&amp;I376</f>
        <v>1308</v>
      </c>
      <c r="B376" s="299">
        <f>B375</f>
        <v>10</v>
      </c>
      <c r="C376" t="s" s="300">
        <f>C375</f>
        <v>1223</v>
      </c>
      <c r="D376" t="s" s="300">
        <v>1210</v>
      </c>
      <c r="E376" s="301">
        <v>6</v>
      </c>
      <c r="F376" t="s" s="300">
        <v>1298</v>
      </c>
      <c r="G376" t="s" s="352">
        <v>1299</v>
      </c>
      <c r="H376" t="s" s="353">
        <v>171</v>
      </c>
      <c r="I376" s="305">
        <v>4</v>
      </c>
      <c r="J376" t="s" s="306">
        <v>1309</v>
      </c>
      <c r="K376" t="s" s="306">
        <v>271</v>
      </c>
      <c r="L376" t="s" s="307">
        <v>1310</v>
      </c>
      <c r="M376" s="284"/>
      <c r="N376" s="369"/>
      <c r="O376" s="370">
        <f>_xlfn.IFERROR(VLOOKUP($P376,'Suppl'!$B$2:$N$57,MATCH($B376,'Suppl'!$C$1:$N$1,0)+1,FALSE),"")</f>
        <v>0</v>
      </c>
      <c r="P376" t="s" s="383">
        <f>E376&amp;I376</f>
        <v>490</v>
      </c>
      <c r="Q376" s="298"/>
      <c r="R376" s="298"/>
      <c r="S376" s="298"/>
    </row>
    <row r="377" ht="15" customHeight="1">
      <c r="A377" t="s" s="276">
        <f>B377&amp;E377&amp;I377</f>
        <v>1311</v>
      </c>
      <c r="B377" s="299">
        <f>B376</f>
        <v>10</v>
      </c>
      <c r="C377" t="s" s="300">
        <f>C376</f>
        <v>1223</v>
      </c>
      <c r="D377" t="s" s="300">
        <v>1210</v>
      </c>
      <c r="E377" s="301">
        <v>6</v>
      </c>
      <c r="F377" t="s" s="300">
        <v>1298</v>
      </c>
      <c r="G377" t="s" s="352">
        <v>1299</v>
      </c>
      <c r="H377" t="s" s="353">
        <v>171</v>
      </c>
      <c r="I377" s="305">
        <v>5</v>
      </c>
      <c r="J377" t="s" s="306">
        <v>1312</v>
      </c>
      <c r="K377" t="s" s="306">
        <v>283</v>
      </c>
      <c r="L377" t="s" s="307">
        <v>1313</v>
      </c>
      <c r="M377" s="284"/>
      <c r="N377" s="369"/>
      <c r="O377" s="370">
        <f>_xlfn.IFERROR(VLOOKUP($P377,'Suppl'!$B$2:$N$57,MATCH($B377,'Suppl'!$C$1:$N$1,0)+1,FALSE),"")</f>
        <v>0</v>
      </c>
      <c r="P377" t="s" s="383">
        <f>E377&amp;I377</f>
        <v>492</v>
      </c>
      <c r="Q377" s="298"/>
      <c r="R377" s="298"/>
      <c r="S377" s="298"/>
    </row>
    <row r="378" ht="15" customHeight="1">
      <c r="A378" t="s" s="276">
        <f>B378&amp;E378&amp;I378</f>
        <v>1314</v>
      </c>
      <c r="B378" s="299">
        <f>B377</f>
        <v>10</v>
      </c>
      <c r="C378" t="s" s="300">
        <f>C377</f>
        <v>1223</v>
      </c>
      <c r="D378" t="s" s="300">
        <v>1210</v>
      </c>
      <c r="E378" s="301">
        <v>6</v>
      </c>
      <c r="F378" t="s" s="300">
        <v>1298</v>
      </c>
      <c r="G378" t="s" s="352">
        <v>1299</v>
      </c>
      <c r="H378" t="s" s="353">
        <v>171</v>
      </c>
      <c r="I378" s="305">
        <v>6</v>
      </c>
      <c r="J378" t="s" s="306">
        <v>1315</v>
      </c>
      <c r="K378" t="s" s="306">
        <v>271</v>
      </c>
      <c r="L378" t="s" s="307">
        <v>1316</v>
      </c>
      <c r="M378" s="284"/>
      <c r="N378" s="369"/>
      <c r="O378" s="370">
        <f>_xlfn.IFERROR(VLOOKUP($P378,'Suppl'!$B$2:$N$57,MATCH($B378,'Suppl'!$C$1:$N$1,0)+1,FALSE),"")</f>
        <v>0</v>
      </c>
      <c r="P378" t="s" s="383">
        <f>E378&amp;I378</f>
        <v>494</v>
      </c>
      <c r="Q378" s="298"/>
      <c r="R378" s="298"/>
      <c r="S378" s="298"/>
    </row>
    <row r="379" ht="15" customHeight="1">
      <c r="A379" t="s" s="401">
        <f>B379&amp;E379&amp;I379</f>
        <v>1317</v>
      </c>
      <c r="B379" s="331">
        <f>B378</f>
        <v>10</v>
      </c>
      <c r="C379" t="s" s="332">
        <f>C378</f>
        <v>1223</v>
      </c>
      <c r="D379" t="s" s="332">
        <v>1210</v>
      </c>
      <c r="E379" s="333">
        <v>6</v>
      </c>
      <c r="F379" t="s" s="332">
        <v>1298</v>
      </c>
      <c r="G379" t="s" s="361">
        <v>1299</v>
      </c>
      <c r="H379" t="s" s="385">
        <v>171</v>
      </c>
      <c r="I379" s="337">
        <v>7</v>
      </c>
      <c r="J379" s="338"/>
      <c r="K379" t="s" s="341">
        <v>171</v>
      </c>
      <c r="L379" s="339"/>
      <c r="M379" s="338"/>
      <c r="N379" s="338"/>
      <c r="O379" s="340">
        <f>_xlfn.IFERROR(VLOOKUP($P379,'Suppl'!$B$2:$N$57,MATCH($B379,'Suppl'!$C$1:$N$1,0)+1,FALSE),"")</f>
        <v>0</v>
      </c>
      <c r="P379" t="s" s="341">
        <f>E379&amp;I379</f>
        <v>496</v>
      </c>
      <c r="Q379" s="286"/>
      <c r="R379" s="298"/>
      <c r="S379" s="298"/>
    </row>
    <row r="380" ht="15" customHeight="1">
      <c r="A380" t="s" s="402">
        <f>B380&amp;E380&amp;I380</f>
        <v>179</v>
      </c>
      <c r="B380" s="342">
        <v>11</v>
      </c>
      <c r="C380" t="s" s="343">
        <v>234</v>
      </c>
      <c r="D380" t="s" s="343">
        <v>1318</v>
      </c>
      <c r="E380" s="344">
        <v>1</v>
      </c>
      <c r="F380" t="s" s="343">
        <v>755</v>
      </c>
      <c r="G380" t="s" s="345">
        <v>1319</v>
      </c>
      <c r="H380" t="s" s="346">
        <v>1320</v>
      </c>
      <c r="I380" s="342">
        <v>1</v>
      </c>
      <c r="J380" t="s" s="343">
        <v>1321</v>
      </c>
      <c r="K380" t="s" s="343">
        <v>283</v>
      </c>
      <c r="L380" t="s" s="347">
        <v>1322</v>
      </c>
      <c r="M380" t="s" s="348">
        <v>1323</v>
      </c>
      <c r="N380" t="s" s="349">
        <v>1324</v>
      </c>
      <c r="O380" s="350">
        <f>_xlfn.IFERROR(VLOOKUP($P380,'Suppl'!$B$2:$N$57,MATCH($B380,'Suppl'!$C$1:$N$1,0)+1,FALSE),"")</f>
        <v>0</v>
      </c>
      <c r="P380" t="s" s="343">
        <f>E380&amp;I380</f>
        <v>260</v>
      </c>
      <c r="Q380" s="403"/>
      <c r="R380" s="404"/>
      <c r="S380" s="298"/>
    </row>
    <row r="381" ht="15" customHeight="1">
      <c r="A381" t="s" s="276">
        <f>B381&amp;E381&amp;I381</f>
        <v>1325</v>
      </c>
      <c r="B381" s="351">
        <f>B380</f>
        <v>11</v>
      </c>
      <c r="C381" t="s" s="300">
        <f>C380</f>
        <v>234</v>
      </c>
      <c r="D381" t="s" s="300">
        <v>1318</v>
      </c>
      <c r="E381" s="301">
        <v>1</v>
      </c>
      <c r="F381" t="s" s="300">
        <v>755</v>
      </c>
      <c r="G381" t="s" s="352">
        <v>1319</v>
      </c>
      <c r="H381" t="s" s="353">
        <v>171</v>
      </c>
      <c r="I381" s="305">
        <v>2</v>
      </c>
      <c r="J381" t="s" s="306">
        <v>1326</v>
      </c>
      <c r="K381" t="s" s="306">
        <v>271</v>
      </c>
      <c r="L381" t="s" s="307">
        <v>1327</v>
      </c>
      <c r="M381" t="s" s="308">
        <v>1328</v>
      </c>
      <c r="N381" t="s" s="309">
        <v>1329</v>
      </c>
      <c r="O381" s="310">
        <f>_xlfn.IFERROR(VLOOKUP($P381,'Suppl'!$B$2:$N$57,MATCH($B381,'Suppl'!$C$1:$N$1,0)+1,FALSE),"")</f>
        <v>0</v>
      </c>
      <c r="P381" t="s" s="306">
        <f>E381&amp;I381</f>
        <v>267</v>
      </c>
      <c r="Q381" s="397"/>
      <c r="R381" s="404"/>
      <c r="S381" s="298"/>
    </row>
    <row r="382" ht="15" customHeight="1">
      <c r="A382" t="s" s="276">
        <f>B382&amp;E382&amp;I382</f>
        <v>1330</v>
      </c>
      <c r="B382" s="351">
        <f>B381</f>
        <v>11</v>
      </c>
      <c r="C382" t="s" s="300">
        <f>C381</f>
        <v>1331</v>
      </c>
      <c r="D382" t="s" s="300">
        <v>1318</v>
      </c>
      <c r="E382" s="301">
        <v>1</v>
      </c>
      <c r="F382" t="s" s="300">
        <v>755</v>
      </c>
      <c r="G382" t="s" s="352">
        <v>1319</v>
      </c>
      <c r="H382" t="s" s="353">
        <v>171</v>
      </c>
      <c r="I382" s="305">
        <v>3</v>
      </c>
      <c r="J382" s="284"/>
      <c r="K382" t="s" s="306">
        <v>171</v>
      </c>
      <c r="L382" s="312"/>
      <c r="M382" t="s" s="308">
        <v>1332</v>
      </c>
      <c r="N382" t="s" s="309">
        <v>1333</v>
      </c>
      <c r="O382" s="310">
        <f>_xlfn.IFERROR(VLOOKUP($P382,'Suppl'!$B$2:$N$57,MATCH($B382,'Suppl'!$C$1:$N$1,0)+1,FALSE),"")</f>
        <v>0</v>
      </c>
      <c r="P382" t="s" s="306">
        <f>E382&amp;I382</f>
        <v>275</v>
      </c>
      <c r="Q382" s="405"/>
      <c r="R382" s="399"/>
      <c r="S382" s="298"/>
    </row>
    <row r="383" ht="15" customHeight="1">
      <c r="A383" t="s" s="276">
        <f>B383&amp;E383&amp;I383</f>
        <v>1334</v>
      </c>
      <c r="B383" s="351">
        <f>B382</f>
        <v>11</v>
      </c>
      <c r="C383" t="s" s="300">
        <f>C382</f>
        <v>1331</v>
      </c>
      <c r="D383" t="s" s="300">
        <v>1318</v>
      </c>
      <c r="E383" s="301">
        <v>1</v>
      </c>
      <c r="F383" t="s" s="300">
        <v>755</v>
      </c>
      <c r="G383" t="s" s="352">
        <v>1319</v>
      </c>
      <c r="H383" t="s" s="353">
        <v>171</v>
      </c>
      <c r="I383" s="305">
        <v>4</v>
      </c>
      <c r="J383" s="284"/>
      <c r="K383" t="s" s="306">
        <v>171</v>
      </c>
      <c r="L383" s="312"/>
      <c r="M383" t="s" s="308">
        <v>1335</v>
      </c>
      <c r="N383" t="s" s="309">
        <v>1336</v>
      </c>
      <c r="O383" s="310">
        <f>_xlfn.IFERROR(VLOOKUP($P383,'Suppl'!$B$2:$N$57,MATCH($B383,'Suppl'!$C$1:$N$1,0)+1,FALSE),"")</f>
        <v>0</v>
      </c>
      <c r="P383" t="s" s="306">
        <f>E383&amp;I383</f>
        <v>280</v>
      </c>
      <c r="Q383" s="400"/>
      <c r="R383" s="298"/>
      <c r="S383" s="298"/>
    </row>
    <row r="384" ht="15" customHeight="1">
      <c r="A384" t="s" s="276">
        <f>B384&amp;E384&amp;I384</f>
        <v>1337</v>
      </c>
      <c r="B384" s="351">
        <f>B383</f>
        <v>11</v>
      </c>
      <c r="C384" t="s" s="300">
        <f>C383</f>
        <v>1331</v>
      </c>
      <c r="D384" t="s" s="300">
        <v>1318</v>
      </c>
      <c r="E384" s="301">
        <v>1</v>
      </c>
      <c r="F384" t="s" s="300">
        <v>755</v>
      </c>
      <c r="G384" t="s" s="352">
        <v>1319</v>
      </c>
      <c r="H384" t="s" s="353">
        <v>171</v>
      </c>
      <c r="I384" s="305">
        <v>5</v>
      </c>
      <c r="J384" s="284"/>
      <c r="K384" t="s" s="306">
        <v>171</v>
      </c>
      <c r="L384" s="312"/>
      <c r="M384" s="311"/>
      <c r="N384" t="s" s="309">
        <v>1338</v>
      </c>
      <c r="O384" s="310">
        <f>_xlfn.IFERROR(VLOOKUP($P384,'Suppl'!$B$2:$N$57,MATCH($B384,'Suppl'!$C$1:$N$1,0)+1,FALSE),"")</f>
        <v>0</v>
      </c>
      <c r="P384" t="s" s="306">
        <f>E384&amp;I384</f>
        <v>284</v>
      </c>
      <c r="Q384" s="286"/>
      <c r="R384" s="298"/>
      <c r="S384" s="298"/>
    </row>
    <row r="385" ht="15" customHeight="1">
      <c r="A385" t="s" s="276">
        <f>B385&amp;E385&amp;I385</f>
        <v>1339</v>
      </c>
      <c r="B385" s="351">
        <f>B384</f>
        <v>11</v>
      </c>
      <c r="C385" t="s" s="300">
        <f>C384</f>
        <v>1331</v>
      </c>
      <c r="D385" t="s" s="300">
        <v>1318</v>
      </c>
      <c r="E385" s="301">
        <v>1</v>
      </c>
      <c r="F385" t="s" s="300">
        <v>755</v>
      </c>
      <c r="G385" t="s" s="352">
        <v>1319</v>
      </c>
      <c r="H385" t="s" s="353">
        <v>171</v>
      </c>
      <c r="I385" s="305">
        <v>6</v>
      </c>
      <c r="J385" s="284"/>
      <c r="K385" t="s" s="306">
        <v>171</v>
      </c>
      <c r="L385" s="312"/>
      <c r="M385" s="311"/>
      <c r="N385" s="313"/>
      <c r="O385" s="310">
        <f>_xlfn.IFERROR(VLOOKUP($P385,'Suppl'!$B$2:$N$57,MATCH($B385,'Suppl'!$C$1:$N$1,0)+1,FALSE),"")</f>
        <v>0</v>
      </c>
      <c r="P385" t="s" s="306">
        <f>E385&amp;I385</f>
        <v>288</v>
      </c>
      <c r="Q385" s="286"/>
      <c r="R385" s="298"/>
      <c r="S385" s="298"/>
    </row>
    <row r="386" ht="15" customHeight="1">
      <c r="A386" t="s" s="276">
        <f>B386&amp;E386&amp;I386</f>
        <v>1340</v>
      </c>
      <c r="B386" s="354">
        <f>B385</f>
        <v>11</v>
      </c>
      <c r="C386" t="s" s="315">
        <f>C385</f>
        <v>1331</v>
      </c>
      <c r="D386" t="s" s="315">
        <v>1318</v>
      </c>
      <c r="E386" s="316">
        <v>1</v>
      </c>
      <c r="F386" t="s" s="315">
        <v>755</v>
      </c>
      <c r="G386" t="s" s="355">
        <v>1319</v>
      </c>
      <c r="H386" t="s" s="353">
        <v>171</v>
      </c>
      <c r="I386" s="319">
        <v>7</v>
      </c>
      <c r="J386" s="330"/>
      <c r="K386" t="s" s="320">
        <v>171</v>
      </c>
      <c r="L386" s="321"/>
      <c r="M386" s="322"/>
      <c r="N386" s="323"/>
      <c r="O386" s="324">
        <f>_xlfn.IFERROR(VLOOKUP($P386,'Suppl'!$B$2:$N$57,MATCH($B386,'Suppl'!$C$1:$N$1,0)+1,FALSE),"")</f>
        <v>0</v>
      </c>
      <c r="P386" t="s" s="320">
        <f>E386&amp;I386</f>
        <v>292</v>
      </c>
      <c r="Q386" s="286"/>
      <c r="R386" s="298"/>
      <c r="S386" s="298"/>
    </row>
    <row r="387" ht="15" customHeight="1">
      <c r="A387" t="s" s="276">
        <f>B387&amp;E387&amp;I387</f>
        <v>182</v>
      </c>
      <c r="B387" s="356">
        <f>B386</f>
        <v>11</v>
      </c>
      <c r="C387" t="s" s="326">
        <f>C386</f>
        <v>1331</v>
      </c>
      <c r="D387" t="s" s="326">
        <v>1318</v>
      </c>
      <c r="E387" s="289">
        <v>2</v>
      </c>
      <c r="F387" t="s" s="288">
        <v>1341</v>
      </c>
      <c r="G387" t="s" s="357">
        <v>1342</v>
      </c>
      <c r="H387" t="s" s="353">
        <v>171</v>
      </c>
      <c r="I387" s="292">
        <v>1</v>
      </c>
      <c r="J387" t="s" s="288">
        <v>1343</v>
      </c>
      <c r="K387" t="s" s="288">
        <v>263</v>
      </c>
      <c r="L387" t="s" s="293">
        <v>1344</v>
      </c>
      <c r="M387" s="328"/>
      <c r="N387" s="328"/>
      <c r="O387" s="296">
        <f>_xlfn.IFERROR(VLOOKUP($P387,'Suppl'!$B$2:$N$57,MATCH($B387,'Suppl'!$C$1:$N$1,0)+1,FALSE),"")</f>
        <v>0</v>
      </c>
      <c r="P387" t="s" s="288">
        <f>E387&amp;I387</f>
        <v>297</v>
      </c>
      <c r="Q387" s="403"/>
      <c r="R387" s="404"/>
      <c r="S387" s="298"/>
    </row>
    <row r="388" ht="15" customHeight="1">
      <c r="A388" t="s" s="276">
        <f>B388&amp;E388&amp;I388</f>
        <v>1345</v>
      </c>
      <c r="B388" s="351">
        <f>B387</f>
        <v>11</v>
      </c>
      <c r="C388" t="s" s="300">
        <f>C387</f>
        <v>1331</v>
      </c>
      <c r="D388" t="s" s="300">
        <v>1318</v>
      </c>
      <c r="E388" s="301">
        <v>2</v>
      </c>
      <c r="F388" t="s" s="300">
        <v>1341</v>
      </c>
      <c r="G388" t="s" s="352">
        <v>1342</v>
      </c>
      <c r="H388" t="s" s="353">
        <v>171</v>
      </c>
      <c r="I388" s="305">
        <v>2</v>
      </c>
      <c r="J388" t="s" s="306">
        <v>1346</v>
      </c>
      <c r="K388" t="s" s="306">
        <v>283</v>
      </c>
      <c r="L388" t="s" s="307">
        <v>1347</v>
      </c>
      <c r="M388" s="284"/>
      <c r="N388" s="284"/>
      <c r="O388" s="310">
        <f>_xlfn.IFERROR(VLOOKUP($P388,'Suppl'!$B$2:$N$57,MATCH($B388,'Suppl'!$C$1:$N$1,0)+1,FALSE),"")</f>
        <v>0</v>
      </c>
      <c r="P388" t="s" s="306">
        <f>E388&amp;I388</f>
        <v>300</v>
      </c>
      <c r="Q388" s="286"/>
      <c r="R388" s="298"/>
      <c r="S388" s="298"/>
    </row>
    <row r="389" ht="15" customHeight="1">
      <c r="A389" t="s" s="276">
        <f>B389&amp;E389&amp;I389</f>
        <v>1348</v>
      </c>
      <c r="B389" s="351">
        <f>B388</f>
        <v>11</v>
      </c>
      <c r="C389" t="s" s="300">
        <f>C388</f>
        <v>1331</v>
      </c>
      <c r="D389" t="s" s="300">
        <v>1318</v>
      </c>
      <c r="E389" s="301">
        <v>2</v>
      </c>
      <c r="F389" t="s" s="300">
        <v>1341</v>
      </c>
      <c r="G389" t="s" s="352">
        <v>1342</v>
      </c>
      <c r="H389" t="s" s="353">
        <v>171</v>
      </c>
      <c r="I389" s="305">
        <v>3</v>
      </c>
      <c r="J389" t="s" s="306">
        <v>1349</v>
      </c>
      <c r="K389" t="s" s="306">
        <v>283</v>
      </c>
      <c r="L389" t="s" s="307">
        <v>1350</v>
      </c>
      <c r="M389" s="284"/>
      <c r="N389" s="284"/>
      <c r="O389" s="310">
        <f>_xlfn.IFERROR(VLOOKUP($P389,'Suppl'!$B$2:$N$57,MATCH($B389,'Suppl'!$C$1:$N$1,0)+1,FALSE),"")</f>
        <v>0</v>
      </c>
      <c r="P389" t="s" s="306">
        <f>E389&amp;I389</f>
        <v>303</v>
      </c>
      <c r="Q389" s="286"/>
      <c r="R389" s="298"/>
      <c r="S389" s="298"/>
    </row>
    <row r="390" ht="15" customHeight="1">
      <c r="A390" t="s" s="276">
        <f>B390&amp;E390&amp;I390</f>
        <v>1351</v>
      </c>
      <c r="B390" s="351">
        <f>B389</f>
        <v>11</v>
      </c>
      <c r="C390" t="s" s="300">
        <f>C389</f>
        <v>1331</v>
      </c>
      <c r="D390" t="s" s="300">
        <v>1318</v>
      </c>
      <c r="E390" s="301">
        <v>2</v>
      </c>
      <c r="F390" t="s" s="300">
        <v>1341</v>
      </c>
      <c r="G390" t="s" s="352">
        <v>1342</v>
      </c>
      <c r="H390" t="s" s="353">
        <v>171</v>
      </c>
      <c r="I390" s="305">
        <v>4</v>
      </c>
      <c r="J390" t="s" s="306">
        <v>1352</v>
      </c>
      <c r="K390" t="s" s="306">
        <v>271</v>
      </c>
      <c r="L390" t="s" s="307">
        <v>1353</v>
      </c>
      <c r="M390" s="284"/>
      <c r="N390" s="284"/>
      <c r="O390" s="310">
        <f>_xlfn.IFERROR(VLOOKUP($P390,'Suppl'!$B$2:$N$57,MATCH($B390,'Suppl'!$C$1:$N$1,0)+1,FALSE),"")</f>
        <v>0</v>
      </c>
      <c r="P390" t="s" s="306">
        <f>E390&amp;I390</f>
        <v>307</v>
      </c>
      <c r="Q390" s="286"/>
      <c r="R390" s="298"/>
      <c r="S390" s="298"/>
    </row>
    <row r="391" ht="15" customHeight="1">
      <c r="A391" t="s" s="276">
        <f>B391&amp;E391&amp;I391</f>
        <v>1354</v>
      </c>
      <c r="B391" s="351">
        <f>B390</f>
        <v>11</v>
      </c>
      <c r="C391" t="s" s="300">
        <f>C390</f>
        <v>1331</v>
      </c>
      <c r="D391" t="s" s="300">
        <v>1318</v>
      </c>
      <c r="E391" s="301">
        <v>2</v>
      </c>
      <c r="F391" t="s" s="300">
        <v>1341</v>
      </c>
      <c r="G391" t="s" s="352">
        <v>1342</v>
      </c>
      <c r="H391" t="s" s="353">
        <v>171</v>
      </c>
      <c r="I391" s="305">
        <v>5</v>
      </c>
      <c r="J391" t="s" s="306">
        <v>1355</v>
      </c>
      <c r="K391" t="s" s="306">
        <v>271</v>
      </c>
      <c r="L391" t="s" s="307">
        <v>1356</v>
      </c>
      <c r="M391" s="284"/>
      <c r="N391" s="284"/>
      <c r="O391" s="310">
        <f>_xlfn.IFERROR(VLOOKUP($P391,'Suppl'!$B$2:$N$57,MATCH($B391,'Suppl'!$C$1:$N$1,0)+1,FALSE),"")</f>
        <v>0</v>
      </c>
      <c r="P391" t="s" s="306">
        <f>E391&amp;I391</f>
        <v>311</v>
      </c>
      <c r="Q391" s="286"/>
      <c r="R391" s="298"/>
      <c r="S391" s="298"/>
    </row>
    <row r="392" ht="15" customHeight="1">
      <c r="A392" t="s" s="276">
        <f>B392&amp;E392&amp;I392</f>
        <v>1357</v>
      </c>
      <c r="B392" s="351">
        <f>B391</f>
        <v>11</v>
      </c>
      <c r="C392" t="s" s="300">
        <f>C391</f>
        <v>1331</v>
      </c>
      <c r="D392" t="s" s="300">
        <v>1318</v>
      </c>
      <c r="E392" s="301">
        <v>2</v>
      </c>
      <c r="F392" t="s" s="300">
        <v>1341</v>
      </c>
      <c r="G392" t="s" s="352">
        <v>1342</v>
      </c>
      <c r="H392" t="s" s="353">
        <v>171</v>
      </c>
      <c r="I392" s="305">
        <v>6</v>
      </c>
      <c r="J392" t="s" s="306">
        <v>1358</v>
      </c>
      <c r="K392" t="s" s="306">
        <v>283</v>
      </c>
      <c r="L392" s="312"/>
      <c r="M392" s="284"/>
      <c r="N392" s="284"/>
      <c r="O392" s="310">
        <f>_xlfn.IFERROR(VLOOKUP($P392,'Suppl'!$B$2:$N$57,MATCH($B392,'Suppl'!$C$1:$N$1,0)+1,FALSE),"")</f>
        <v>0</v>
      </c>
      <c r="P392" t="s" s="306">
        <f>E392&amp;I392</f>
        <v>315</v>
      </c>
      <c r="Q392" s="286"/>
      <c r="R392" s="298"/>
      <c r="S392" s="298"/>
    </row>
    <row r="393" ht="15" customHeight="1">
      <c r="A393" t="s" s="276">
        <f>B393&amp;E393&amp;I393</f>
        <v>1359</v>
      </c>
      <c r="B393" s="354">
        <f>B392</f>
        <v>11</v>
      </c>
      <c r="C393" t="s" s="315">
        <f>C392</f>
        <v>1331</v>
      </c>
      <c r="D393" t="s" s="315">
        <v>1318</v>
      </c>
      <c r="E393" s="316">
        <v>2</v>
      </c>
      <c r="F393" t="s" s="315">
        <v>1341</v>
      </c>
      <c r="G393" t="s" s="355">
        <v>1342</v>
      </c>
      <c r="H393" t="s" s="353">
        <v>171</v>
      </c>
      <c r="I393" s="319">
        <v>7</v>
      </c>
      <c r="J393" s="330"/>
      <c r="K393" s="330"/>
      <c r="L393" s="321"/>
      <c r="M393" s="330"/>
      <c r="N393" s="330"/>
      <c r="O393" s="324">
        <f>_xlfn.IFERROR(VLOOKUP($P393,'Suppl'!$B$2:$N$57,MATCH($B393,'Suppl'!$C$1:$N$1,0)+1,FALSE),"")</f>
        <v>0</v>
      </c>
      <c r="P393" t="s" s="320">
        <f>E393&amp;I393</f>
        <v>319</v>
      </c>
      <c r="Q393" s="286"/>
      <c r="R393" s="298"/>
      <c r="S393" s="298"/>
    </row>
    <row r="394" ht="15" customHeight="1">
      <c r="A394" t="s" s="276">
        <f>B394&amp;E394&amp;I394</f>
        <v>184</v>
      </c>
      <c r="B394" s="356">
        <f>B393</f>
        <v>11</v>
      </c>
      <c r="C394" t="s" s="326">
        <f>C393</f>
        <v>1331</v>
      </c>
      <c r="D394" t="s" s="326">
        <v>1318</v>
      </c>
      <c r="E394" s="289">
        <v>3</v>
      </c>
      <c r="F394" t="s" s="288">
        <v>1360</v>
      </c>
      <c r="G394" t="s" s="357">
        <v>1361</v>
      </c>
      <c r="H394" t="s" s="353">
        <v>1362</v>
      </c>
      <c r="I394" s="292">
        <v>1</v>
      </c>
      <c r="J394" t="s" s="288">
        <v>1363</v>
      </c>
      <c r="K394" t="s" s="288">
        <v>283</v>
      </c>
      <c r="L394" t="s" s="293">
        <v>1364</v>
      </c>
      <c r="M394" s="328"/>
      <c r="N394" s="328"/>
      <c r="O394" s="296">
        <f>_xlfn.IFERROR(VLOOKUP($P394,'Suppl'!$B$2:$N$57,MATCH($B394,'Suppl'!$C$1:$N$1,0)+1,FALSE),"")</f>
        <v>0</v>
      </c>
      <c r="P394" t="s" s="288">
        <f>E394&amp;I394</f>
        <v>325</v>
      </c>
      <c r="Q394" s="286"/>
      <c r="R394" s="298"/>
      <c r="S394" s="298"/>
    </row>
    <row r="395" ht="15" customHeight="1">
      <c r="A395" t="s" s="276">
        <f>B395&amp;E395&amp;I395</f>
        <v>1365</v>
      </c>
      <c r="B395" s="351">
        <f>B394</f>
        <v>11</v>
      </c>
      <c r="C395" t="s" s="300">
        <f>C394</f>
        <v>1331</v>
      </c>
      <c r="D395" t="s" s="300">
        <v>1318</v>
      </c>
      <c r="E395" s="301">
        <v>3</v>
      </c>
      <c r="F395" t="s" s="300">
        <v>1360</v>
      </c>
      <c r="G395" t="s" s="352">
        <v>1361</v>
      </c>
      <c r="H395" t="s" s="353">
        <v>171</v>
      </c>
      <c r="I395" s="305">
        <v>2</v>
      </c>
      <c r="J395" t="s" s="306">
        <v>1366</v>
      </c>
      <c r="K395" t="s" s="306">
        <v>283</v>
      </c>
      <c r="L395" t="s" s="307">
        <v>1367</v>
      </c>
      <c r="M395" s="284"/>
      <c r="N395" s="284"/>
      <c r="O395" s="310">
        <f>_xlfn.IFERROR(VLOOKUP($P395,'Suppl'!$B$2:$N$57,MATCH($B395,'Suppl'!$C$1:$N$1,0)+1,FALSE),"")</f>
        <v>0</v>
      </c>
      <c r="P395" t="s" s="306">
        <f>E395&amp;I395</f>
        <v>329</v>
      </c>
      <c r="Q395" s="286"/>
      <c r="R395" s="298"/>
      <c r="S395" s="298"/>
    </row>
    <row r="396" ht="15" customHeight="1">
      <c r="A396" t="s" s="276">
        <f>B396&amp;E396&amp;I396</f>
        <v>1368</v>
      </c>
      <c r="B396" s="351">
        <f>B395</f>
        <v>11</v>
      </c>
      <c r="C396" t="s" s="300">
        <f>C395</f>
        <v>1331</v>
      </c>
      <c r="D396" t="s" s="300">
        <v>1318</v>
      </c>
      <c r="E396" s="301">
        <v>3</v>
      </c>
      <c r="F396" t="s" s="300">
        <v>1360</v>
      </c>
      <c r="G396" t="s" s="352">
        <v>1361</v>
      </c>
      <c r="H396" t="s" s="353">
        <v>171</v>
      </c>
      <c r="I396" s="305">
        <v>3</v>
      </c>
      <c r="J396" t="s" s="306">
        <v>1369</v>
      </c>
      <c r="K396" t="s" s="306">
        <v>271</v>
      </c>
      <c r="L396" t="s" s="307">
        <v>1370</v>
      </c>
      <c r="M396" s="284"/>
      <c r="N396" s="284"/>
      <c r="O396" s="310">
        <f>_xlfn.IFERROR(VLOOKUP($P396,'Suppl'!$B$2:$N$57,MATCH($B396,'Suppl'!$C$1:$N$1,0)+1,FALSE),"")</f>
        <v>0</v>
      </c>
      <c r="P396" t="s" s="306">
        <f>E396&amp;I396</f>
        <v>333</v>
      </c>
      <c r="Q396" s="286"/>
      <c r="R396" s="298"/>
      <c r="S396" s="298"/>
    </row>
    <row r="397" ht="15" customHeight="1">
      <c r="A397" t="s" s="276">
        <f>B397&amp;E397&amp;I397</f>
        <v>1371</v>
      </c>
      <c r="B397" s="351">
        <f>B396</f>
        <v>11</v>
      </c>
      <c r="C397" t="s" s="300">
        <f>C396</f>
        <v>1331</v>
      </c>
      <c r="D397" t="s" s="300">
        <v>1318</v>
      </c>
      <c r="E397" s="301">
        <v>3</v>
      </c>
      <c r="F397" t="s" s="300">
        <v>1360</v>
      </c>
      <c r="G397" t="s" s="352">
        <v>1361</v>
      </c>
      <c r="H397" t="s" s="353">
        <v>171</v>
      </c>
      <c r="I397" s="305">
        <v>4</v>
      </c>
      <c r="J397" t="s" s="306">
        <v>1372</v>
      </c>
      <c r="K397" t="s" s="306">
        <v>263</v>
      </c>
      <c r="L397" t="s" s="307">
        <v>1373</v>
      </c>
      <c r="M397" s="284"/>
      <c r="N397" s="284"/>
      <c r="O397" s="310">
        <f>_xlfn.IFERROR(VLOOKUP($P397,'Suppl'!$B$2:$N$57,MATCH($B397,'Suppl'!$C$1:$N$1,0)+1,FALSE),"")</f>
        <v>0</v>
      </c>
      <c r="P397" t="s" s="306">
        <f>E397&amp;I397</f>
        <v>336</v>
      </c>
      <c r="Q397" s="286"/>
      <c r="R397" s="298"/>
      <c r="S397" s="298"/>
    </row>
    <row r="398" ht="15" customHeight="1">
      <c r="A398" t="s" s="276">
        <f>B398&amp;E398&amp;I398</f>
        <v>1374</v>
      </c>
      <c r="B398" s="351">
        <f>B397</f>
        <v>11</v>
      </c>
      <c r="C398" t="s" s="300">
        <f>C397</f>
        <v>1331</v>
      </c>
      <c r="D398" t="s" s="300">
        <v>1318</v>
      </c>
      <c r="E398" s="301">
        <v>3</v>
      </c>
      <c r="F398" t="s" s="300">
        <v>1360</v>
      </c>
      <c r="G398" t="s" s="352">
        <v>1361</v>
      </c>
      <c r="H398" t="s" s="353">
        <v>171</v>
      </c>
      <c r="I398" s="305">
        <v>5</v>
      </c>
      <c r="J398" t="s" s="306">
        <v>1375</v>
      </c>
      <c r="K398" t="s" s="306">
        <v>263</v>
      </c>
      <c r="L398" t="s" s="307">
        <v>1376</v>
      </c>
      <c r="M398" s="284"/>
      <c r="N398" s="284"/>
      <c r="O398" s="310">
        <f>_xlfn.IFERROR(VLOOKUP($P398,'Suppl'!$B$2:$N$57,MATCH($B398,'Suppl'!$C$1:$N$1,0)+1,FALSE),"")</f>
        <v>0</v>
      </c>
      <c r="P398" t="s" s="306">
        <f>E398&amp;I398</f>
        <v>338</v>
      </c>
      <c r="Q398" s="286"/>
      <c r="R398" s="298"/>
      <c r="S398" s="298"/>
    </row>
    <row r="399" ht="15" customHeight="1">
      <c r="A399" t="s" s="276">
        <f>B399&amp;E399&amp;I399</f>
        <v>1377</v>
      </c>
      <c r="B399" s="351">
        <f>B398</f>
        <v>11</v>
      </c>
      <c r="C399" t="s" s="300">
        <f>C398</f>
        <v>1331</v>
      </c>
      <c r="D399" t="s" s="300">
        <v>1318</v>
      </c>
      <c r="E399" s="301">
        <v>3</v>
      </c>
      <c r="F399" t="s" s="300">
        <v>1360</v>
      </c>
      <c r="G399" t="s" s="352">
        <v>1361</v>
      </c>
      <c r="H399" t="s" s="353">
        <v>171</v>
      </c>
      <c r="I399" s="305">
        <v>6</v>
      </c>
      <c r="J399" s="284"/>
      <c r="K399" t="s" s="306">
        <v>171</v>
      </c>
      <c r="L399" s="312"/>
      <c r="M399" s="284"/>
      <c r="N399" s="284"/>
      <c r="O399" s="310">
        <f>_xlfn.IFERROR(VLOOKUP($P399,'Suppl'!$B$2:$N$57,MATCH($B399,'Suppl'!$C$1:$N$1,0)+1,FALSE),"")</f>
        <v>0</v>
      </c>
      <c r="P399" t="s" s="306">
        <f>E399&amp;I399</f>
        <v>340</v>
      </c>
      <c r="Q399" s="286"/>
      <c r="R399" s="298"/>
      <c r="S399" s="298"/>
    </row>
    <row r="400" ht="15" customHeight="1">
      <c r="A400" t="s" s="276">
        <f>B400&amp;E400&amp;I400</f>
        <v>1378</v>
      </c>
      <c r="B400" s="354">
        <f>B399</f>
        <v>11</v>
      </c>
      <c r="C400" t="s" s="315">
        <f>C399</f>
        <v>1331</v>
      </c>
      <c r="D400" t="s" s="315">
        <v>1318</v>
      </c>
      <c r="E400" s="316">
        <v>3</v>
      </c>
      <c r="F400" t="s" s="315">
        <v>1360</v>
      </c>
      <c r="G400" t="s" s="355">
        <v>1361</v>
      </c>
      <c r="H400" t="s" s="353">
        <v>171</v>
      </c>
      <c r="I400" s="319">
        <v>7</v>
      </c>
      <c r="J400" s="330"/>
      <c r="K400" t="s" s="320">
        <v>171</v>
      </c>
      <c r="L400" s="321"/>
      <c r="M400" s="330"/>
      <c r="N400" s="330"/>
      <c r="O400" s="324">
        <f>_xlfn.IFERROR(VLOOKUP($P400,'Suppl'!$B$2:$N$57,MATCH($B400,'Suppl'!$C$1:$N$1,0)+1,FALSE),"")</f>
        <v>0</v>
      </c>
      <c r="P400" t="s" s="320">
        <f>E400&amp;I400</f>
        <v>342</v>
      </c>
      <c r="Q400" s="286"/>
      <c r="R400" s="298"/>
      <c r="S400" s="298"/>
    </row>
    <row r="401" ht="15" customHeight="1">
      <c r="A401" t="s" s="276">
        <f>B401&amp;E401&amp;I401</f>
        <v>187</v>
      </c>
      <c r="B401" s="356">
        <f>B400</f>
        <v>11</v>
      </c>
      <c r="C401" t="s" s="326">
        <f>C400</f>
        <v>1331</v>
      </c>
      <c r="D401" t="s" s="326">
        <v>1318</v>
      </c>
      <c r="E401" s="289">
        <v>4</v>
      </c>
      <c r="F401" t="s" s="288">
        <v>1379</v>
      </c>
      <c r="G401" t="s" s="357">
        <v>1380</v>
      </c>
      <c r="H401" t="s" s="353">
        <v>171</v>
      </c>
      <c r="I401" s="292">
        <v>1</v>
      </c>
      <c r="J401" t="s" s="288">
        <v>1381</v>
      </c>
      <c r="K401" t="s" s="288">
        <v>283</v>
      </c>
      <c r="L401" t="s" s="293">
        <v>1382</v>
      </c>
      <c r="M401" s="328"/>
      <c r="N401" s="328"/>
      <c r="O401" s="296">
        <f>_xlfn.IFERROR(VLOOKUP($P401,'Suppl'!$B$2:$N$57,MATCH($B401,'Suppl'!$C$1:$N$1,0)+1,FALSE),"")</f>
        <v>0</v>
      </c>
      <c r="P401" t="s" s="288">
        <f>E401&amp;I401</f>
        <v>348</v>
      </c>
      <c r="Q401" s="286"/>
      <c r="R401" s="298"/>
      <c r="S401" s="298"/>
    </row>
    <row r="402" ht="15" customHeight="1">
      <c r="A402" t="s" s="276">
        <f>B402&amp;E402&amp;I402</f>
        <v>1383</v>
      </c>
      <c r="B402" s="351">
        <f>B401</f>
        <v>11</v>
      </c>
      <c r="C402" t="s" s="300">
        <f>C401</f>
        <v>1331</v>
      </c>
      <c r="D402" t="s" s="300">
        <v>1318</v>
      </c>
      <c r="E402" s="301">
        <v>4</v>
      </c>
      <c r="F402" t="s" s="300">
        <v>1379</v>
      </c>
      <c r="G402" t="s" s="352">
        <v>1380</v>
      </c>
      <c r="H402" t="s" s="353">
        <v>171</v>
      </c>
      <c r="I402" s="305">
        <v>2</v>
      </c>
      <c r="J402" t="s" s="306">
        <v>1384</v>
      </c>
      <c r="K402" t="s" s="306">
        <v>263</v>
      </c>
      <c r="L402" t="s" s="307">
        <v>1385</v>
      </c>
      <c r="M402" s="284"/>
      <c r="N402" s="284"/>
      <c r="O402" s="310">
        <f>_xlfn.IFERROR(VLOOKUP($P402,'Suppl'!$B$2:$N$57,MATCH($B402,'Suppl'!$C$1:$N$1,0)+1,FALSE),"")</f>
        <v>0</v>
      </c>
      <c r="P402" t="s" s="306">
        <f>E402&amp;I402</f>
        <v>351</v>
      </c>
      <c r="Q402" s="286"/>
      <c r="R402" s="298"/>
      <c r="S402" s="298"/>
    </row>
    <row r="403" ht="15" customHeight="1">
      <c r="A403" t="s" s="276">
        <f>B403&amp;E403&amp;I403</f>
        <v>1386</v>
      </c>
      <c r="B403" s="351">
        <f>B402</f>
        <v>11</v>
      </c>
      <c r="C403" t="s" s="300">
        <f>C402</f>
        <v>1331</v>
      </c>
      <c r="D403" t="s" s="300">
        <v>1318</v>
      </c>
      <c r="E403" s="301">
        <v>4</v>
      </c>
      <c r="F403" t="s" s="300">
        <v>1379</v>
      </c>
      <c r="G403" t="s" s="352">
        <v>1380</v>
      </c>
      <c r="H403" t="s" s="353">
        <v>171</v>
      </c>
      <c r="I403" s="305">
        <v>3</v>
      </c>
      <c r="J403" t="s" s="306">
        <v>1387</v>
      </c>
      <c r="K403" t="s" s="306">
        <v>263</v>
      </c>
      <c r="L403" t="s" s="307">
        <v>1388</v>
      </c>
      <c r="M403" s="284"/>
      <c r="N403" s="284"/>
      <c r="O403" s="310">
        <f>_xlfn.IFERROR(VLOOKUP($P403,'Suppl'!$B$2:$N$57,MATCH($B403,'Suppl'!$C$1:$N$1,0)+1,FALSE),"")</f>
        <v>0</v>
      </c>
      <c r="P403" t="s" s="306">
        <f>E403&amp;I403</f>
        <v>354</v>
      </c>
      <c r="Q403" s="286"/>
      <c r="R403" s="298"/>
      <c r="S403" s="298"/>
    </row>
    <row r="404" ht="15" customHeight="1">
      <c r="A404" t="s" s="276">
        <f>B404&amp;E404&amp;I404</f>
        <v>1389</v>
      </c>
      <c r="B404" s="351">
        <f>B403</f>
        <v>11</v>
      </c>
      <c r="C404" t="s" s="300">
        <f>C403</f>
        <v>1331</v>
      </c>
      <c r="D404" t="s" s="300">
        <v>1318</v>
      </c>
      <c r="E404" s="301">
        <v>4</v>
      </c>
      <c r="F404" t="s" s="300">
        <v>1379</v>
      </c>
      <c r="G404" t="s" s="352">
        <v>1380</v>
      </c>
      <c r="H404" t="s" s="353">
        <v>171</v>
      </c>
      <c r="I404" s="305">
        <v>4</v>
      </c>
      <c r="J404" t="s" s="306">
        <v>1390</v>
      </c>
      <c r="K404" t="s" s="306">
        <v>263</v>
      </c>
      <c r="L404" t="s" s="307">
        <v>1391</v>
      </c>
      <c r="M404" s="284"/>
      <c r="N404" s="284"/>
      <c r="O404" s="310">
        <f>_xlfn.IFERROR(VLOOKUP($P404,'Suppl'!$B$2:$N$57,MATCH($B404,'Suppl'!$C$1:$N$1,0)+1,FALSE),"")</f>
        <v>0</v>
      </c>
      <c r="P404" t="s" s="306">
        <f>E404&amp;I404</f>
        <v>357</v>
      </c>
      <c r="Q404" s="286"/>
      <c r="R404" s="298"/>
      <c r="S404" s="298"/>
    </row>
    <row r="405" ht="15" customHeight="1">
      <c r="A405" t="s" s="276">
        <f>B405&amp;E405&amp;I405</f>
        <v>1392</v>
      </c>
      <c r="B405" s="351">
        <f>B404</f>
        <v>11</v>
      </c>
      <c r="C405" t="s" s="300">
        <f>C404</f>
        <v>1331</v>
      </c>
      <c r="D405" t="s" s="300">
        <v>1318</v>
      </c>
      <c r="E405" s="301">
        <v>4</v>
      </c>
      <c r="F405" t="s" s="300">
        <v>1379</v>
      </c>
      <c r="G405" t="s" s="352">
        <v>1380</v>
      </c>
      <c r="H405" t="s" s="353">
        <v>171</v>
      </c>
      <c r="I405" s="305">
        <v>5</v>
      </c>
      <c r="J405" t="s" s="306">
        <v>1393</v>
      </c>
      <c r="K405" t="s" s="306">
        <v>263</v>
      </c>
      <c r="L405" t="s" s="307">
        <v>1394</v>
      </c>
      <c r="M405" s="284"/>
      <c r="N405" s="284"/>
      <c r="O405" s="310">
        <f>_xlfn.IFERROR(VLOOKUP($P405,'Suppl'!$B$2:$N$57,MATCH($B405,'Suppl'!$C$1:$N$1,0)+1,FALSE),"")</f>
        <v>0</v>
      </c>
      <c r="P405" t="s" s="306">
        <f>E405&amp;I405</f>
        <v>360</v>
      </c>
      <c r="Q405" s="286"/>
      <c r="R405" s="298"/>
      <c r="S405" s="298"/>
    </row>
    <row r="406" ht="15" customHeight="1">
      <c r="A406" t="s" s="276">
        <f>B406&amp;E406&amp;I406</f>
        <v>1395</v>
      </c>
      <c r="B406" s="351">
        <f>B405</f>
        <v>11</v>
      </c>
      <c r="C406" t="s" s="300">
        <f>C405</f>
        <v>1331</v>
      </c>
      <c r="D406" t="s" s="300">
        <v>1318</v>
      </c>
      <c r="E406" s="301">
        <v>4</v>
      </c>
      <c r="F406" t="s" s="300">
        <v>1379</v>
      </c>
      <c r="G406" t="s" s="352">
        <v>1380</v>
      </c>
      <c r="H406" t="s" s="353">
        <v>171</v>
      </c>
      <c r="I406" s="305">
        <v>6</v>
      </c>
      <c r="J406" s="284"/>
      <c r="K406" t="s" s="306">
        <v>171</v>
      </c>
      <c r="L406" s="312"/>
      <c r="M406" s="284"/>
      <c r="N406" s="284"/>
      <c r="O406" s="310">
        <f>_xlfn.IFERROR(VLOOKUP($P406,'Suppl'!$B$2:$N$57,MATCH($B406,'Suppl'!$C$1:$N$1,0)+1,FALSE),"")</f>
        <v>0</v>
      </c>
      <c r="P406" t="s" s="306">
        <f>E406&amp;I406</f>
        <v>363</v>
      </c>
      <c r="Q406" s="286"/>
      <c r="R406" s="298"/>
      <c r="S406" s="298"/>
    </row>
    <row r="407" ht="15" customHeight="1">
      <c r="A407" t="s" s="276">
        <f>B407&amp;E407&amp;I407</f>
        <v>1396</v>
      </c>
      <c r="B407" s="354">
        <f>B406</f>
        <v>11</v>
      </c>
      <c r="C407" t="s" s="315">
        <f>C406</f>
        <v>1331</v>
      </c>
      <c r="D407" t="s" s="315">
        <v>1318</v>
      </c>
      <c r="E407" s="316">
        <v>4</v>
      </c>
      <c r="F407" t="s" s="315">
        <v>1379</v>
      </c>
      <c r="G407" t="s" s="355">
        <v>1380</v>
      </c>
      <c r="H407" t="s" s="353">
        <v>171</v>
      </c>
      <c r="I407" s="319">
        <v>7</v>
      </c>
      <c r="J407" s="330"/>
      <c r="K407" t="s" s="320">
        <v>171</v>
      </c>
      <c r="L407" s="321"/>
      <c r="M407" s="330"/>
      <c r="N407" s="330"/>
      <c r="O407" s="324">
        <f>_xlfn.IFERROR(VLOOKUP($P407,'Suppl'!$B$2:$N$57,MATCH($B407,'Suppl'!$C$1:$N$1,0)+1,FALSE),"")</f>
        <v>0</v>
      </c>
      <c r="P407" t="s" s="320">
        <f>E407&amp;I407</f>
        <v>365</v>
      </c>
      <c r="Q407" s="286"/>
      <c r="R407" s="298"/>
      <c r="S407" s="298"/>
    </row>
    <row r="408" ht="15" customHeight="1">
      <c r="A408" t="s" s="276">
        <f>B408&amp;E408&amp;I408</f>
        <v>189</v>
      </c>
      <c r="B408" s="356">
        <f>B407</f>
        <v>11</v>
      </c>
      <c r="C408" t="s" s="326">
        <f>C407</f>
        <v>1331</v>
      </c>
      <c r="D408" t="s" s="326">
        <v>1318</v>
      </c>
      <c r="E408" s="289">
        <v>5</v>
      </c>
      <c r="F408" t="s" s="288">
        <v>1397</v>
      </c>
      <c r="G408" t="s" s="357">
        <v>1398</v>
      </c>
      <c r="H408" t="s" s="353">
        <v>171</v>
      </c>
      <c r="I408" s="292">
        <v>1</v>
      </c>
      <c r="J408" t="s" s="288">
        <v>1399</v>
      </c>
      <c r="K408" t="s" s="288">
        <v>283</v>
      </c>
      <c r="L408" t="s" s="293">
        <v>1400</v>
      </c>
      <c r="M408" s="328"/>
      <c r="N408" s="328"/>
      <c r="O408" s="296">
        <f>_xlfn.IFERROR(VLOOKUP($P408,'Suppl'!$B$2:$N$57,MATCH($B408,'Suppl'!$C$1:$N$1,0)+1,FALSE),"")</f>
        <v>0</v>
      </c>
      <c r="P408" t="s" s="288">
        <f>E408&amp;I408</f>
        <v>370</v>
      </c>
      <c r="Q408" s="286"/>
      <c r="R408" s="298"/>
      <c r="S408" s="298"/>
    </row>
    <row r="409" ht="15" customHeight="1">
      <c r="A409" t="s" s="276">
        <f>B409&amp;E409&amp;I409</f>
        <v>1401</v>
      </c>
      <c r="B409" s="351">
        <f>B408</f>
        <v>11</v>
      </c>
      <c r="C409" t="s" s="300">
        <f>C408</f>
        <v>1331</v>
      </c>
      <c r="D409" t="s" s="300">
        <v>1318</v>
      </c>
      <c r="E409" s="301">
        <v>5</v>
      </c>
      <c r="F409" t="s" s="300">
        <v>1397</v>
      </c>
      <c r="G409" t="s" s="352">
        <v>1398</v>
      </c>
      <c r="H409" t="s" s="353">
        <v>171</v>
      </c>
      <c r="I409" s="305">
        <v>2</v>
      </c>
      <c r="J409" t="s" s="306">
        <v>1402</v>
      </c>
      <c r="K409" t="s" s="306">
        <v>283</v>
      </c>
      <c r="L409" t="s" s="307">
        <v>1403</v>
      </c>
      <c r="M409" s="284"/>
      <c r="N409" s="284"/>
      <c r="O409" s="310">
        <f>_xlfn.IFERROR(VLOOKUP($P409,'Suppl'!$B$2:$N$57,MATCH($B409,'Suppl'!$C$1:$N$1,0)+1,FALSE),"")</f>
        <v>0</v>
      </c>
      <c r="P409" t="s" s="306">
        <f>E409&amp;I409</f>
        <v>374</v>
      </c>
      <c r="Q409" s="286"/>
      <c r="R409" s="298"/>
      <c r="S409" s="298"/>
    </row>
    <row r="410" ht="15" customHeight="1">
      <c r="A410" t="s" s="276">
        <f>B410&amp;E410&amp;I410</f>
        <v>1404</v>
      </c>
      <c r="B410" s="351">
        <f>B409</f>
        <v>11</v>
      </c>
      <c r="C410" t="s" s="300">
        <f>C409</f>
        <v>1331</v>
      </c>
      <c r="D410" t="s" s="300">
        <v>1318</v>
      </c>
      <c r="E410" s="301">
        <v>5</v>
      </c>
      <c r="F410" t="s" s="300">
        <v>1397</v>
      </c>
      <c r="G410" t="s" s="352">
        <v>1398</v>
      </c>
      <c r="H410" t="s" s="353">
        <v>171</v>
      </c>
      <c r="I410" s="305">
        <v>3</v>
      </c>
      <c r="J410" t="s" s="306">
        <v>1405</v>
      </c>
      <c r="K410" t="s" s="306">
        <v>263</v>
      </c>
      <c r="L410" t="s" s="307">
        <v>1406</v>
      </c>
      <c r="M410" s="284"/>
      <c r="N410" s="284"/>
      <c r="O410" s="310">
        <f>_xlfn.IFERROR(VLOOKUP($P410,'Suppl'!$B$2:$N$57,MATCH($B410,'Suppl'!$C$1:$N$1,0)+1,FALSE),"")</f>
        <v>0</v>
      </c>
      <c r="P410" t="s" s="306">
        <f>E410&amp;I410</f>
        <v>377</v>
      </c>
      <c r="Q410" s="286"/>
      <c r="R410" s="298"/>
      <c r="S410" s="298"/>
    </row>
    <row r="411" ht="15" customHeight="1">
      <c r="A411" t="s" s="276">
        <f>B411&amp;E411&amp;I411</f>
        <v>1407</v>
      </c>
      <c r="B411" s="351">
        <f>B410</f>
        <v>11</v>
      </c>
      <c r="C411" t="s" s="300">
        <f>C410</f>
        <v>1331</v>
      </c>
      <c r="D411" t="s" s="300">
        <v>1318</v>
      </c>
      <c r="E411" s="301">
        <v>5</v>
      </c>
      <c r="F411" t="s" s="300">
        <v>1397</v>
      </c>
      <c r="G411" t="s" s="352">
        <v>1398</v>
      </c>
      <c r="H411" t="s" s="353">
        <v>171</v>
      </c>
      <c r="I411" s="305">
        <v>4</v>
      </c>
      <c r="J411" t="s" s="306">
        <v>1408</v>
      </c>
      <c r="K411" t="s" s="306">
        <v>271</v>
      </c>
      <c r="L411" t="s" s="307">
        <v>1409</v>
      </c>
      <c r="M411" s="284"/>
      <c r="N411" s="284"/>
      <c r="O411" s="310">
        <f>_xlfn.IFERROR(VLOOKUP($P411,'Suppl'!$B$2:$N$57,MATCH($B411,'Suppl'!$C$1:$N$1,0)+1,FALSE),"")</f>
        <v>0</v>
      </c>
      <c r="P411" t="s" s="306">
        <f>E411&amp;I411</f>
        <v>380</v>
      </c>
      <c r="Q411" s="286"/>
      <c r="R411" s="298"/>
      <c r="S411" s="298"/>
    </row>
    <row r="412" ht="15" customHeight="1">
      <c r="A412" t="s" s="276">
        <f>B412&amp;E412&amp;I412</f>
        <v>1410</v>
      </c>
      <c r="B412" s="351">
        <f>B411</f>
        <v>11</v>
      </c>
      <c r="C412" t="s" s="300">
        <f>C411</f>
        <v>1331</v>
      </c>
      <c r="D412" t="s" s="300">
        <v>1318</v>
      </c>
      <c r="E412" s="301">
        <v>5</v>
      </c>
      <c r="F412" t="s" s="300">
        <v>1397</v>
      </c>
      <c r="G412" t="s" s="352">
        <v>1398</v>
      </c>
      <c r="H412" t="s" s="353">
        <v>171</v>
      </c>
      <c r="I412" s="305">
        <v>5</v>
      </c>
      <c r="J412" t="s" s="306">
        <v>1411</v>
      </c>
      <c r="K412" t="s" s="306">
        <v>291</v>
      </c>
      <c r="L412" t="s" s="307">
        <v>1412</v>
      </c>
      <c r="M412" s="284"/>
      <c r="N412" s="284"/>
      <c r="O412" s="310">
        <f>_xlfn.IFERROR(VLOOKUP($P412,'Suppl'!$B$2:$N$57,MATCH($B412,'Suppl'!$C$1:$N$1,0)+1,FALSE),"")</f>
        <v>0</v>
      </c>
      <c r="P412" t="s" s="306">
        <f>E412&amp;I412</f>
        <v>383</v>
      </c>
      <c r="Q412" s="286"/>
      <c r="R412" s="298"/>
      <c r="S412" s="298"/>
    </row>
    <row r="413" ht="15" customHeight="1">
      <c r="A413" t="s" s="276">
        <f>B413&amp;E413&amp;I413</f>
        <v>1413</v>
      </c>
      <c r="B413" s="351">
        <f>B412</f>
        <v>11</v>
      </c>
      <c r="C413" t="s" s="300">
        <f>C412</f>
        <v>1331</v>
      </c>
      <c r="D413" t="s" s="300">
        <v>1318</v>
      </c>
      <c r="E413" s="301">
        <v>5</v>
      </c>
      <c r="F413" t="s" s="300">
        <v>1397</v>
      </c>
      <c r="G413" t="s" s="352">
        <v>1398</v>
      </c>
      <c r="H413" t="s" s="353">
        <v>171</v>
      </c>
      <c r="I413" s="305">
        <v>6</v>
      </c>
      <c r="J413" t="s" s="306">
        <v>1414</v>
      </c>
      <c r="K413" t="s" s="306">
        <v>271</v>
      </c>
      <c r="L413" t="s" s="307">
        <v>1415</v>
      </c>
      <c r="M413" s="284"/>
      <c r="N413" s="284"/>
      <c r="O413" s="310">
        <f>_xlfn.IFERROR(VLOOKUP($P413,'Suppl'!$B$2:$N$57,MATCH($B413,'Suppl'!$C$1:$N$1,0)+1,FALSE),"")</f>
        <v>0</v>
      </c>
      <c r="P413" t="s" s="306">
        <f>E413&amp;I413</f>
        <v>385</v>
      </c>
      <c r="Q413" s="286"/>
      <c r="R413" s="298"/>
      <c r="S413" s="298"/>
    </row>
    <row r="414" ht="15" customHeight="1">
      <c r="A414" t="s" s="276">
        <f>B414&amp;E414&amp;I414</f>
        <v>1416</v>
      </c>
      <c r="B414" s="354">
        <f>B413</f>
        <v>11</v>
      </c>
      <c r="C414" t="s" s="315">
        <f>C413</f>
        <v>1331</v>
      </c>
      <c r="D414" t="s" s="315">
        <v>1318</v>
      </c>
      <c r="E414" s="316">
        <v>5</v>
      </c>
      <c r="F414" t="s" s="315">
        <v>1397</v>
      </c>
      <c r="G414" t="s" s="355">
        <v>1398</v>
      </c>
      <c r="H414" t="s" s="353">
        <v>171</v>
      </c>
      <c r="I414" s="319">
        <v>7</v>
      </c>
      <c r="J414" t="s" s="320">
        <v>1417</v>
      </c>
      <c r="K414" t="s" s="320">
        <v>263</v>
      </c>
      <c r="L414" t="s" s="365">
        <v>1418</v>
      </c>
      <c r="M414" s="330"/>
      <c r="N414" s="330"/>
      <c r="O414" s="324">
        <f>_xlfn.IFERROR(VLOOKUP($P414,'Suppl'!$B$2:$N$57,MATCH($B414,'Suppl'!$C$1:$N$1,0)+1,FALSE),"")</f>
        <v>0</v>
      </c>
      <c r="P414" t="s" s="320">
        <f>E414&amp;I414</f>
        <v>387</v>
      </c>
      <c r="Q414" s="286"/>
      <c r="R414" s="298"/>
      <c r="S414" s="298"/>
    </row>
    <row r="415" ht="15" customHeight="1">
      <c r="A415" t="s" s="276">
        <f>B415&amp;E415&amp;I415</f>
        <v>192</v>
      </c>
      <c r="B415" s="356">
        <f>B414</f>
        <v>11</v>
      </c>
      <c r="C415" t="s" s="326">
        <f>C414</f>
        <v>1331</v>
      </c>
      <c r="D415" t="s" s="326">
        <v>1318</v>
      </c>
      <c r="E415" s="289">
        <v>6</v>
      </c>
      <c r="F415" t="s" s="288">
        <v>1419</v>
      </c>
      <c r="G415" t="s" s="357">
        <v>1420</v>
      </c>
      <c r="H415" s="396"/>
      <c r="I415" s="292">
        <v>1</v>
      </c>
      <c r="J415" t="s" s="288">
        <v>1421</v>
      </c>
      <c r="K415" t="s" s="288">
        <v>263</v>
      </c>
      <c r="L415" t="s" s="293">
        <v>1422</v>
      </c>
      <c r="M415" s="328"/>
      <c r="N415" s="328"/>
      <c r="O415" s="296">
        <f>_xlfn.IFERROR(VLOOKUP($P415,'Suppl'!$B$2:$N$57,MATCH($B415,'Suppl'!$C$1:$N$1,0)+1,FALSE),"")</f>
        <v>0</v>
      </c>
      <c r="P415" t="s" s="288">
        <f>E415&amp;I415</f>
        <v>479</v>
      </c>
      <c r="Q415" s="286"/>
      <c r="R415" s="298"/>
      <c r="S415" s="298"/>
    </row>
    <row r="416" ht="15" customHeight="1">
      <c r="A416" t="s" s="276">
        <f>B416&amp;E416&amp;I416</f>
        <v>1423</v>
      </c>
      <c r="B416" s="351">
        <f>B415</f>
        <v>11</v>
      </c>
      <c r="C416" t="s" s="300">
        <f>C415</f>
        <v>1331</v>
      </c>
      <c r="D416" t="s" s="300">
        <v>1318</v>
      </c>
      <c r="E416" s="301">
        <v>6</v>
      </c>
      <c r="F416" t="s" s="300">
        <v>1419</v>
      </c>
      <c r="G416" t="s" s="352">
        <v>1420</v>
      </c>
      <c r="H416" t="s" s="353">
        <v>171</v>
      </c>
      <c r="I416" s="305">
        <v>2</v>
      </c>
      <c r="J416" t="s" s="306">
        <v>1424</v>
      </c>
      <c r="K416" t="s" s="306">
        <v>283</v>
      </c>
      <c r="L416" t="s" s="307">
        <v>1425</v>
      </c>
      <c r="M416" s="284"/>
      <c r="N416" s="284"/>
      <c r="O416" s="310">
        <f>_xlfn.IFERROR(VLOOKUP($P416,'Suppl'!$B$2:$N$57,MATCH($B416,'Suppl'!$C$1:$N$1,0)+1,FALSE),"")</f>
        <v>0</v>
      </c>
      <c r="P416" t="s" s="306">
        <f>E416&amp;I416</f>
        <v>483</v>
      </c>
      <c r="Q416" s="286"/>
      <c r="R416" s="298"/>
      <c r="S416" s="298"/>
    </row>
    <row r="417" ht="15" customHeight="1">
      <c r="A417" t="s" s="276">
        <f>B417&amp;E417&amp;I417</f>
        <v>1426</v>
      </c>
      <c r="B417" s="351">
        <f>B416</f>
        <v>11</v>
      </c>
      <c r="C417" t="s" s="300">
        <f>C416</f>
        <v>1331</v>
      </c>
      <c r="D417" t="s" s="300">
        <v>1318</v>
      </c>
      <c r="E417" s="301">
        <v>6</v>
      </c>
      <c r="F417" t="s" s="300">
        <v>1419</v>
      </c>
      <c r="G417" t="s" s="352">
        <v>1420</v>
      </c>
      <c r="H417" t="s" s="353">
        <v>171</v>
      </c>
      <c r="I417" s="305">
        <v>3</v>
      </c>
      <c r="J417" t="s" s="306">
        <v>1427</v>
      </c>
      <c r="K417" t="s" s="306">
        <v>271</v>
      </c>
      <c r="L417" t="s" s="307">
        <v>1428</v>
      </c>
      <c r="M417" s="284"/>
      <c r="N417" s="284"/>
      <c r="O417" s="310">
        <f>_xlfn.IFERROR(VLOOKUP($P417,'Suppl'!$B$2:$N$57,MATCH($B417,'Suppl'!$C$1:$N$1,0)+1,FALSE),"")</f>
        <v>0</v>
      </c>
      <c r="P417" t="s" s="306">
        <f>E417&amp;I417</f>
        <v>487</v>
      </c>
      <c r="Q417" s="286"/>
      <c r="R417" s="298"/>
      <c r="S417" s="298"/>
    </row>
    <row r="418" ht="15" customHeight="1">
      <c r="A418" t="s" s="276">
        <f>B418&amp;E418&amp;I418</f>
        <v>1429</v>
      </c>
      <c r="B418" s="351">
        <f>B417</f>
        <v>11</v>
      </c>
      <c r="C418" t="s" s="300">
        <f>C417</f>
        <v>1331</v>
      </c>
      <c r="D418" t="s" s="300">
        <v>1318</v>
      </c>
      <c r="E418" s="301">
        <v>6</v>
      </c>
      <c r="F418" t="s" s="300">
        <v>1419</v>
      </c>
      <c r="G418" t="s" s="352">
        <v>1420</v>
      </c>
      <c r="H418" t="s" s="353">
        <v>171</v>
      </c>
      <c r="I418" s="305">
        <v>4</v>
      </c>
      <c r="J418" t="s" s="306">
        <v>1430</v>
      </c>
      <c r="K418" t="s" s="306">
        <v>271</v>
      </c>
      <c r="L418" t="s" s="307">
        <v>1431</v>
      </c>
      <c r="M418" s="284"/>
      <c r="N418" s="284"/>
      <c r="O418" s="310">
        <f>_xlfn.IFERROR(VLOOKUP($P418,'Suppl'!$B$2:$N$57,MATCH($B418,'Suppl'!$C$1:$N$1,0)+1,FALSE),"")</f>
        <v>0</v>
      </c>
      <c r="P418" t="s" s="306">
        <f>E418&amp;I418</f>
        <v>490</v>
      </c>
      <c r="Q418" s="286"/>
      <c r="R418" s="298"/>
      <c r="S418" s="298"/>
    </row>
    <row r="419" ht="15" customHeight="1">
      <c r="A419" t="s" s="276">
        <f>B419&amp;E419&amp;I419</f>
        <v>1432</v>
      </c>
      <c r="B419" s="351">
        <f>B418</f>
        <v>11</v>
      </c>
      <c r="C419" t="s" s="300">
        <f>C418</f>
        <v>1331</v>
      </c>
      <c r="D419" t="s" s="300">
        <v>1318</v>
      </c>
      <c r="E419" s="301">
        <v>6</v>
      </c>
      <c r="F419" t="s" s="300">
        <v>1419</v>
      </c>
      <c r="G419" t="s" s="352">
        <v>1420</v>
      </c>
      <c r="H419" t="s" s="353">
        <v>171</v>
      </c>
      <c r="I419" s="305">
        <v>5</v>
      </c>
      <c r="J419" s="284"/>
      <c r="K419" t="s" s="306">
        <v>171</v>
      </c>
      <c r="L419" s="312"/>
      <c r="M419" s="284"/>
      <c r="N419" s="284"/>
      <c r="O419" s="310">
        <f>_xlfn.IFERROR(VLOOKUP($P419,'Suppl'!$B$2:$N$57,MATCH($B419,'Suppl'!$C$1:$N$1,0)+1,FALSE),"")</f>
        <v>0</v>
      </c>
      <c r="P419" t="s" s="306">
        <f>E419&amp;I419</f>
        <v>492</v>
      </c>
      <c r="Q419" s="286"/>
      <c r="R419" s="298"/>
      <c r="S419" s="298"/>
    </row>
    <row r="420" ht="15" customHeight="1">
      <c r="A420" t="s" s="276">
        <f>B420&amp;E420&amp;I420</f>
        <v>1433</v>
      </c>
      <c r="B420" s="351">
        <f>B419</f>
        <v>11</v>
      </c>
      <c r="C420" t="s" s="300">
        <f>C419</f>
        <v>1331</v>
      </c>
      <c r="D420" t="s" s="300">
        <v>1318</v>
      </c>
      <c r="E420" s="301">
        <v>6</v>
      </c>
      <c r="F420" t="s" s="300">
        <v>1419</v>
      </c>
      <c r="G420" t="s" s="352">
        <v>1420</v>
      </c>
      <c r="H420" t="s" s="353">
        <v>171</v>
      </c>
      <c r="I420" s="305">
        <v>6</v>
      </c>
      <c r="J420" s="284"/>
      <c r="K420" t="s" s="306">
        <v>171</v>
      </c>
      <c r="L420" s="312"/>
      <c r="M420" s="284"/>
      <c r="N420" s="284"/>
      <c r="O420" s="310">
        <f>_xlfn.IFERROR(VLOOKUP($P420,'Suppl'!$B$2:$N$57,MATCH($B420,'Suppl'!$C$1:$N$1,0)+1,FALSE),"")</f>
        <v>0</v>
      </c>
      <c r="P420" t="s" s="306">
        <f>E420&amp;I420</f>
        <v>494</v>
      </c>
      <c r="Q420" s="286"/>
      <c r="R420" s="298"/>
      <c r="S420" s="298"/>
    </row>
    <row r="421" ht="15" customHeight="1">
      <c r="A421" t="s" s="276">
        <f>B421&amp;E421&amp;I421</f>
        <v>1434</v>
      </c>
      <c r="B421" s="354">
        <f>B420</f>
        <v>11</v>
      </c>
      <c r="C421" t="s" s="315">
        <f>C420</f>
        <v>1331</v>
      </c>
      <c r="D421" t="s" s="315">
        <v>1318</v>
      </c>
      <c r="E421" s="316">
        <v>6</v>
      </c>
      <c r="F421" t="s" s="315">
        <v>1419</v>
      </c>
      <c r="G421" t="s" s="355">
        <v>1420</v>
      </c>
      <c r="H421" t="s" s="353">
        <v>171</v>
      </c>
      <c r="I421" s="319">
        <v>7</v>
      </c>
      <c r="J421" s="330"/>
      <c r="K421" t="s" s="320">
        <v>171</v>
      </c>
      <c r="L421" s="321"/>
      <c r="M421" s="330"/>
      <c r="N421" s="330"/>
      <c r="O421" s="324">
        <f>_xlfn.IFERROR(VLOOKUP($P421,'Suppl'!$B$2:$N$57,MATCH($B421,'Suppl'!$C$1:$N$1,0)+1,FALSE),"")</f>
        <v>0</v>
      </c>
      <c r="P421" t="s" s="320">
        <f>E421&amp;I421</f>
        <v>496</v>
      </c>
      <c r="Q421" s="286"/>
      <c r="R421" s="298"/>
      <c r="S421" s="298"/>
    </row>
    <row r="422" ht="15" customHeight="1">
      <c r="A422" t="s" s="276">
        <f>B422&amp;E422&amp;I422</f>
        <v>194</v>
      </c>
      <c r="B422" s="356">
        <f>B421</f>
        <v>11</v>
      </c>
      <c r="C422" t="s" s="326">
        <f>C421</f>
        <v>1331</v>
      </c>
      <c r="D422" t="s" s="326">
        <v>1318</v>
      </c>
      <c r="E422" s="289">
        <v>7</v>
      </c>
      <c r="F422" t="s" s="288">
        <v>1435</v>
      </c>
      <c r="G422" t="s" s="357">
        <v>1436</v>
      </c>
      <c r="H422" t="s" s="353">
        <v>1437</v>
      </c>
      <c r="I422" s="292">
        <v>1</v>
      </c>
      <c r="J422" t="s" s="288">
        <v>1438</v>
      </c>
      <c r="K422" t="s" s="288">
        <v>283</v>
      </c>
      <c r="L422" t="s" s="293">
        <v>1439</v>
      </c>
      <c r="M422" s="328"/>
      <c r="N422" s="328"/>
      <c r="O422" s="296">
        <f>_xlfn.IFERROR(VLOOKUP($P422,'Suppl'!$B$2:$N$57,MATCH($B422,'Suppl'!$C$1:$N$1,0)+1,FALSE),"")</f>
        <v>0</v>
      </c>
      <c r="P422" t="s" s="288">
        <f>E422&amp;I422</f>
        <v>623</v>
      </c>
      <c r="Q422" s="286"/>
      <c r="R422" s="298"/>
      <c r="S422" s="298"/>
    </row>
    <row r="423" ht="15" customHeight="1">
      <c r="A423" t="s" s="276">
        <f>B423&amp;E423&amp;I423</f>
        <v>1440</v>
      </c>
      <c r="B423" s="351">
        <f>B422</f>
        <v>11</v>
      </c>
      <c r="C423" t="s" s="300">
        <f>C422</f>
        <v>1331</v>
      </c>
      <c r="D423" t="s" s="300">
        <v>1318</v>
      </c>
      <c r="E423" s="301">
        <v>7</v>
      </c>
      <c r="F423" t="s" s="300">
        <v>1435</v>
      </c>
      <c r="G423" t="s" s="352">
        <v>1436</v>
      </c>
      <c r="H423" t="s" s="353">
        <v>171</v>
      </c>
      <c r="I423" s="305">
        <v>2</v>
      </c>
      <c r="J423" t="s" s="306">
        <v>1441</v>
      </c>
      <c r="K423" t="s" s="306">
        <v>271</v>
      </c>
      <c r="L423" t="s" s="307">
        <v>1442</v>
      </c>
      <c r="M423" s="284"/>
      <c r="N423" s="284"/>
      <c r="O423" s="310">
        <f>_xlfn.IFERROR(VLOOKUP($P423,'Suppl'!$B$2:$N$57,MATCH($B423,'Suppl'!$C$1:$N$1,0)+1,FALSE),"")</f>
        <v>0</v>
      </c>
      <c r="P423" t="s" s="306">
        <f>E423&amp;I423</f>
        <v>627</v>
      </c>
      <c r="Q423" s="286"/>
      <c r="R423" s="298"/>
      <c r="S423" s="298"/>
    </row>
    <row r="424" ht="15" customHeight="1">
      <c r="A424" t="s" s="276">
        <f>B424&amp;E424&amp;I424</f>
        <v>1443</v>
      </c>
      <c r="B424" s="351">
        <f>B423</f>
        <v>11</v>
      </c>
      <c r="C424" t="s" s="300">
        <f>C423</f>
        <v>1331</v>
      </c>
      <c r="D424" t="s" s="300">
        <v>1318</v>
      </c>
      <c r="E424" s="301">
        <v>7</v>
      </c>
      <c r="F424" t="s" s="300">
        <v>1435</v>
      </c>
      <c r="G424" t="s" s="352">
        <v>1436</v>
      </c>
      <c r="H424" t="s" s="353">
        <v>171</v>
      </c>
      <c r="I424" s="305">
        <v>3</v>
      </c>
      <c r="J424" t="s" s="306">
        <v>1444</v>
      </c>
      <c r="K424" t="s" s="306">
        <v>283</v>
      </c>
      <c r="L424" t="s" s="307">
        <v>1445</v>
      </c>
      <c r="M424" s="284"/>
      <c r="N424" s="284"/>
      <c r="O424" s="310">
        <f>_xlfn.IFERROR(VLOOKUP($P424,'Suppl'!$B$2:$N$57,MATCH($B424,'Suppl'!$C$1:$N$1,0)+1,FALSE),"")</f>
        <v>0</v>
      </c>
      <c r="P424" t="s" s="306">
        <f>E424&amp;I424</f>
        <v>630</v>
      </c>
      <c r="Q424" s="286"/>
      <c r="R424" s="298"/>
      <c r="S424" s="298"/>
    </row>
    <row r="425" ht="15" customHeight="1">
      <c r="A425" t="s" s="276">
        <f>B425&amp;E425&amp;I425</f>
        <v>1446</v>
      </c>
      <c r="B425" s="351">
        <f>B424</f>
        <v>11</v>
      </c>
      <c r="C425" t="s" s="300">
        <f>C424</f>
        <v>1331</v>
      </c>
      <c r="D425" t="s" s="300">
        <v>1318</v>
      </c>
      <c r="E425" s="301">
        <v>7</v>
      </c>
      <c r="F425" t="s" s="300">
        <v>1435</v>
      </c>
      <c r="G425" t="s" s="352">
        <v>1436</v>
      </c>
      <c r="H425" t="s" s="353">
        <v>171</v>
      </c>
      <c r="I425" s="305">
        <v>4</v>
      </c>
      <c r="J425" t="s" s="306">
        <v>1447</v>
      </c>
      <c r="K425" t="s" s="306">
        <v>283</v>
      </c>
      <c r="L425" t="s" s="307">
        <v>1448</v>
      </c>
      <c r="M425" s="284"/>
      <c r="N425" s="284"/>
      <c r="O425" s="310">
        <f>_xlfn.IFERROR(VLOOKUP($P425,'Suppl'!$B$2:$N$57,MATCH($B425,'Suppl'!$C$1:$N$1,0)+1,FALSE),"")</f>
        <v>0</v>
      </c>
      <c r="P425" t="s" s="306">
        <f>E425&amp;I425</f>
        <v>634</v>
      </c>
      <c r="Q425" s="286"/>
      <c r="R425" s="298"/>
      <c r="S425" s="298"/>
    </row>
    <row r="426" ht="15" customHeight="1">
      <c r="A426" t="s" s="276">
        <f>B426&amp;E426&amp;I426</f>
        <v>1449</v>
      </c>
      <c r="B426" s="351">
        <f>B425</f>
        <v>11</v>
      </c>
      <c r="C426" t="s" s="300">
        <f>C425</f>
        <v>1331</v>
      </c>
      <c r="D426" t="s" s="300">
        <v>1318</v>
      </c>
      <c r="E426" s="301">
        <v>7</v>
      </c>
      <c r="F426" t="s" s="300">
        <v>1435</v>
      </c>
      <c r="G426" t="s" s="352">
        <v>1436</v>
      </c>
      <c r="H426" t="s" s="353">
        <v>171</v>
      </c>
      <c r="I426" s="305">
        <v>5</v>
      </c>
      <c r="J426" t="s" s="306">
        <v>1450</v>
      </c>
      <c r="K426" t="s" s="306">
        <v>263</v>
      </c>
      <c r="L426" t="s" s="307">
        <v>1451</v>
      </c>
      <c r="M426" s="284"/>
      <c r="N426" s="284"/>
      <c r="O426" s="310">
        <f>_xlfn.IFERROR(VLOOKUP($P426,'Suppl'!$B$2:$N$57,MATCH($B426,'Suppl'!$C$1:$N$1,0)+1,FALSE),"")</f>
        <v>0</v>
      </c>
      <c r="P426" t="s" s="306">
        <f>E426&amp;I426</f>
        <v>637</v>
      </c>
      <c r="Q426" s="286"/>
      <c r="R426" s="298"/>
      <c r="S426" s="298"/>
    </row>
    <row r="427" ht="15" customHeight="1">
      <c r="A427" t="s" s="276">
        <f>B427&amp;E427&amp;I427</f>
        <v>1452</v>
      </c>
      <c r="B427" s="351">
        <f>B426</f>
        <v>11</v>
      </c>
      <c r="C427" t="s" s="300">
        <f>C426</f>
        <v>1331</v>
      </c>
      <c r="D427" t="s" s="300">
        <v>1318</v>
      </c>
      <c r="E427" s="301">
        <v>7</v>
      </c>
      <c r="F427" t="s" s="300">
        <v>1435</v>
      </c>
      <c r="G427" t="s" s="352">
        <v>1436</v>
      </c>
      <c r="H427" t="s" s="353">
        <v>171</v>
      </c>
      <c r="I427" s="305">
        <v>6</v>
      </c>
      <c r="J427" s="284"/>
      <c r="K427" t="s" s="306">
        <v>171</v>
      </c>
      <c r="L427" s="312"/>
      <c r="M427" s="284"/>
      <c r="N427" s="284"/>
      <c r="O427" s="310">
        <f>_xlfn.IFERROR(VLOOKUP($P427,'Suppl'!$B$2:$N$57,MATCH($B427,'Suppl'!$C$1:$N$1,0)+1,FALSE),"")</f>
        <v>0</v>
      </c>
      <c r="P427" t="s" s="306">
        <f>E427&amp;I427</f>
        <v>639</v>
      </c>
      <c r="Q427" s="286"/>
      <c r="R427" s="298"/>
      <c r="S427" s="298"/>
    </row>
    <row r="428" ht="15" customHeight="1">
      <c r="A428" t="s" s="276">
        <f>B428&amp;E428&amp;I428</f>
        <v>1453</v>
      </c>
      <c r="B428" s="384">
        <f>B427</f>
        <v>11</v>
      </c>
      <c r="C428" s="375">
        <f>C427</f>
      </c>
      <c r="D428" t="s" s="332">
        <v>1318</v>
      </c>
      <c r="E428" s="333">
        <v>7</v>
      </c>
      <c r="F428" t="s" s="332">
        <v>1435</v>
      </c>
      <c r="G428" t="s" s="361">
        <v>1436</v>
      </c>
      <c r="H428" t="s" s="362">
        <v>171</v>
      </c>
      <c r="I428" s="337">
        <v>7</v>
      </c>
      <c r="J428" s="338"/>
      <c r="K428" s="338"/>
      <c r="L428" s="339"/>
      <c r="M428" s="392"/>
      <c r="N428" s="393"/>
      <c r="O428" s="340">
        <f>_xlfn.IFERROR(VLOOKUP($P428,'Suppl'!$B$2:$N$57,MATCH($B428,'Suppl'!$C$1:$N$1,0)+1,FALSE),"")</f>
        <v>0</v>
      </c>
      <c r="P428" t="s" s="341">
        <f>E428&amp;I428</f>
        <v>641</v>
      </c>
      <c r="Q428" s="286"/>
      <c r="R428" s="298"/>
      <c r="S428" s="298"/>
    </row>
    <row r="429" ht="15" customHeight="1">
      <c r="A429" t="s" s="276">
        <f>B429&amp;E429&amp;I429</f>
        <v>149</v>
      </c>
      <c r="B429" s="386">
        <v>9</v>
      </c>
      <c r="C429" t="s" s="343">
        <v>232</v>
      </c>
      <c r="D429" t="s" s="343">
        <v>1454</v>
      </c>
      <c r="E429" s="344">
        <v>1</v>
      </c>
      <c r="F429" t="s" s="363">
        <v>1455</v>
      </c>
      <c r="G429" t="s" s="363">
        <v>1456</v>
      </c>
      <c r="H429" t="s" s="304">
        <v>741</v>
      </c>
      <c r="I429" s="342">
        <v>1</v>
      </c>
      <c r="J429" t="s" s="343">
        <v>1457</v>
      </c>
      <c r="K429" t="s" s="343">
        <v>283</v>
      </c>
      <c r="L429" s="389"/>
      <c r="M429" t="s" s="348">
        <v>1458</v>
      </c>
      <c r="N429" t="s" s="349">
        <v>1459</v>
      </c>
      <c r="O429" s="350">
        <f>_xlfn.IFERROR(VLOOKUP($P429,'Suppl'!$B$2:$N$57,MATCH($B429,'Suppl'!$C$1:$N$1,0)+1,FALSE),"")</f>
        <v>0</v>
      </c>
      <c r="P429" t="s" s="343">
        <f>E429&amp;I429</f>
        <v>260</v>
      </c>
      <c r="Q429" s="403"/>
      <c r="R429" s="404"/>
      <c r="S429" s="298"/>
    </row>
    <row r="430" ht="15" customHeight="1">
      <c r="A430" t="s" s="276">
        <f>B430&amp;E430&amp;I430</f>
        <v>1460</v>
      </c>
      <c r="B430" s="299">
        <f>B429</f>
        <v>9</v>
      </c>
      <c r="C430" t="s" s="300">
        <f>C429</f>
        <v>232</v>
      </c>
      <c r="D430" t="s" s="300">
        <v>1454</v>
      </c>
      <c r="E430" s="301">
        <v>1</v>
      </c>
      <c r="F430" t="s" s="302">
        <v>1455</v>
      </c>
      <c r="G430" t="s" s="303">
        <v>1456</v>
      </c>
      <c r="H430" t="s" s="304">
        <v>171</v>
      </c>
      <c r="I430" s="305">
        <v>2</v>
      </c>
      <c r="J430" t="s" s="306">
        <v>1461</v>
      </c>
      <c r="K430" t="s" s="306">
        <v>263</v>
      </c>
      <c r="L430" t="s" s="307">
        <v>1462</v>
      </c>
      <c r="M430" t="s" s="308">
        <v>1463</v>
      </c>
      <c r="N430" t="s" s="309">
        <v>1464</v>
      </c>
      <c r="O430" s="310">
        <f>_xlfn.IFERROR(VLOOKUP($P430,'Suppl'!$B$2:$N$57,MATCH($B430,'Suppl'!$C$1:$N$1,0)+1,FALSE),"")</f>
        <v>0</v>
      </c>
      <c r="P430" t="s" s="306">
        <f>E430&amp;I430</f>
        <v>267</v>
      </c>
      <c r="Q430" s="286"/>
      <c r="R430" s="404"/>
      <c r="S430" s="298"/>
    </row>
    <row r="431" ht="15" customHeight="1">
      <c r="A431" t="s" s="276">
        <f>B431&amp;E431&amp;I431</f>
        <v>1465</v>
      </c>
      <c r="B431" s="299">
        <f>B430</f>
        <v>9</v>
      </c>
      <c r="C431" t="s" s="300">
        <f>C430</f>
        <v>1466</v>
      </c>
      <c r="D431" t="s" s="300">
        <v>1454</v>
      </c>
      <c r="E431" s="301">
        <v>1</v>
      </c>
      <c r="F431" t="s" s="302">
        <v>1455</v>
      </c>
      <c r="G431" t="s" s="303">
        <v>1456</v>
      </c>
      <c r="H431" t="s" s="304">
        <v>171</v>
      </c>
      <c r="I431" s="305">
        <v>3</v>
      </c>
      <c r="J431" t="s" s="306">
        <v>1467</v>
      </c>
      <c r="K431" t="s" s="306">
        <v>271</v>
      </c>
      <c r="L431" t="s" s="307">
        <v>1468</v>
      </c>
      <c r="M431" s="311"/>
      <c r="N431" t="s" s="309">
        <v>1469</v>
      </c>
      <c r="O431" s="310">
        <f>_xlfn.IFERROR(VLOOKUP($P431,'Suppl'!$B$2:$N$57,MATCH($B431,'Suppl'!$C$1:$N$1,0)+1,FALSE),"")</f>
        <v>0</v>
      </c>
      <c r="P431" t="s" s="306">
        <f>E431&amp;I431</f>
        <v>275</v>
      </c>
      <c r="Q431" s="286"/>
      <c r="R431" s="298"/>
      <c r="S431" s="298"/>
    </row>
    <row r="432" ht="15" customHeight="1">
      <c r="A432" t="s" s="276">
        <f>B432&amp;E432&amp;I432</f>
        <v>1470</v>
      </c>
      <c r="B432" s="299">
        <f>B431</f>
        <v>9</v>
      </c>
      <c r="C432" t="s" s="300">
        <f>C431</f>
        <v>1466</v>
      </c>
      <c r="D432" t="s" s="300">
        <v>1454</v>
      </c>
      <c r="E432" s="301">
        <v>1</v>
      </c>
      <c r="F432" t="s" s="302">
        <v>1455</v>
      </c>
      <c r="G432" t="s" s="303">
        <v>1456</v>
      </c>
      <c r="H432" t="s" s="304">
        <v>171</v>
      </c>
      <c r="I432" s="305">
        <v>4</v>
      </c>
      <c r="J432" t="s" s="306">
        <v>1471</v>
      </c>
      <c r="K432" t="s" s="306">
        <v>291</v>
      </c>
      <c r="L432" t="s" s="307">
        <v>1472</v>
      </c>
      <c r="M432" s="311"/>
      <c r="N432" s="313"/>
      <c r="O432" s="310">
        <f>_xlfn.IFERROR(VLOOKUP($P432,'Suppl'!$B$2:$N$57,MATCH($B432,'Suppl'!$C$1:$N$1,0)+1,FALSE),"")</f>
        <v>0</v>
      </c>
      <c r="P432" t="s" s="306">
        <f>E432&amp;I432</f>
        <v>280</v>
      </c>
      <c r="Q432" s="286"/>
      <c r="R432" s="298"/>
      <c r="S432" s="298"/>
    </row>
    <row r="433" ht="15" customHeight="1">
      <c r="A433" t="s" s="276">
        <f>B433&amp;E433&amp;I433</f>
        <v>1473</v>
      </c>
      <c r="B433" s="299">
        <f>B432</f>
        <v>9</v>
      </c>
      <c r="C433" t="s" s="300">
        <f>C432</f>
        <v>1466</v>
      </c>
      <c r="D433" t="s" s="300">
        <v>1454</v>
      </c>
      <c r="E433" s="301">
        <v>1</v>
      </c>
      <c r="F433" t="s" s="302">
        <v>1455</v>
      </c>
      <c r="G433" t="s" s="303">
        <v>1456</v>
      </c>
      <c r="H433" t="s" s="304">
        <v>171</v>
      </c>
      <c r="I433" s="305">
        <v>5</v>
      </c>
      <c r="J433" t="s" s="306">
        <v>1474</v>
      </c>
      <c r="K433" t="s" s="306">
        <v>291</v>
      </c>
      <c r="L433" t="s" s="307">
        <v>1475</v>
      </c>
      <c r="M433" s="311"/>
      <c r="N433" s="313"/>
      <c r="O433" s="310">
        <f>_xlfn.IFERROR(VLOOKUP($P433,'Suppl'!$B$2:$N$57,MATCH($B433,'Suppl'!$C$1:$N$1,0)+1,FALSE),"")</f>
        <v>0</v>
      </c>
      <c r="P433" t="s" s="306">
        <f>E433&amp;I433</f>
        <v>284</v>
      </c>
      <c r="Q433" s="286"/>
      <c r="R433" s="298"/>
      <c r="S433" s="298"/>
    </row>
    <row r="434" ht="15" customHeight="1">
      <c r="A434" t="s" s="276">
        <f>B434&amp;E434&amp;I434</f>
        <v>1476</v>
      </c>
      <c r="B434" s="299">
        <f>B433</f>
        <v>9</v>
      </c>
      <c r="C434" t="s" s="300">
        <f>C433</f>
        <v>1466</v>
      </c>
      <c r="D434" t="s" s="300">
        <v>1454</v>
      </c>
      <c r="E434" s="301">
        <v>1</v>
      </c>
      <c r="F434" t="s" s="302">
        <v>1455</v>
      </c>
      <c r="G434" t="s" s="303">
        <v>1456</v>
      </c>
      <c r="H434" t="s" s="304">
        <v>171</v>
      </c>
      <c r="I434" s="305">
        <v>6</v>
      </c>
      <c r="J434" t="s" s="306">
        <v>1477</v>
      </c>
      <c r="K434" t="s" s="306">
        <v>291</v>
      </c>
      <c r="L434" s="312"/>
      <c r="M434" s="311"/>
      <c r="N434" s="313"/>
      <c r="O434" s="310">
        <f>_xlfn.IFERROR(VLOOKUP($P434,'Suppl'!$B$2:$N$57,MATCH($B434,'Suppl'!$C$1:$N$1,0)+1,FALSE),"")</f>
        <v>0</v>
      </c>
      <c r="P434" t="s" s="306">
        <f>E434&amp;I434</f>
        <v>288</v>
      </c>
      <c r="Q434" s="286"/>
      <c r="R434" s="298"/>
      <c r="S434" s="298"/>
    </row>
    <row r="435" ht="15" customHeight="1">
      <c r="A435" t="s" s="276">
        <f>B435&amp;E435&amp;I435</f>
        <v>1478</v>
      </c>
      <c r="B435" s="314">
        <f>B434</f>
        <v>9</v>
      </c>
      <c r="C435" t="s" s="315">
        <f>C434</f>
        <v>1466</v>
      </c>
      <c r="D435" t="s" s="315">
        <v>1454</v>
      </c>
      <c r="E435" s="316">
        <v>1</v>
      </c>
      <c r="F435" t="s" s="317">
        <v>1455</v>
      </c>
      <c r="G435" t="s" s="318">
        <v>1456</v>
      </c>
      <c r="H435" t="s" s="304">
        <v>171</v>
      </c>
      <c r="I435" s="319">
        <v>7</v>
      </c>
      <c r="J435" s="330"/>
      <c r="K435" s="330"/>
      <c r="L435" s="321"/>
      <c r="M435" s="322"/>
      <c r="N435" s="323"/>
      <c r="O435" s="324">
        <f>_xlfn.IFERROR(VLOOKUP($P435,'Suppl'!$B$2:$N$57,MATCH($B435,'Suppl'!$C$1:$N$1,0)+1,FALSE),"")</f>
        <v>0</v>
      </c>
      <c r="P435" t="s" s="320">
        <f>E435&amp;I435</f>
        <v>292</v>
      </c>
      <c r="Q435" s="286"/>
      <c r="R435" s="298"/>
      <c r="S435" s="298"/>
    </row>
    <row r="436" ht="15" customHeight="1">
      <c r="A436" t="s" s="276">
        <f>B436&amp;E436&amp;I436</f>
        <v>152</v>
      </c>
      <c r="B436" s="325">
        <f>B435</f>
        <v>9</v>
      </c>
      <c r="C436" t="s" s="326">
        <f>C435</f>
        <v>1466</v>
      </c>
      <c r="D436" t="s" s="326">
        <v>1454</v>
      </c>
      <c r="E436" s="289">
        <v>2</v>
      </c>
      <c r="F436" t="s" s="290">
        <v>1479</v>
      </c>
      <c r="G436" t="s" s="290">
        <v>1480</v>
      </c>
      <c r="H436" t="s" s="304">
        <v>741</v>
      </c>
      <c r="I436" s="292">
        <v>1</v>
      </c>
      <c r="J436" t="s" s="288">
        <v>1481</v>
      </c>
      <c r="K436" t="s" s="288">
        <v>283</v>
      </c>
      <c r="L436" t="s" s="293">
        <v>1482</v>
      </c>
      <c r="M436" s="328"/>
      <c r="N436" s="328"/>
      <c r="O436" s="296">
        <f>_xlfn.IFERROR(VLOOKUP($P436,'Suppl'!$B$2:$N$57,MATCH($B436,'Suppl'!$C$1:$N$1,0)+1,FALSE),"")</f>
        <v>0</v>
      </c>
      <c r="P436" t="s" s="288">
        <f>E436&amp;I436</f>
        <v>297</v>
      </c>
      <c r="Q436" s="403"/>
      <c r="R436" s="404"/>
      <c r="S436" s="298"/>
    </row>
    <row r="437" ht="15" customHeight="1">
      <c r="A437" t="s" s="276">
        <f>B437&amp;E437&amp;I437</f>
        <v>1483</v>
      </c>
      <c r="B437" s="299">
        <f>B436</f>
        <v>9</v>
      </c>
      <c r="C437" t="s" s="300">
        <f>C436</f>
        <v>1466</v>
      </c>
      <c r="D437" t="s" s="300">
        <v>1454</v>
      </c>
      <c r="E437" s="301">
        <v>2</v>
      </c>
      <c r="F437" t="s" s="302">
        <v>1479</v>
      </c>
      <c r="G437" t="s" s="303">
        <v>1480</v>
      </c>
      <c r="H437" t="s" s="304">
        <v>171</v>
      </c>
      <c r="I437" s="305">
        <v>2</v>
      </c>
      <c r="J437" t="s" s="306">
        <v>1484</v>
      </c>
      <c r="K437" t="s" s="306">
        <v>271</v>
      </c>
      <c r="L437" t="s" s="307">
        <v>1485</v>
      </c>
      <c r="M437" s="284"/>
      <c r="N437" s="284"/>
      <c r="O437" s="310">
        <f>_xlfn.IFERROR(VLOOKUP($P437,'Suppl'!$B$2:$N$57,MATCH($B437,'Suppl'!$C$1:$N$1,0)+1,FALSE),"")</f>
        <v>0</v>
      </c>
      <c r="P437" t="s" s="306">
        <f>E437&amp;I437</f>
        <v>300</v>
      </c>
      <c r="Q437" s="286"/>
      <c r="R437" s="298"/>
      <c r="S437" s="298"/>
    </row>
    <row r="438" ht="15" customHeight="1">
      <c r="A438" t="s" s="276">
        <f>B438&amp;E438&amp;I438</f>
        <v>1486</v>
      </c>
      <c r="B438" s="299">
        <f>B437</f>
        <v>9</v>
      </c>
      <c r="C438" t="s" s="300">
        <f>C437</f>
        <v>1466</v>
      </c>
      <c r="D438" t="s" s="300">
        <v>1454</v>
      </c>
      <c r="E438" s="301">
        <v>2</v>
      </c>
      <c r="F438" t="s" s="302">
        <v>1479</v>
      </c>
      <c r="G438" t="s" s="303">
        <v>1480</v>
      </c>
      <c r="H438" t="s" s="304">
        <v>171</v>
      </c>
      <c r="I438" s="305">
        <v>3</v>
      </c>
      <c r="J438" t="s" s="306">
        <v>1487</v>
      </c>
      <c r="K438" t="s" s="306">
        <v>256</v>
      </c>
      <c r="L438" t="s" s="307">
        <v>1488</v>
      </c>
      <c r="M438" s="284"/>
      <c r="N438" s="284"/>
      <c r="O438" s="310">
        <f>_xlfn.IFERROR(VLOOKUP($P438,'Suppl'!$B$2:$N$57,MATCH($B438,'Suppl'!$C$1:$N$1,0)+1,FALSE),"")</f>
        <v>0</v>
      </c>
      <c r="P438" t="s" s="306">
        <f>E438&amp;I438</f>
        <v>303</v>
      </c>
      <c r="Q438" s="286"/>
      <c r="R438" s="298"/>
      <c r="S438" s="298"/>
    </row>
    <row r="439" ht="15" customHeight="1">
      <c r="A439" t="s" s="276">
        <f>B439&amp;E439&amp;I439</f>
        <v>1489</v>
      </c>
      <c r="B439" s="299">
        <f>B438</f>
        <v>9</v>
      </c>
      <c r="C439" t="s" s="300">
        <f>C438</f>
        <v>1466</v>
      </c>
      <c r="D439" t="s" s="300">
        <v>1454</v>
      </c>
      <c r="E439" s="301">
        <v>2</v>
      </c>
      <c r="F439" t="s" s="302">
        <v>1479</v>
      </c>
      <c r="G439" t="s" s="303">
        <v>1480</v>
      </c>
      <c r="H439" t="s" s="304">
        <v>171</v>
      </c>
      <c r="I439" s="305">
        <v>4</v>
      </c>
      <c r="J439" s="284"/>
      <c r="K439" s="284"/>
      <c r="L439" s="312"/>
      <c r="M439" s="284"/>
      <c r="N439" s="284"/>
      <c r="O439" s="310">
        <f>_xlfn.IFERROR(VLOOKUP($P439,'Suppl'!$B$2:$N$57,MATCH($B439,'Suppl'!$C$1:$N$1,0)+1,FALSE),"")</f>
        <v>0</v>
      </c>
      <c r="P439" t="s" s="306">
        <f>E439&amp;I439</f>
        <v>307</v>
      </c>
      <c r="Q439" s="286"/>
      <c r="R439" s="298"/>
      <c r="S439" s="298"/>
    </row>
    <row r="440" ht="15" customHeight="1">
      <c r="A440" t="s" s="276">
        <f>B440&amp;E440&amp;I440</f>
        <v>1490</v>
      </c>
      <c r="B440" s="299">
        <f>B439</f>
        <v>9</v>
      </c>
      <c r="C440" t="s" s="300">
        <f>C439</f>
        <v>1466</v>
      </c>
      <c r="D440" t="s" s="300">
        <v>1454</v>
      </c>
      <c r="E440" s="301">
        <v>2</v>
      </c>
      <c r="F440" t="s" s="302">
        <v>1479</v>
      </c>
      <c r="G440" t="s" s="303">
        <v>1480</v>
      </c>
      <c r="H440" t="s" s="304">
        <v>171</v>
      </c>
      <c r="I440" s="305">
        <v>5</v>
      </c>
      <c r="J440" s="284"/>
      <c r="K440" s="284"/>
      <c r="L440" s="312"/>
      <c r="M440" s="284"/>
      <c r="N440" s="284"/>
      <c r="O440" s="310">
        <f>_xlfn.IFERROR(VLOOKUP($P440,'Suppl'!$B$2:$N$57,MATCH($B440,'Suppl'!$C$1:$N$1,0)+1,FALSE),"")</f>
        <v>0</v>
      </c>
      <c r="P440" t="s" s="306">
        <f>E440&amp;I440</f>
        <v>311</v>
      </c>
      <c r="Q440" s="286"/>
      <c r="R440" s="298"/>
      <c r="S440" s="298"/>
    </row>
    <row r="441" ht="15" customHeight="1">
      <c r="A441" t="s" s="276">
        <f>B441&amp;E441&amp;I441</f>
        <v>1491</v>
      </c>
      <c r="B441" s="299">
        <f>B440</f>
        <v>9</v>
      </c>
      <c r="C441" t="s" s="300">
        <f>C440</f>
        <v>1466</v>
      </c>
      <c r="D441" t="s" s="300">
        <v>1454</v>
      </c>
      <c r="E441" s="301">
        <v>2</v>
      </c>
      <c r="F441" t="s" s="302">
        <v>1479</v>
      </c>
      <c r="G441" t="s" s="303">
        <v>1480</v>
      </c>
      <c r="H441" t="s" s="304">
        <v>171</v>
      </c>
      <c r="I441" s="305">
        <v>6</v>
      </c>
      <c r="J441" s="284"/>
      <c r="K441" s="284"/>
      <c r="L441" s="312"/>
      <c r="M441" s="284"/>
      <c r="N441" s="284"/>
      <c r="O441" s="310">
        <f>_xlfn.IFERROR(VLOOKUP($P441,'Suppl'!$B$2:$N$57,MATCH($B441,'Suppl'!$C$1:$N$1,0)+1,FALSE),"")</f>
        <v>0</v>
      </c>
      <c r="P441" t="s" s="306">
        <f>E441&amp;I441</f>
        <v>315</v>
      </c>
      <c r="Q441" s="286"/>
      <c r="R441" s="298"/>
      <c r="S441" s="298"/>
    </row>
    <row r="442" ht="15" customHeight="1">
      <c r="A442" t="s" s="276">
        <f>B442&amp;E442&amp;I442</f>
        <v>1492</v>
      </c>
      <c r="B442" s="314">
        <f>B441</f>
        <v>9</v>
      </c>
      <c r="C442" t="s" s="315">
        <f>C441</f>
        <v>1466</v>
      </c>
      <c r="D442" t="s" s="315">
        <v>1454</v>
      </c>
      <c r="E442" s="316">
        <v>2</v>
      </c>
      <c r="F442" t="s" s="317">
        <v>1479</v>
      </c>
      <c r="G442" t="s" s="318">
        <v>1480</v>
      </c>
      <c r="H442" t="s" s="304">
        <v>171</v>
      </c>
      <c r="I442" s="319">
        <v>7</v>
      </c>
      <c r="J442" s="330"/>
      <c r="K442" s="330"/>
      <c r="L442" s="321"/>
      <c r="M442" s="330"/>
      <c r="N442" s="330"/>
      <c r="O442" s="324">
        <f>_xlfn.IFERROR(VLOOKUP($P442,'Suppl'!$B$2:$N$57,MATCH($B442,'Suppl'!$C$1:$N$1,0)+1,FALSE),"")</f>
        <v>0</v>
      </c>
      <c r="P442" t="s" s="320">
        <f>E442&amp;I442</f>
        <v>319</v>
      </c>
      <c r="Q442" s="286"/>
      <c r="R442" s="298"/>
      <c r="S442" s="298"/>
    </row>
    <row r="443" ht="15" customHeight="1">
      <c r="A443" t="s" s="276">
        <f>B443&amp;E443&amp;I443</f>
        <v>155</v>
      </c>
      <c r="B443" s="325">
        <f>B442</f>
        <v>9</v>
      </c>
      <c r="C443" t="s" s="326">
        <f>C442</f>
        <v>1466</v>
      </c>
      <c r="D443" t="s" s="326">
        <v>1454</v>
      </c>
      <c r="E443" s="289">
        <v>3</v>
      </c>
      <c r="F443" t="s" s="290">
        <v>1493</v>
      </c>
      <c r="G443" t="s" s="290">
        <v>1494</v>
      </c>
      <c r="H443" t="s" s="304">
        <v>1495</v>
      </c>
      <c r="I443" s="292">
        <v>1</v>
      </c>
      <c r="J443" t="s" s="288">
        <v>1496</v>
      </c>
      <c r="K443" t="s" s="288">
        <v>283</v>
      </c>
      <c r="L443" s="327"/>
      <c r="M443" s="328"/>
      <c r="N443" s="328"/>
      <c r="O443" s="296">
        <f>_xlfn.IFERROR(VLOOKUP($P443,'Suppl'!$B$2:$N$57,MATCH($B443,'Suppl'!$C$1:$N$1,0)+1,FALSE),"")</f>
        <v>0</v>
      </c>
      <c r="P443" t="s" s="288">
        <f>E443&amp;I443</f>
        <v>325</v>
      </c>
      <c r="Q443" s="286"/>
      <c r="R443" s="298"/>
      <c r="S443" s="298"/>
    </row>
    <row r="444" ht="15" customHeight="1">
      <c r="A444" t="s" s="276">
        <f>B444&amp;E444&amp;I444</f>
        <v>1497</v>
      </c>
      <c r="B444" s="299">
        <f>B443</f>
        <v>9</v>
      </c>
      <c r="C444" t="s" s="300">
        <f>C443</f>
        <v>1466</v>
      </c>
      <c r="D444" t="s" s="300">
        <v>1454</v>
      </c>
      <c r="E444" s="301">
        <v>3</v>
      </c>
      <c r="F444" t="s" s="302">
        <v>1493</v>
      </c>
      <c r="G444" t="s" s="303">
        <v>1494</v>
      </c>
      <c r="H444" t="s" s="304">
        <v>171</v>
      </c>
      <c r="I444" s="305">
        <v>2</v>
      </c>
      <c r="J444" t="s" s="306">
        <v>1498</v>
      </c>
      <c r="K444" t="s" s="306">
        <v>263</v>
      </c>
      <c r="L444" t="s" s="307">
        <v>1499</v>
      </c>
      <c r="M444" s="284"/>
      <c r="N444" s="284"/>
      <c r="O444" s="310">
        <f>_xlfn.IFERROR(VLOOKUP($P444,'Suppl'!$B$2:$N$57,MATCH($B444,'Suppl'!$C$1:$N$1,0)+1,FALSE),"")</f>
        <v>0</v>
      </c>
      <c r="P444" t="s" s="306">
        <f>E444&amp;I444</f>
        <v>329</v>
      </c>
      <c r="Q444" s="286"/>
      <c r="R444" s="298"/>
      <c r="S444" s="298"/>
    </row>
    <row r="445" ht="15" customHeight="1">
      <c r="A445" t="s" s="276">
        <f>B445&amp;E445&amp;I445</f>
        <v>1500</v>
      </c>
      <c r="B445" s="299">
        <f>B444</f>
        <v>9</v>
      </c>
      <c r="C445" t="s" s="300">
        <f>C444</f>
        <v>1466</v>
      </c>
      <c r="D445" t="s" s="300">
        <v>1454</v>
      </c>
      <c r="E445" s="301">
        <v>3</v>
      </c>
      <c r="F445" t="s" s="302">
        <v>1493</v>
      </c>
      <c r="G445" t="s" s="303">
        <v>1494</v>
      </c>
      <c r="H445" t="s" s="304">
        <v>171</v>
      </c>
      <c r="I445" s="305">
        <v>3</v>
      </c>
      <c r="J445" t="s" s="306">
        <v>1501</v>
      </c>
      <c r="K445" t="s" s="306">
        <v>271</v>
      </c>
      <c r="L445" s="312"/>
      <c r="M445" s="284"/>
      <c r="N445" s="284"/>
      <c r="O445" s="310">
        <f>_xlfn.IFERROR(VLOOKUP($P445,'Suppl'!$B$2:$N$57,MATCH($B445,'Suppl'!$C$1:$N$1,0)+1,FALSE),"")</f>
        <v>0</v>
      </c>
      <c r="P445" t="s" s="306">
        <f>E445&amp;I445</f>
        <v>333</v>
      </c>
      <c r="Q445" s="286"/>
      <c r="R445" s="298"/>
      <c r="S445" s="298"/>
    </row>
    <row r="446" ht="15" customHeight="1">
      <c r="A446" t="s" s="276">
        <f>B446&amp;E446&amp;I446</f>
        <v>1502</v>
      </c>
      <c r="B446" s="299">
        <f>B445</f>
        <v>9</v>
      </c>
      <c r="C446" t="s" s="300">
        <f>C445</f>
        <v>1466</v>
      </c>
      <c r="D446" t="s" s="300">
        <v>1454</v>
      </c>
      <c r="E446" s="301">
        <v>3</v>
      </c>
      <c r="F446" t="s" s="302">
        <v>1493</v>
      </c>
      <c r="G446" t="s" s="303">
        <v>1494</v>
      </c>
      <c r="H446" t="s" s="304">
        <v>171</v>
      </c>
      <c r="I446" s="305">
        <v>4</v>
      </c>
      <c r="J446" t="s" s="306">
        <v>1503</v>
      </c>
      <c r="K446" t="s" s="306">
        <v>291</v>
      </c>
      <c r="L446" t="s" s="307">
        <v>1504</v>
      </c>
      <c r="M446" s="284"/>
      <c r="N446" s="284"/>
      <c r="O446" s="310">
        <f>_xlfn.IFERROR(VLOOKUP($P446,'Suppl'!$B$2:$N$57,MATCH($B446,'Suppl'!$C$1:$N$1,0)+1,FALSE),"")</f>
        <v>0</v>
      </c>
      <c r="P446" t="s" s="306">
        <f>E446&amp;I446</f>
        <v>336</v>
      </c>
      <c r="Q446" s="286"/>
      <c r="R446" s="298"/>
      <c r="S446" s="298"/>
    </row>
    <row r="447" ht="15" customHeight="1">
      <c r="A447" t="s" s="276">
        <f>B447&amp;E447&amp;I447</f>
        <v>1505</v>
      </c>
      <c r="B447" s="299">
        <f>B446</f>
        <v>9</v>
      </c>
      <c r="C447" t="s" s="300">
        <f>C446</f>
        <v>1466</v>
      </c>
      <c r="D447" t="s" s="300">
        <v>1454</v>
      </c>
      <c r="E447" s="301">
        <v>3</v>
      </c>
      <c r="F447" t="s" s="302">
        <v>1493</v>
      </c>
      <c r="G447" t="s" s="303">
        <v>1494</v>
      </c>
      <c r="H447" t="s" s="304">
        <v>171</v>
      </c>
      <c r="I447" s="305">
        <v>5</v>
      </c>
      <c r="J447" t="s" s="306">
        <v>1506</v>
      </c>
      <c r="K447" t="s" s="306">
        <v>291</v>
      </c>
      <c r="L447" t="s" s="307">
        <v>1507</v>
      </c>
      <c r="M447" s="284"/>
      <c r="N447" s="284"/>
      <c r="O447" s="310">
        <f>_xlfn.IFERROR(VLOOKUP($P447,'Suppl'!$B$2:$N$57,MATCH($B447,'Suppl'!$C$1:$N$1,0)+1,FALSE),"")</f>
        <v>0</v>
      </c>
      <c r="P447" t="s" s="306">
        <f>E447&amp;I447</f>
        <v>338</v>
      </c>
      <c r="Q447" s="286"/>
      <c r="R447" s="298"/>
      <c r="S447" s="298"/>
    </row>
    <row r="448" ht="15" customHeight="1">
      <c r="A448" t="s" s="276">
        <f>B448&amp;E448&amp;I448</f>
        <v>1508</v>
      </c>
      <c r="B448" s="299">
        <f>B447</f>
        <v>9</v>
      </c>
      <c r="C448" t="s" s="300">
        <f>C447</f>
        <v>1466</v>
      </c>
      <c r="D448" t="s" s="300">
        <v>1454</v>
      </c>
      <c r="E448" s="301">
        <v>3</v>
      </c>
      <c r="F448" t="s" s="302">
        <v>1493</v>
      </c>
      <c r="G448" t="s" s="303">
        <v>1494</v>
      </c>
      <c r="H448" t="s" s="304">
        <v>171</v>
      </c>
      <c r="I448" s="305">
        <v>6</v>
      </c>
      <c r="J448" t="s" s="306">
        <v>1509</v>
      </c>
      <c r="K448" t="s" s="306">
        <v>256</v>
      </c>
      <c r="L448" s="312"/>
      <c r="M448" s="284"/>
      <c r="N448" s="284"/>
      <c r="O448" s="310">
        <f>_xlfn.IFERROR(VLOOKUP($P448,'Suppl'!$B$2:$N$57,MATCH($B448,'Suppl'!$C$1:$N$1,0)+1,FALSE),"")</f>
        <v>0</v>
      </c>
      <c r="P448" t="s" s="306">
        <f>E448&amp;I448</f>
        <v>340</v>
      </c>
      <c r="Q448" s="286"/>
      <c r="R448" s="298"/>
      <c r="S448" s="298"/>
    </row>
    <row r="449" ht="15" customHeight="1">
      <c r="A449" t="s" s="276">
        <f>B449&amp;E449&amp;I449</f>
        <v>1510</v>
      </c>
      <c r="B449" s="314">
        <f>B448</f>
        <v>9</v>
      </c>
      <c r="C449" t="s" s="315">
        <f>C448</f>
        <v>1466</v>
      </c>
      <c r="D449" t="s" s="315">
        <v>1454</v>
      </c>
      <c r="E449" s="316">
        <v>3</v>
      </c>
      <c r="F449" t="s" s="317">
        <v>1493</v>
      </c>
      <c r="G449" t="s" s="318">
        <v>1494</v>
      </c>
      <c r="H449" t="s" s="304">
        <v>171</v>
      </c>
      <c r="I449" s="319">
        <v>7</v>
      </c>
      <c r="J449" s="330"/>
      <c r="K449" s="330"/>
      <c r="L449" s="321"/>
      <c r="M449" s="330"/>
      <c r="N449" s="330"/>
      <c r="O449" s="324">
        <f>_xlfn.IFERROR(VLOOKUP($P449,'Suppl'!$B$2:$N$57,MATCH($B449,'Suppl'!$C$1:$N$1,0)+1,FALSE),"")</f>
        <v>0</v>
      </c>
      <c r="P449" t="s" s="320">
        <f>E449&amp;I449</f>
        <v>342</v>
      </c>
      <c r="Q449" s="286"/>
      <c r="R449" s="298"/>
      <c r="S449" s="298"/>
    </row>
    <row r="450" ht="15" customHeight="1">
      <c r="A450" t="s" s="276">
        <f>B450&amp;E450&amp;I450</f>
        <v>157</v>
      </c>
      <c r="B450" s="325">
        <f>B449</f>
        <v>9</v>
      </c>
      <c r="C450" t="s" s="326">
        <f>C449</f>
        <v>1466</v>
      </c>
      <c r="D450" t="s" s="326">
        <v>1454</v>
      </c>
      <c r="E450" s="289">
        <v>4</v>
      </c>
      <c r="F450" t="s" s="290">
        <v>1511</v>
      </c>
      <c r="G450" t="s" s="290">
        <v>1512</v>
      </c>
      <c r="H450" t="s" s="304">
        <v>171</v>
      </c>
      <c r="I450" s="292">
        <v>1</v>
      </c>
      <c r="J450" t="s" s="288">
        <v>1513</v>
      </c>
      <c r="K450" t="s" s="288">
        <v>283</v>
      </c>
      <c r="L450" t="s" s="293">
        <v>1514</v>
      </c>
      <c r="M450" s="328"/>
      <c r="N450" s="328"/>
      <c r="O450" s="296">
        <f>_xlfn.IFERROR(VLOOKUP($P450,'Suppl'!$B$2:$N$57,MATCH($B450,'Suppl'!$C$1:$N$1,0)+1,FALSE),"")</f>
        <v>0</v>
      </c>
      <c r="P450" t="s" s="288">
        <f>E450&amp;I450</f>
        <v>348</v>
      </c>
      <c r="Q450" s="286"/>
      <c r="R450" s="298"/>
      <c r="S450" s="298"/>
    </row>
    <row r="451" ht="15" customHeight="1">
      <c r="A451" t="s" s="276">
        <f>B451&amp;E451&amp;I451</f>
        <v>1515</v>
      </c>
      <c r="B451" s="299">
        <f>B450</f>
        <v>9</v>
      </c>
      <c r="C451" t="s" s="300">
        <f>C450</f>
        <v>1466</v>
      </c>
      <c r="D451" t="s" s="300">
        <v>1454</v>
      </c>
      <c r="E451" s="301">
        <v>4</v>
      </c>
      <c r="F451" t="s" s="302">
        <v>1511</v>
      </c>
      <c r="G451" t="s" s="303">
        <v>1512</v>
      </c>
      <c r="H451" t="s" s="304">
        <v>171</v>
      </c>
      <c r="I451" s="305">
        <v>2</v>
      </c>
      <c r="J451" t="s" s="306">
        <v>1516</v>
      </c>
      <c r="K451" t="s" s="306">
        <v>263</v>
      </c>
      <c r="L451" t="s" s="307">
        <v>1517</v>
      </c>
      <c r="M451" s="284"/>
      <c r="N451" s="284"/>
      <c r="O451" s="310">
        <f>_xlfn.IFERROR(VLOOKUP($P451,'Suppl'!$B$2:$N$57,MATCH($B451,'Suppl'!$C$1:$N$1,0)+1,FALSE),"")</f>
        <v>0</v>
      </c>
      <c r="P451" t="s" s="306">
        <f>E451&amp;I451</f>
        <v>351</v>
      </c>
      <c r="Q451" s="286"/>
      <c r="R451" s="298"/>
      <c r="S451" s="298"/>
    </row>
    <row r="452" ht="15" customHeight="1">
      <c r="A452" t="s" s="276">
        <f>B452&amp;E452&amp;I452</f>
        <v>1518</v>
      </c>
      <c r="B452" s="299">
        <f>B451</f>
        <v>9</v>
      </c>
      <c r="C452" t="s" s="300">
        <f>C451</f>
        <v>1466</v>
      </c>
      <c r="D452" t="s" s="300">
        <v>1454</v>
      </c>
      <c r="E452" s="301">
        <v>4</v>
      </c>
      <c r="F452" t="s" s="302">
        <v>1511</v>
      </c>
      <c r="G452" t="s" s="303">
        <v>1512</v>
      </c>
      <c r="H452" t="s" s="304">
        <v>171</v>
      </c>
      <c r="I452" s="305">
        <v>3</v>
      </c>
      <c r="J452" t="s" s="306">
        <v>1519</v>
      </c>
      <c r="K452" t="s" s="306">
        <v>263</v>
      </c>
      <c r="L452" t="s" s="307">
        <v>1520</v>
      </c>
      <c r="M452" s="284"/>
      <c r="N452" s="284"/>
      <c r="O452" s="310">
        <f>_xlfn.IFERROR(VLOOKUP($P452,'Suppl'!$B$2:$N$57,MATCH($B452,'Suppl'!$C$1:$N$1,0)+1,FALSE),"")</f>
        <v>0</v>
      </c>
      <c r="P452" t="s" s="306">
        <f>E452&amp;I452</f>
        <v>354</v>
      </c>
      <c r="Q452" s="286"/>
      <c r="R452" s="298"/>
      <c r="S452" s="298"/>
    </row>
    <row r="453" ht="15" customHeight="1">
      <c r="A453" t="s" s="276">
        <f>B453&amp;E453&amp;I453</f>
        <v>1521</v>
      </c>
      <c r="B453" s="299">
        <f>B452</f>
        <v>9</v>
      </c>
      <c r="C453" t="s" s="300">
        <f>C452</f>
        <v>1466</v>
      </c>
      <c r="D453" t="s" s="300">
        <v>1454</v>
      </c>
      <c r="E453" s="301">
        <v>4</v>
      </c>
      <c r="F453" t="s" s="302">
        <v>1511</v>
      </c>
      <c r="G453" t="s" s="303">
        <v>1512</v>
      </c>
      <c r="H453" t="s" s="304">
        <v>171</v>
      </c>
      <c r="I453" s="305">
        <v>4</v>
      </c>
      <c r="J453" s="284"/>
      <c r="K453" s="284"/>
      <c r="L453" s="312"/>
      <c r="M453" s="284"/>
      <c r="N453" s="284"/>
      <c r="O453" s="310">
        <f>_xlfn.IFERROR(VLOOKUP($P453,'Suppl'!$B$2:$N$57,MATCH($B453,'Suppl'!$C$1:$N$1,0)+1,FALSE),"")</f>
        <v>0</v>
      </c>
      <c r="P453" t="s" s="306">
        <f>E453&amp;I453</f>
        <v>357</v>
      </c>
      <c r="Q453" s="286"/>
      <c r="R453" s="298"/>
      <c r="S453" s="298"/>
    </row>
    <row r="454" ht="15" customHeight="1">
      <c r="A454" t="s" s="276">
        <f>B454&amp;E454&amp;I454</f>
        <v>1522</v>
      </c>
      <c r="B454" s="299">
        <f>B453</f>
        <v>9</v>
      </c>
      <c r="C454" t="s" s="300">
        <f>C453</f>
        <v>1466</v>
      </c>
      <c r="D454" t="s" s="300">
        <v>1454</v>
      </c>
      <c r="E454" s="301">
        <v>4</v>
      </c>
      <c r="F454" t="s" s="302">
        <v>1511</v>
      </c>
      <c r="G454" t="s" s="303">
        <v>1512</v>
      </c>
      <c r="H454" t="s" s="304">
        <v>171</v>
      </c>
      <c r="I454" s="305">
        <v>5</v>
      </c>
      <c r="J454" s="284"/>
      <c r="K454" s="284"/>
      <c r="L454" s="312"/>
      <c r="M454" s="284"/>
      <c r="N454" s="284"/>
      <c r="O454" s="310">
        <f>_xlfn.IFERROR(VLOOKUP($P454,'Suppl'!$B$2:$N$57,MATCH($B454,'Suppl'!$C$1:$N$1,0)+1,FALSE),"")</f>
        <v>0</v>
      </c>
      <c r="P454" t="s" s="306">
        <f>E454&amp;I454</f>
        <v>360</v>
      </c>
      <c r="Q454" s="286"/>
      <c r="R454" s="298"/>
      <c r="S454" s="298"/>
    </row>
    <row r="455" ht="15" customHeight="1">
      <c r="A455" t="s" s="276">
        <f>B455&amp;E455&amp;I455</f>
        <v>1523</v>
      </c>
      <c r="B455" s="299">
        <f>B454</f>
        <v>9</v>
      </c>
      <c r="C455" t="s" s="300">
        <f>C454</f>
        <v>1466</v>
      </c>
      <c r="D455" t="s" s="300">
        <v>1454</v>
      </c>
      <c r="E455" s="301">
        <v>4</v>
      </c>
      <c r="F455" t="s" s="302">
        <v>1511</v>
      </c>
      <c r="G455" t="s" s="303">
        <v>1512</v>
      </c>
      <c r="H455" t="s" s="304">
        <v>171</v>
      </c>
      <c r="I455" s="305">
        <v>6</v>
      </c>
      <c r="J455" s="284"/>
      <c r="K455" s="284"/>
      <c r="L455" s="312"/>
      <c r="M455" s="284"/>
      <c r="N455" s="284"/>
      <c r="O455" s="310">
        <f>_xlfn.IFERROR(VLOOKUP($P455,'Suppl'!$B$2:$N$57,MATCH($B455,'Suppl'!$C$1:$N$1,0)+1,FALSE),"")</f>
        <v>0</v>
      </c>
      <c r="P455" t="s" s="306">
        <f>E455&amp;I455</f>
        <v>363</v>
      </c>
      <c r="Q455" s="286"/>
      <c r="R455" s="298"/>
      <c r="S455" s="298"/>
    </row>
    <row r="456" ht="15" customHeight="1">
      <c r="A456" t="s" s="276">
        <f>B456&amp;E456&amp;I456</f>
        <v>1524</v>
      </c>
      <c r="B456" s="314">
        <f>B455</f>
        <v>9</v>
      </c>
      <c r="C456" t="s" s="315">
        <f>C455</f>
        <v>1466</v>
      </c>
      <c r="D456" t="s" s="315">
        <v>1454</v>
      </c>
      <c r="E456" s="316">
        <v>4</v>
      </c>
      <c r="F456" t="s" s="317">
        <v>1511</v>
      </c>
      <c r="G456" t="s" s="318">
        <v>1512</v>
      </c>
      <c r="H456" t="s" s="304">
        <v>171</v>
      </c>
      <c r="I456" s="319">
        <v>7</v>
      </c>
      <c r="J456" s="330"/>
      <c r="K456" s="330"/>
      <c r="L456" s="321"/>
      <c r="M456" s="330"/>
      <c r="N456" s="330"/>
      <c r="O456" s="324">
        <f>_xlfn.IFERROR(VLOOKUP($P456,'Suppl'!$B$2:$N$57,MATCH($B456,'Suppl'!$C$1:$N$1,0)+1,FALSE),"")</f>
        <v>0</v>
      </c>
      <c r="P456" t="s" s="320">
        <f>E456&amp;I456</f>
        <v>365</v>
      </c>
      <c r="Q456" s="286"/>
      <c r="R456" s="298"/>
      <c r="S456" s="298"/>
    </row>
    <row r="457" ht="15" customHeight="1">
      <c r="A457" t="s" s="276">
        <f>B457&amp;E457&amp;I457</f>
        <v>160</v>
      </c>
      <c r="B457" s="325">
        <f>B456</f>
        <v>9</v>
      </c>
      <c r="C457" t="s" s="326">
        <f>C456</f>
        <v>1466</v>
      </c>
      <c r="D457" t="s" s="326">
        <v>1454</v>
      </c>
      <c r="E457" s="289">
        <v>5</v>
      </c>
      <c r="F457" t="s" s="290">
        <v>1525</v>
      </c>
      <c r="G457" t="s" s="290">
        <v>1526</v>
      </c>
      <c r="H457" t="s" s="304">
        <v>171</v>
      </c>
      <c r="I457" s="292">
        <v>1</v>
      </c>
      <c r="J457" t="s" s="406">
        <v>1527</v>
      </c>
      <c r="K457" t="s" s="288">
        <v>283</v>
      </c>
      <c r="L457" t="s" s="407">
        <v>1528</v>
      </c>
      <c r="M457" s="328"/>
      <c r="N457" s="328"/>
      <c r="O457" s="296">
        <f>_xlfn.IFERROR(VLOOKUP($P457,'Suppl'!$B$2:$N$57,MATCH($B457,'Suppl'!$C$1:$N$1,0)+1,FALSE),"")</f>
        <v>0</v>
      </c>
      <c r="P457" t="s" s="288">
        <f>E457&amp;I457</f>
        <v>370</v>
      </c>
      <c r="Q457" s="286"/>
      <c r="R457" s="298"/>
      <c r="S457" s="298"/>
    </row>
    <row r="458" ht="15" customHeight="1">
      <c r="A458" t="s" s="276">
        <f>B458&amp;E458&amp;I458</f>
        <v>1529</v>
      </c>
      <c r="B458" s="299">
        <f>B457</f>
        <v>9</v>
      </c>
      <c r="C458" t="s" s="300">
        <f>C457</f>
        <v>1466</v>
      </c>
      <c r="D458" t="s" s="300">
        <v>1454</v>
      </c>
      <c r="E458" s="301">
        <v>5</v>
      </c>
      <c r="F458" t="s" s="302">
        <v>1525</v>
      </c>
      <c r="G458" t="s" s="303">
        <v>1526</v>
      </c>
      <c r="H458" t="s" s="304">
        <v>171</v>
      </c>
      <c r="I458" s="305">
        <v>2</v>
      </c>
      <c r="J458" t="s" s="408">
        <v>1530</v>
      </c>
      <c r="K458" t="s" s="306">
        <v>271</v>
      </c>
      <c r="L458" t="s" s="307">
        <v>1531</v>
      </c>
      <c r="M458" s="284"/>
      <c r="N458" s="284"/>
      <c r="O458" s="310">
        <f>_xlfn.IFERROR(VLOOKUP($P458,'Suppl'!$B$2:$N$57,MATCH($B458,'Suppl'!$C$1:$N$1,0)+1,FALSE),"")</f>
        <v>0</v>
      </c>
      <c r="P458" t="s" s="306">
        <f>E458&amp;I458</f>
        <v>374</v>
      </c>
      <c r="Q458" s="286"/>
      <c r="R458" s="298"/>
      <c r="S458" s="298"/>
    </row>
    <row r="459" ht="15" customHeight="1">
      <c r="A459" t="s" s="276">
        <f>B459&amp;E459&amp;I459</f>
        <v>1532</v>
      </c>
      <c r="B459" s="299">
        <f>B458</f>
        <v>9</v>
      </c>
      <c r="C459" t="s" s="300">
        <f>C458</f>
        <v>1466</v>
      </c>
      <c r="D459" t="s" s="300">
        <v>1454</v>
      </c>
      <c r="E459" s="301">
        <v>5</v>
      </c>
      <c r="F459" t="s" s="302">
        <v>1525</v>
      </c>
      <c r="G459" t="s" s="303">
        <v>1526</v>
      </c>
      <c r="H459" t="s" s="304">
        <v>171</v>
      </c>
      <c r="I459" s="305">
        <v>3</v>
      </c>
      <c r="J459" t="s" s="306">
        <v>1533</v>
      </c>
      <c r="K459" t="s" s="306">
        <v>291</v>
      </c>
      <c r="L459" s="312"/>
      <c r="M459" s="284"/>
      <c r="N459" s="284"/>
      <c r="O459" s="310">
        <f>_xlfn.IFERROR(VLOOKUP($P459,'Suppl'!$B$2:$N$57,MATCH($B459,'Suppl'!$C$1:$N$1,0)+1,FALSE),"")</f>
        <v>0</v>
      </c>
      <c r="P459" t="s" s="306">
        <f>E459&amp;I459</f>
        <v>377</v>
      </c>
      <c r="Q459" s="286"/>
      <c r="R459" s="298"/>
      <c r="S459" s="298"/>
    </row>
    <row r="460" ht="15" customHeight="1">
      <c r="A460" t="s" s="276">
        <f>B460&amp;E460&amp;I460</f>
        <v>1534</v>
      </c>
      <c r="B460" s="299">
        <f>B459</f>
        <v>9</v>
      </c>
      <c r="C460" t="s" s="300">
        <f>C459</f>
        <v>1466</v>
      </c>
      <c r="D460" t="s" s="300">
        <v>1454</v>
      </c>
      <c r="E460" s="301">
        <v>5</v>
      </c>
      <c r="F460" t="s" s="302">
        <v>1525</v>
      </c>
      <c r="G460" t="s" s="303">
        <v>1526</v>
      </c>
      <c r="H460" t="s" s="304">
        <v>171</v>
      </c>
      <c r="I460" s="305">
        <v>4</v>
      </c>
      <c r="J460" t="s" s="306">
        <v>1535</v>
      </c>
      <c r="K460" t="s" s="306">
        <v>263</v>
      </c>
      <c r="L460" s="312"/>
      <c r="M460" s="284"/>
      <c r="N460" s="284"/>
      <c r="O460" s="310">
        <f>_xlfn.IFERROR(VLOOKUP($P460,'Suppl'!$B$2:$N$57,MATCH($B460,'Suppl'!$C$1:$N$1,0)+1,FALSE),"")</f>
        <v>0</v>
      </c>
      <c r="P460" t="s" s="306">
        <f>E460&amp;I460</f>
        <v>380</v>
      </c>
      <c r="Q460" s="286"/>
      <c r="R460" s="298"/>
      <c r="S460" s="298"/>
    </row>
    <row r="461" ht="15" customHeight="1">
      <c r="A461" t="s" s="276">
        <f>B461&amp;E461&amp;I461</f>
        <v>1536</v>
      </c>
      <c r="B461" s="299">
        <f>B460</f>
        <v>9</v>
      </c>
      <c r="C461" t="s" s="300">
        <f>C460</f>
        <v>1466</v>
      </c>
      <c r="D461" t="s" s="300">
        <v>1454</v>
      </c>
      <c r="E461" s="301">
        <v>5</v>
      </c>
      <c r="F461" t="s" s="302">
        <v>1525</v>
      </c>
      <c r="G461" t="s" s="303">
        <v>1526</v>
      </c>
      <c r="H461" t="s" s="304">
        <v>171</v>
      </c>
      <c r="I461" s="305">
        <v>5</v>
      </c>
      <c r="J461" t="s" s="306">
        <v>1537</v>
      </c>
      <c r="K461" t="s" s="306">
        <v>271</v>
      </c>
      <c r="L461" t="s" s="307">
        <v>1538</v>
      </c>
      <c r="M461" s="284"/>
      <c r="N461" s="284"/>
      <c r="O461" s="310">
        <f>_xlfn.IFERROR(VLOOKUP($P461,'Suppl'!$B$2:$N$57,MATCH($B461,'Suppl'!$C$1:$N$1,0)+1,FALSE),"")</f>
        <v>0</v>
      </c>
      <c r="P461" t="s" s="306">
        <f>E461&amp;I461</f>
        <v>383</v>
      </c>
      <c r="Q461" s="286"/>
      <c r="R461" s="298"/>
      <c r="S461" s="298"/>
    </row>
    <row r="462" ht="15" customHeight="1">
      <c r="A462" t="s" s="276">
        <f>B462&amp;E462&amp;I462</f>
        <v>1539</v>
      </c>
      <c r="B462" s="299">
        <f>B461</f>
        <v>9</v>
      </c>
      <c r="C462" t="s" s="300">
        <f>C461</f>
        <v>1466</v>
      </c>
      <c r="D462" t="s" s="300">
        <v>1454</v>
      </c>
      <c r="E462" s="301">
        <v>5</v>
      </c>
      <c r="F462" t="s" s="302">
        <v>1525</v>
      </c>
      <c r="G462" t="s" s="303">
        <v>1526</v>
      </c>
      <c r="H462" t="s" s="304">
        <v>171</v>
      </c>
      <c r="I462" s="305">
        <v>6</v>
      </c>
      <c r="J462" t="s" s="306">
        <v>1540</v>
      </c>
      <c r="K462" t="s" s="306">
        <v>291</v>
      </c>
      <c r="L462" t="s" s="307">
        <v>1541</v>
      </c>
      <c r="M462" s="284"/>
      <c r="N462" s="284"/>
      <c r="O462" s="310">
        <f>_xlfn.IFERROR(VLOOKUP($P462,'Suppl'!$B$2:$N$57,MATCH($B462,'Suppl'!$C$1:$N$1,0)+1,FALSE),"")</f>
        <v>0</v>
      </c>
      <c r="P462" t="s" s="306">
        <f>E462&amp;I462</f>
        <v>385</v>
      </c>
      <c r="Q462" s="286"/>
      <c r="R462" s="298"/>
      <c r="S462" s="298"/>
    </row>
    <row r="463" ht="15" customHeight="1">
      <c r="A463" t="s" s="276">
        <f>B463&amp;E463&amp;I463</f>
        <v>1542</v>
      </c>
      <c r="B463" s="314">
        <f>B462</f>
        <v>9</v>
      </c>
      <c r="C463" t="s" s="315">
        <f>C462</f>
        <v>1466</v>
      </c>
      <c r="D463" t="s" s="315">
        <v>1454</v>
      </c>
      <c r="E463" s="316">
        <v>5</v>
      </c>
      <c r="F463" t="s" s="317">
        <v>1525</v>
      </c>
      <c r="G463" t="s" s="318">
        <v>1526</v>
      </c>
      <c r="H463" t="s" s="304">
        <v>171</v>
      </c>
      <c r="I463" s="319">
        <v>7</v>
      </c>
      <c r="J463" t="s" s="320">
        <v>1543</v>
      </c>
      <c r="K463" t="s" s="320">
        <v>256</v>
      </c>
      <c r="L463" t="s" s="365">
        <v>1544</v>
      </c>
      <c r="M463" s="330"/>
      <c r="N463" s="330"/>
      <c r="O463" s="324">
        <f>_xlfn.IFERROR(VLOOKUP($P463,'Suppl'!$B$2:$N$57,MATCH($B463,'Suppl'!$C$1:$N$1,0)+1,FALSE),"")</f>
        <v>0</v>
      </c>
      <c r="P463" t="s" s="320">
        <f>E463&amp;I463</f>
        <v>387</v>
      </c>
      <c r="Q463" s="286"/>
      <c r="R463" s="298"/>
      <c r="S463" s="298"/>
    </row>
    <row r="464" ht="15" customHeight="1">
      <c r="A464" t="s" s="276">
        <f>B464&amp;E464&amp;I464</f>
        <v>196</v>
      </c>
      <c r="B464" s="292">
        <v>12</v>
      </c>
      <c r="C464" t="s" s="288">
        <v>235</v>
      </c>
      <c r="D464" t="s" s="288">
        <v>1545</v>
      </c>
      <c r="E464" s="289">
        <v>1</v>
      </c>
      <c r="F464" t="s" s="288">
        <v>1546</v>
      </c>
      <c r="G464" t="s" s="357">
        <v>1547</v>
      </c>
      <c r="H464" t="s" s="409">
        <v>1548</v>
      </c>
      <c r="I464" s="292">
        <v>1</v>
      </c>
      <c r="J464" t="s" s="288">
        <v>1549</v>
      </c>
      <c r="K464" t="s" s="288">
        <v>283</v>
      </c>
      <c r="L464" s="327"/>
      <c r="M464" t="s" s="294">
        <v>1550</v>
      </c>
      <c r="N464" t="s" s="295">
        <v>1551</v>
      </c>
      <c r="O464" s="296">
        <f>_xlfn.IFERROR(VLOOKUP($P464,'Suppl'!$B$2:$N$57,MATCH($B464,'Suppl'!$C$1:$N$1,0)+1,FALSE),"")</f>
        <v>0</v>
      </c>
      <c r="P464" t="s" s="288">
        <f>E464&amp;I464</f>
        <v>260</v>
      </c>
      <c r="Q464" s="403"/>
      <c r="R464" s="404"/>
      <c r="S464" s="298"/>
    </row>
    <row r="465" ht="15" customHeight="1">
      <c r="A465" t="s" s="276">
        <f>B465&amp;E465&amp;I465</f>
        <v>1552</v>
      </c>
      <c r="B465" s="351">
        <f>B464</f>
        <v>12</v>
      </c>
      <c r="C465" t="s" s="300">
        <f>C464</f>
        <v>235</v>
      </c>
      <c r="D465" t="s" s="300">
        <v>1545</v>
      </c>
      <c r="E465" s="301">
        <v>1</v>
      </c>
      <c r="F465" t="s" s="300">
        <v>1546</v>
      </c>
      <c r="G465" t="s" s="352">
        <v>1547</v>
      </c>
      <c r="H465" t="s" s="353">
        <v>171</v>
      </c>
      <c r="I465" s="305">
        <v>2</v>
      </c>
      <c r="J465" t="s" s="306">
        <v>1553</v>
      </c>
      <c r="K465" t="s" s="306">
        <v>263</v>
      </c>
      <c r="L465" s="312"/>
      <c r="M465" t="s" s="308">
        <v>1554</v>
      </c>
      <c r="N465" t="s" s="309">
        <v>1555</v>
      </c>
      <c r="O465" s="310">
        <f>_xlfn.IFERROR(VLOOKUP($P465,'Suppl'!$B$2:$N$57,MATCH($B465,'Suppl'!$C$1:$N$1,0)+1,FALSE),"")</f>
        <v>0</v>
      </c>
      <c r="P465" t="s" s="306">
        <f>E465&amp;I465</f>
        <v>267</v>
      </c>
      <c r="Q465" s="286"/>
      <c r="R465" s="404"/>
      <c r="S465" s="298"/>
    </row>
    <row r="466" ht="15" customHeight="1">
      <c r="A466" t="s" s="276">
        <f>B466&amp;E466&amp;I466</f>
        <v>1556</v>
      </c>
      <c r="B466" s="351">
        <f>B465</f>
        <v>12</v>
      </c>
      <c r="C466" t="s" s="300">
        <f>C465</f>
        <v>1557</v>
      </c>
      <c r="D466" t="s" s="300">
        <v>1545</v>
      </c>
      <c r="E466" s="301">
        <v>1</v>
      </c>
      <c r="F466" t="s" s="300">
        <v>1546</v>
      </c>
      <c r="G466" t="s" s="352">
        <v>1547</v>
      </c>
      <c r="H466" t="s" s="353">
        <v>171</v>
      </c>
      <c r="I466" s="305">
        <v>3</v>
      </c>
      <c r="J466" t="s" s="306">
        <v>1558</v>
      </c>
      <c r="K466" t="s" s="306">
        <v>271</v>
      </c>
      <c r="L466" s="312"/>
      <c r="M466" t="s" s="308">
        <v>1559</v>
      </c>
      <c r="N466" t="s" s="309">
        <v>1560</v>
      </c>
      <c r="O466" s="310">
        <f>_xlfn.IFERROR(VLOOKUP($P466,'Suppl'!$B$2:$N$57,MATCH($B466,'Suppl'!$C$1:$N$1,0)+1,FALSE),"")</f>
        <v>0</v>
      </c>
      <c r="P466" t="s" s="306">
        <f>E466&amp;I466</f>
        <v>275</v>
      </c>
      <c r="Q466" s="286"/>
      <c r="R466" s="298"/>
      <c r="S466" s="298"/>
    </row>
    <row r="467" ht="15" customHeight="1">
      <c r="A467" t="s" s="276">
        <f>B467&amp;E467&amp;I467</f>
        <v>1561</v>
      </c>
      <c r="B467" s="351">
        <f>B466</f>
        <v>12</v>
      </c>
      <c r="C467" t="s" s="300">
        <f>C466</f>
        <v>1557</v>
      </c>
      <c r="D467" t="s" s="300">
        <v>1545</v>
      </c>
      <c r="E467" s="301">
        <v>1</v>
      </c>
      <c r="F467" t="s" s="300">
        <v>1546</v>
      </c>
      <c r="G467" t="s" s="352">
        <v>1547</v>
      </c>
      <c r="H467" t="s" s="353">
        <v>171</v>
      </c>
      <c r="I467" s="305">
        <v>4</v>
      </c>
      <c r="J467" t="s" s="306">
        <v>1562</v>
      </c>
      <c r="K467" t="s" s="306">
        <v>271</v>
      </c>
      <c r="L467" s="312"/>
      <c r="M467" t="s" s="308">
        <v>1563</v>
      </c>
      <c r="N467" t="s" s="309">
        <v>1564</v>
      </c>
      <c r="O467" s="310">
        <f>_xlfn.IFERROR(VLOOKUP($P467,'Suppl'!$B$2:$N$57,MATCH($B467,'Suppl'!$C$1:$N$1,0)+1,FALSE),"")</f>
        <v>0</v>
      </c>
      <c r="P467" t="s" s="306">
        <f>E467&amp;I467</f>
        <v>280</v>
      </c>
      <c r="Q467" s="286"/>
      <c r="R467" s="298"/>
      <c r="S467" s="298"/>
    </row>
    <row r="468" ht="15" customHeight="1">
      <c r="A468" t="s" s="276">
        <f>B468&amp;E468&amp;I468</f>
        <v>1565</v>
      </c>
      <c r="B468" s="351">
        <f>B467</f>
        <v>12</v>
      </c>
      <c r="C468" t="s" s="300">
        <f>C467</f>
        <v>1557</v>
      </c>
      <c r="D468" t="s" s="300">
        <v>1545</v>
      </c>
      <c r="E468" s="301">
        <v>1</v>
      </c>
      <c r="F468" t="s" s="300">
        <v>1546</v>
      </c>
      <c r="G468" t="s" s="352">
        <v>1547</v>
      </c>
      <c r="H468" t="s" s="353">
        <v>171</v>
      </c>
      <c r="I468" s="305">
        <v>5</v>
      </c>
      <c r="J468" t="s" s="306">
        <v>1566</v>
      </c>
      <c r="K468" t="s" s="306">
        <v>291</v>
      </c>
      <c r="L468" s="312"/>
      <c r="M468" t="s" s="308">
        <v>1567</v>
      </c>
      <c r="N468" s="313"/>
      <c r="O468" s="310">
        <f>_xlfn.IFERROR(VLOOKUP($P468,'Suppl'!$B$2:$N$57,MATCH($B468,'Suppl'!$C$1:$N$1,0)+1,FALSE),"")</f>
        <v>0</v>
      </c>
      <c r="P468" t="s" s="306">
        <f>E468&amp;I468</f>
        <v>284</v>
      </c>
      <c r="Q468" s="286"/>
      <c r="R468" s="298"/>
      <c r="S468" s="298"/>
    </row>
    <row r="469" ht="15" customHeight="1">
      <c r="A469" t="s" s="276">
        <f>B469&amp;E469&amp;I469</f>
        <v>1568</v>
      </c>
      <c r="B469" s="351">
        <f>B468</f>
        <v>12</v>
      </c>
      <c r="C469" t="s" s="300">
        <f>C468</f>
        <v>1557</v>
      </c>
      <c r="D469" t="s" s="300">
        <v>1545</v>
      </c>
      <c r="E469" s="301">
        <v>1</v>
      </c>
      <c r="F469" t="s" s="300">
        <v>1546</v>
      </c>
      <c r="G469" t="s" s="352">
        <v>1547</v>
      </c>
      <c r="H469" t="s" s="353">
        <v>171</v>
      </c>
      <c r="I469" s="305">
        <v>6</v>
      </c>
      <c r="J469" t="s" s="306">
        <v>1569</v>
      </c>
      <c r="K469" t="s" s="306">
        <v>256</v>
      </c>
      <c r="L469" s="312"/>
      <c r="M469" s="311"/>
      <c r="N469" s="313"/>
      <c r="O469" s="310">
        <f>_xlfn.IFERROR(VLOOKUP($P469,'Suppl'!$B$2:$N$57,MATCH($B469,'Suppl'!$C$1:$N$1,0)+1,FALSE),"")</f>
        <v>0</v>
      </c>
      <c r="P469" t="s" s="306">
        <f>E469&amp;I469</f>
        <v>288</v>
      </c>
      <c r="Q469" s="286"/>
      <c r="R469" s="298"/>
      <c r="S469" s="298"/>
    </row>
    <row r="470" ht="15" customHeight="1">
      <c r="A470" t="s" s="276">
        <f>B470&amp;E470&amp;I470</f>
        <v>1570</v>
      </c>
      <c r="B470" s="351">
        <f>B469</f>
        <v>12</v>
      </c>
      <c r="C470" t="s" s="300">
        <f>C469</f>
        <v>1557</v>
      </c>
      <c r="D470" t="s" s="300">
        <v>1545</v>
      </c>
      <c r="E470" s="301">
        <v>1</v>
      </c>
      <c r="F470" t="s" s="300">
        <v>1546</v>
      </c>
      <c r="G470" t="s" s="352">
        <v>1547</v>
      </c>
      <c r="H470" t="s" s="353">
        <v>171</v>
      </c>
      <c r="I470" s="305">
        <v>7</v>
      </c>
      <c r="J470" t="s" s="306">
        <v>1571</v>
      </c>
      <c r="K470" t="s" s="306">
        <v>283</v>
      </c>
      <c r="L470" s="312"/>
      <c r="M470" s="311"/>
      <c r="N470" s="313"/>
      <c r="O470" s="310">
        <f>_xlfn.IFERROR(VLOOKUP($P470,'Suppl'!$B$2:$N$57,MATCH($B470,'Suppl'!$C$1:$N$1,0)+1,FALSE),"")</f>
        <v>0</v>
      </c>
      <c r="P470" t="s" s="358">
        <f>E470&amp;I470</f>
        <v>292</v>
      </c>
      <c r="Q470" s="286"/>
      <c r="R470" s="298"/>
      <c r="S470" s="298"/>
    </row>
    <row r="471" ht="15" customHeight="1">
      <c r="A471" t="s" s="410">
        <f>B471&amp;E471&amp;I471</f>
        <v>1572</v>
      </c>
      <c r="B471" s="354">
        <f>B470</f>
        <v>12</v>
      </c>
      <c r="C471" t="s" s="315">
        <f>C470</f>
        <v>1557</v>
      </c>
      <c r="D471" t="s" s="315">
        <v>1545</v>
      </c>
      <c r="E471" s="316">
        <v>1</v>
      </c>
      <c r="F471" t="s" s="315">
        <v>1546</v>
      </c>
      <c r="G471" t="s" s="355">
        <v>1547</v>
      </c>
      <c r="H471" t="s" s="411">
        <v>171</v>
      </c>
      <c r="I471" s="319">
        <v>8</v>
      </c>
      <c r="J471" t="s" s="320">
        <v>1573</v>
      </c>
      <c r="K471" t="s" s="320">
        <v>263</v>
      </c>
      <c r="L471" s="321"/>
      <c r="M471" s="322"/>
      <c r="N471" s="323"/>
      <c r="O471" s="412">
        <f>_xlfn.IFERROR(VLOOKUP($P471,'Suppl'!$B$2:$N$57,MATCH($B471,'Suppl'!$C$1:$N$1,0)+1,FALSE),"")</f>
        <v>0</v>
      </c>
      <c r="P471" t="s" s="413">
        <v>297</v>
      </c>
      <c r="Q471" t="s" s="414">
        <v>1574</v>
      </c>
      <c r="R471" s="298"/>
      <c r="S471" s="298"/>
    </row>
    <row r="472" ht="15" customHeight="1">
      <c r="A472" t="s" s="415">
        <f>B472&amp;E472&amp;I472</f>
        <v>199</v>
      </c>
      <c r="B472" s="356">
        <f>B471</f>
        <v>12</v>
      </c>
      <c r="C472" t="s" s="326">
        <f>C471</f>
        <v>1557</v>
      </c>
      <c r="D472" t="s" s="326">
        <v>1545</v>
      </c>
      <c r="E472" s="289">
        <v>2</v>
      </c>
      <c r="F472" t="s" s="288">
        <v>343</v>
      </c>
      <c r="G472" t="s" s="357">
        <v>1575</v>
      </c>
      <c r="H472" t="s" s="416">
        <v>1576</v>
      </c>
      <c r="I472" s="292">
        <v>1</v>
      </c>
      <c r="J472" t="s" s="288">
        <v>1577</v>
      </c>
      <c r="K472" t="s" s="288">
        <v>283</v>
      </c>
      <c r="L472" t="s" s="293">
        <v>1578</v>
      </c>
      <c r="M472" s="328"/>
      <c r="N472" s="328"/>
      <c r="O472" s="417">
        <f>_xlfn.IFERROR(VLOOKUP($P472,'Suppl'!$B$2:$N$57,MATCH($B472,'Suppl'!$C$1:$N$1,0)+1,FALSE),"")</f>
        <v>0</v>
      </c>
      <c r="P472" t="s" s="418">
        <v>300</v>
      </c>
      <c r="Q472" s="403"/>
      <c r="R472" s="404"/>
      <c r="S472" s="298"/>
    </row>
    <row r="473" ht="15" customHeight="1">
      <c r="A473" t="s" s="276">
        <f>B473&amp;E473&amp;I473</f>
        <v>1579</v>
      </c>
      <c r="B473" s="351">
        <f>B472</f>
        <v>12</v>
      </c>
      <c r="C473" t="s" s="300">
        <f>C472</f>
        <v>1557</v>
      </c>
      <c r="D473" t="s" s="300">
        <v>1545</v>
      </c>
      <c r="E473" s="301">
        <v>2</v>
      </c>
      <c r="F473" t="s" s="300">
        <v>343</v>
      </c>
      <c r="G473" t="s" s="352">
        <v>1575</v>
      </c>
      <c r="H473" t="s" s="353">
        <v>171</v>
      </c>
      <c r="I473" s="305">
        <v>2</v>
      </c>
      <c r="J473" t="s" s="306">
        <v>1580</v>
      </c>
      <c r="K473" t="s" s="306">
        <v>263</v>
      </c>
      <c r="L473" t="s" s="307">
        <v>1581</v>
      </c>
      <c r="M473" s="284"/>
      <c r="N473" s="284"/>
      <c r="O473" s="310">
        <f>_xlfn.IFERROR(VLOOKUP($P473,'Suppl'!$B$2:$N$57,MATCH($B473,'Suppl'!$C$1:$N$1,0)+1,FALSE),"")</f>
        <v>0</v>
      </c>
      <c r="P473" t="s" s="419">
        <v>303</v>
      </c>
      <c r="Q473" s="286"/>
      <c r="R473" s="298"/>
      <c r="S473" s="298"/>
    </row>
    <row r="474" ht="15" customHeight="1">
      <c r="A474" t="s" s="276">
        <f>B474&amp;E474&amp;I474</f>
        <v>1582</v>
      </c>
      <c r="B474" s="351">
        <f>B473</f>
        <v>12</v>
      </c>
      <c r="C474" t="s" s="300">
        <f>C473</f>
        <v>1557</v>
      </c>
      <c r="D474" t="s" s="300">
        <v>1545</v>
      </c>
      <c r="E474" s="301">
        <v>2</v>
      </c>
      <c r="F474" t="s" s="300">
        <v>343</v>
      </c>
      <c r="G474" t="s" s="352">
        <v>1575</v>
      </c>
      <c r="H474" t="s" s="353">
        <v>171</v>
      </c>
      <c r="I474" s="305">
        <v>3</v>
      </c>
      <c r="J474" t="s" s="306">
        <v>1583</v>
      </c>
      <c r="K474" t="s" s="306">
        <v>263</v>
      </c>
      <c r="L474" t="s" s="307">
        <v>1584</v>
      </c>
      <c r="M474" s="284"/>
      <c r="N474" s="284"/>
      <c r="O474" s="310">
        <f>_xlfn.IFERROR(VLOOKUP($P474,'Suppl'!$B$2:$N$57,MATCH($B474,'Suppl'!$C$1:$N$1,0)+1,FALSE),"")</f>
        <v>0</v>
      </c>
      <c r="P474" t="s" s="306">
        <v>307</v>
      </c>
      <c r="Q474" s="286"/>
      <c r="R474" s="298"/>
      <c r="S474" s="298"/>
    </row>
    <row r="475" ht="15" customHeight="1">
      <c r="A475" t="s" s="276">
        <f>B475&amp;E475&amp;I475</f>
        <v>1585</v>
      </c>
      <c r="B475" s="351">
        <f>B474</f>
        <v>12</v>
      </c>
      <c r="C475" t="s" s="300">
        <f>C474</f>
        <v>1557</v>
      </c>
      <c r="D475" t="s" s="300">
        <v>1545</v>
      </c>
      <c r="E475" s="301">
        <v>2</v>
      </c>
      <c r="F475" t="s" s="300">
        <v>343</v>
      </c>
      <c r="G475" t="s" s="352">
        <v>1575</v>
      </c>
      <c r="H475" t="s" s="353">
        <v>171</v>
      </c>
      <c r="I475" s="305">
        <v>4</v>
      </c>
      <c r="J475" t="s" s="306">
        <v>1586</v>
      </c>
      <c r="K475" t="s" s="306">
        <v>291</v>
      </c>
      <c r="L475" t="s" s="307">
        <v>1587</v>
      </c>
      <c r="M475" s="284"/>
      <c r="N475" s="284"/>
      <c r="O475" s="310">
        <f>_xlfn.IFERROR(VLOOKUP($P475,'Suppl'!$B$2:$N$57,MATCH($B475,'Suppl'!$C$1:$N$1,0)+1,FALSE),"")</f>
        <v>0</v>
      </c>
      <c r="P475" t="s" s="306">
        <v>311</v>
      </c>
      <c r="Q475" s="286"/>
      <c r="R475" s="298"/>
      <c r="S475" s="298"/>
    </row>
    <row r="476" ht="15" customHeight="1">
      <c r="A476" t="s" s="276">
        <f>B476&amp;E476&amp;I476</f>
        <v>1588</v>
      </c>
      <c r="B476" s="351">
        <f>B475</f>
        <v>12</v>
      </c>
      <c r="C476" t="s" s="300">
        <f>C475</f>
        <v>1557</v>
      </c>
      <c r="D476" t="s" s="300">
        <v>1545</v>
      </c>
      <c r="E476" s="301">
        <v>2</v>
      </c>
      <c r="F476" t="s" s="300">
        <v>343</v>
      </c>
      <c r="G476" t="s" s="352">
        <v>1575</v>
      </c>
      <c r="H476" t="s" s="353">
        <v>171</v>
      </c>
      <c r="I476" s="305">
        <v>5</v>
      </c>
      <c r="J476" t="s" s="306">
        <v>1589</v>
      </c>
      <c r="K476" t="s" s="306">
        <v>256</v>
      </c>
      <c r="L476" t="s" s="307">
        <v>1590</v>
      </c>
      <c r="M476" s="284"/>
      <c r="N476" s="284"/>
      <c r="O476" s="310">
        <f>_xlfn.IFERROR(VLOOKUP($P476,'Suppl'!$B$2:$N$57,MATCH($B476,'Suppl'!$C$1:$N$1,0)+1,FALSE),"")</f>
        <v>0</v>
      </c>
      <c r="P476" t="s" s="306">
        <v>315</v>
      </c>
      <c r="Q476" s="286"/>
      <c r="R476" s="298"/>
      <c r="S476" s="298"/>
    </row>
    <row r="477" ht="15" customHeight="1">
      <c r="A477" t="s" s="276">
        <f>B477&amp;E477&amp;I477</f>
        <v>1591</v>
      </c>
      <c r="B477" s="351">
        <f>B476</f>
        <v>12</v>
      </c>
      <c r="C477" t="s" s="300">
        <f>C476</f>
        <v>1557</v>
      </c>
      <c r="D477" t="s" s="300">
        <v>1545</v>
      </c>
      <c r="E477" s="301">
        <v>2</v>
      </c>
      <c r="F477" t="s" s="300">
        <v>343</v>
      </c>
      <c r="G477" t="s" s="352">
        <v>1575</v>
      </c>
      <c r="H477" t="s" s="353">
        <v>171</v>
      </c>
      <c r="I477" s="305">
        <v>6</v>
      </c>
      <c r="J477" s="284"/>
      <c r="K477" s="284"/>
      <c r="L477" s="312"/>
      <c r="M477" s="284"/>
      <c r="N477" s="284"/>
      <c r="O477" t="s" s="420">
        <f>_xlfn.IFERROR(VLOOKUP($P477,'Suppl'!$B$2:$N$57,MATCH($B477,'Suppl'!$C$1:$N$1,0)+1,FALSE),"")</f>
      </c>
      <c r="P477" s="284"/>
      <c r="Q477" s="286"/>
      <c r="R477" s="298"/>
      <c r="S477" s="298"/>
    </row>
    <row r="478" ht="15" customHeight="1">
      <c r="A478" t="s" s="276">
        <f>B478&amp;E478&amp;I478</f>
        <v>1592</v>
      </c>
      <c r="B478" s="354">
        <f>B477</f>
        <v>12</v>
      </c>
      <c r="C478" t="s" s="315">
        <f>C477</f>
        <v>1557</v>
      </c>
      <c r="D478" t="s" s="315">
        <v>1545</v>
      </c>
      <c r="E478" s="316">
        <v>2</v>
      </c>
      <c r="F478" t="s" s="315">
        <v>343</v>
      </c>
      <c r="G478" t="s" s="355">
        <v>1575</v>
      </c>
      <c r="H478" t="s" s="353">
        <v>171</v>
      </c>
      <c r="I478" s="319">
        <v>7</v>
      </c>
      <c r="J478" s="330"/>
      <c r="K478" s="330"/>
      <c r="L478" s="321"/>
      <c r="M478" s="330"/>
      <c r="N478" s="330"/>
      <c r="O478" t="s" s="421">
        <f>_xlfn.IFERROR(VLOOKUP($P478,'Suppl'!$B$2:$N$57,MATCH($B478,'Suppl'!$C$1:$N$1,0)+1,FALSE),"")</f>
      </c>
      <c r="P478" s="284"/>
      <c r="Q478" s="286"/>
      <c r="R478" s="298"/>
      <c r="S478" s="298"/>
    </row>
    <row r="479" ht="15" customHeight="1">
      <c r="A479" t="s" s="276">
        <f>B479&amp;E479&amp;I479</f>
        <v>201</v>
      </c>
      <c r="B479" s="356">
        <f>B478</f>
        <v>12</v>
      </c>
      <c r="C479" t="s" s="326">
        <f>C478</f>
        <v>1557</v>
      </c>
      <c r="D479" t="s" s="326">
        <v>1545</v>
      </c>
      <c r="E479" s="289">
        <v>3</v>
      </c>
      <c r="F479" t="s" s="288">
        <v>1593</v>
      </c>
      <c r="G479" t="s" s="357">
        <v>1594</v>
      </c>
      <c r="H479" s="396"/>
      <c r="I479" s="292">
        <v>1</v>
      </c>
      <c r="J479" t="s" s="288">
        <v>1595</v>
      </c>
      <c r="K479" t="s" s="288">
        <v>283</v>
      </c>
      <c r="L479" s="327"/>
      <c r="M479" s="328"/>
      <c r="N479" s="328"/>
      <c r="O479" s="296">
        <f>_xlfn.IFERROR(VLOOKUP($P479,'Suppl'!$B$2:$N$57,MATCH($B479,'Suppl'!$C$1:$N$1,0)+1,FALSE),"")</f>
        <v>0</v>
      </c>
      <c r="P479" t="s" s="306">
        <f>E479&amp;I479</f>
        <v>325</v>
      </c>
      <c r="Q479" s="286"/>
      <c r="R479" s="298"/>
      <c r="S479" s="298"/>
    </row>
    <row r="480" ht="15" customHeight="1">
      <c r="A480" t="s" s="276">
        <f>B480&amp;E480&amp;I480</f>
        <v>1596</v>
      </c>
      <c r="B480" s="351">
        <f>B479</f>
        <v>12</v>
      </c>
      <c r="C480" t="s" s="300">
        <f>C479</f>
        <v>1557</v>
      </c>
      <c r="D480" t="s" s="300">
        <v>1545</v>
      </c>
      <c r="E480" s="301">
        <v>3</v>
      </c>
      <c r="F480" t="s" s="300">
        <v>1593</v>
      </c>
      <c r="G480" t="s" s="352">
        <v>1594</v>
      </c>
      <c r="H480" t="s" s="353">
        <v>171</v>
      </c>
      <c r="I480" s="305">
        <v>2</v>
      </c>
      <c r="J480" t="s" s="306">
        <v>1597</v>
      </c>
      <c r="K480" t="s" s="306">
        <v>283</v>
      </c>
      <c r="L480" s="312"/>
      <c r="M480" s="284"/>
      <c r="N480" s="284"/>
      <c r="O480" s="310">
        <f>_xlfn.IFERROR(VLOOKUP($P480,'Suppl'!$B$2:$N$57,MATCH($B480,'Suppl'!$C$1:$N$1,0)+1,FALSE),"")</f>
        <v>0</v>
      </c>
      <c r="P480" t="s" s="306">
        <f>E480&amp;I480</f>
        <v>329</v>
      </c>
      <c r="Q480" s="286"/>
      <c r="R480" s="298"/>
      <c r="S480" s="298"/>
    </row>
    <row r="481" ht="15" customHeight="1">
      <c r="A481" t="s" s="276">
        <f>B481&amp;E481&amp;I481</f>
        <v>1598</v>
      </c>
      <c r="B481" s="351">
        <f>B480</f>
        <v>12</v>
      </c>
      <c r="C481" t="s" s="300">
        <f>C480</f>
        <v>1557</v>
      </c>
      <c r="D481" t="s" s="300">
        <v>1545</v>
      </c>
      <c r="E481" s="301">
        <v>3</v>
      </c>
      <c r="F481" t="s" s="300">
        <v>1593</v>
      </c>
      <c r="G481" t="s" s="352">
        <v>1594</v>
      </c>
      <c r="H481" t="s" s="353">
        <v>171</v>
      </c>
      <c r="I481" s="305">
        <v>3</v>
      </c>
      <c r="J481" t="s" s="306">
        <v>1599</v>
      </c>
      <c r="K481" t="s" s="306">
        <v>291</v>
      </c>
      <c r="L481" t="s" s="307">
        <v>1600</v>
      </c>
      <c r="M481" s="284"/>
      <c r="N481" s="284"/>
      <c r="O481" s="310">
        <f>_xlfn.IFERROR(VLOOKUP($P481,'Suppl'!$B$2:$N$57,MATCH($B481,'Suppl'!$C$1:$N$1,0)+1,FALSE),"")</f>
        <v>0</v>
      </c>
      <c r="P481" t="s" s="306">
        <f>E481&amp;I481</f>
        <v>333</v>
      </c>
      <c r="Q481" s="286"/>
      <c r="R481" s="298"/>
      <c r="S481" s="298"/>
    </row>
    <row r="482" ht="15" customHeight="1">
      <c r="A482" t="s" s="276">
        <f>B482&amp;E482&amp;I482</f>
        <v>1601</v>
      </c>
      <c r="B482" s="351">
        <f>B481</f>
        <v>12</v>
      </c>
      <c r="C482" t="s" s="300">
        <f>C481</f>
        <v>1557</v>
      </c>
      <c r="D482" t="s" s="300">
        <v>1545</v>
      </c>
      <c r="E482" s="301">
        <v>3</v>
      </c>
      <c r="F482" t="s" s="300">
        <v>1593</v>
      </c>
      <c r="G482" t="s" s="352">
        <v>1594</v>
      </c>
      <c r="H482" t="s" s="353">
        <v>171</v>
      </c>
      <c r="I482" s="305">
        <v>4</v>
      </c>
      <c r="J482" t="s" s="306">
        <v>1602</v>
      </c>
      <c r="K482" t="s" s="306">
        <v>283</v>
      </c>
      <c r="L482" s="312"/>
      <c r="M482" s="284"/>
      <c r="N482" s="284"/>
      <c r="O482" s="310">
        <f>_xlfn.IFERROR(VLOOKUP($P482,'Suppl'!$B$2:$N$57,MATCH($B482,'Suppl'!$C$1:$N$1,0)+1,FALSE),"")</f>
        <v>0</v>
      </c>
      <c r="P482" t="s" s="306">
        <f>E482&amp;I482</f>
        <v>336</v>
      </c>
      <c r="Q482" s="286"/>
      <c r="R482" s="298"/>
      <c r="S482" s="298"/>
    </row>
    <row r="483" ht="15" customHeight="1">
      <c r="A483" t="s" s="276">
        <f>B483&amp;E483&amp;I483</f>
        <v>1603</v>
      </c>
      <c r="B483" s="351">
        <f>B482</f>
        <v>12</v>
      </c>
      <c r="C483" t="s" s="300">
        <f>C482</f>
        <v>1557</v>
      </c>
      <c r="D483" t="s" s="300">
        <v>1545</v>
      </c>
      <c r="E483" s="301">
        <v>3</v>
      </c>
      <c r="F483" t="s" s="300">
        <v>1593</v>
      </c>
      <c r="G483" t="s" s="352">
        <v>1594</v>
      </c>
      <c r="H483" t="s" s="353">
        <v>171</v>
      </c>
      <c r="I483" s="305">
        <v>5</v>
      </c>
      <c r="J483" t="s" s="306">
        <v>1604</v>
      </c>
      <c r="K483" t="s" s="306">
        <v>263</v>
      </c>
      <c r="L483" t="s" s="307">
        <v>1605</v>
      </c>
      <c r="M483" s="284"/>
      <c r="N483" s="284"/>
      <c r="O483" s="310">
        <f>_xlfn.IFERROR(VLOOKUP($P483,'Suppl'!$B$2:$N$57,MATCH($B483,'Suppl'!$C$1:$N$1,0)+1,FALSE),"")</f>
        <v>0</v>
      </c>
      <c r="P483" t="s" s="306">
        <f>E483&amp;I483</f>
        <v>338</v>
      </c>
      <c r="Q483" s="286"/>
      <c r="R483" s="298"/>
      <c r="S483" s="298"/>
    </row>
    <row r="484" ht="15" customHeight="1">
      <c r="A484" t="s" s="276">
        <f>B484&amp;E484&amp;I484</f>
        <v>1606</v>
      </c>
      <c r="B484" s="351">
        <f>B483</f>
        <v>12</v>
      </c>
      <c r="C484" t="s" s="300">
        <f>C483</f>
        <v>1557</v>
      </c>
      <c r="D484" t="s" s="300">
        <v>1545</v>
      </c>
      <c r="E484" s="301">
        <v>3</v>
      </c>
      <c r="F484" t="s" s="300">
        <v>1593</v>
      </c>
      <c r="G484" t="s" s="352">
        <v>1594</v>
      </c>
      <c r="H484" t="s" s="353">
        <v>171</v>
      </c>
      <c r="I484" s="305">
        <v>6</v>
      </c>
      <c r="J484" t="s" s="306">
        <v>1607</v>
      </c>
      <c r="K484" t="s" s="306">
        <v>283</v>
      </c>
      <c r="L484" s="312"/>
      <c r="M484" s="284"/>
      <c r="N484" s="284"/>
      <c r="O484" s="310">
        <f>_xlfn.IFERROR(VLOOKUP($P484,'Suppl'!$B$2:$N$57,MATCH($B484,'Suppl'!$C$1:$N$1,0)+1,FALSE),"")</f>
        <v>0</v>
      </c>
      <c r="P484" t="s" s="306">
        <f>E484&amp;I484</f>
        <v>340</v>
      </c>
      <c r="Q484" s="286"/>
      <c r="R484" s="298"/>
      <c r="S484" s="298"/>
    </row>
    <row r="485" ht="15" customHeight="1">
      <c r="A485" t="s" s="276">
        <f>B485&amp;E485&amp;I485</f>
        <v>1608</v>
      </c>
      <c r="B485" s="354">
        <f>B484</f>
        <v>12</v>
      </c>
      <c r="C485" t="s" s="315">
        <f>C484</f>
        <v>1557</v>
      </c>
      <c r="D485" t="s" s="315">
        <v>1545</v>
      </c>
      <c r="E485" s="316">
        <v>3</v>
      </c>
      <c r="F485" t="s" s="315">
        <v>1593</v>
      </c>
      <c r="G485" t="s" s="355">
        <v>1594</v>
      </c>
      <c r="H485" t="s" s="353">
        <v>171</v>
      </c>
      <c r="I485" s="319">
        <v>7</v>
      </c>
      <c r="J485" t="s" s="320">
        <v>1609</v>
      </c>
      <c r="K485" t="s" s="320">
        <v>263</v>
      </c>
      <c r="L485" t="s" s="365">
        <v>1610</v>
      </c>
      <c r="M485" s="330"/>
      <c r="N485" s="330"/>
      <c r="O485" s="324">
        <f>_xlfn.IFERROR(VLOOKUP($P485,'Suppl'!$B$2:$N$57,MATCH($B485,'Suppl'!$C$1:$N$1,0)+1,FALSE),"")</f>
        <v>0</v>
      </c>
      <c r="P485" t="s" s="320">
        <f>E485&amp;I485</f>
        <v>342</v>
      </c>
      <c r="Q485" s="286"/>
      <c r="R485" s="298"/>
      <c r="S485" s="298"/>
    </row>
    <row r="486" ht="15" customHeight="1">
      <c r="A486" t="s" s="276">
        <f>B486&amp;E486&amp;I486</f>
        <v>204</v>
      </c>
      <c r="B486" s="356">
        <f>B485</f>
        <v>12</v>
      </c>
      <c r="C486" t="s" s="326">
        <f>C485</f>
        <v>1557</v>
      </c>
      <c r="D486" t="s" s="326">
        <v>1545</v>
      </c>
      <c r="E486" s="289">
        <v>4</v>
      </c>
      <c r="F486" t="s" s="288">
        <v>1611</v>
      </c>
      <c r="G486" t="s" s="357">
        <v>1612</v>
      </c>
      <c r="H486" t="s" s="353">
        <v>171</v>
      </c>
      <c r="I486" s="292">
        <v>1</v>
      </c>
      <c r="J486" t="s" s="288">
        <v>1613</v>
      </c>
      <c r="K486" t="s" s="288">
        <v>263</v>
      </c>
      <c r="L486" t="s" s="293">
        <v>1614</v>
      </c>
      <c r="M486" s="328"/>
      <c r="N486" s="328"/>
      <c r="O486" s="296">
        <f>_xlfn.IFERROR(VLOOKUP($P486,'Suppl'!$B$2:$N$57,MATCH($B486,'Suppl'!$C$1:$N$1,0)+1,FALSE),"")</f>
        <v>0</v>
      </c>
      <c r="P486" t="s" s="288">
        <f>E486&amp;I486</f>
        <v>348</v>
      </c>
      <c r="Q486" s="286"/>
      <c r="R486" s="298"/>
      <c r="S486" s="298"/>
    </row>
    <row r="487" ht="15" customHeight="1">
      <c r="A487" t="s" s="276">
        <f>B487&amp;E487&amp;I487</f>
        <v>1615</v>
      </c>
      <c r="B487" s="351">
        <f>B486</f>
        <v>12</v>
      </c>
      <c r="C487" t="s" s="300">
        <f>C486</f>
        <v>1557</v>
      </c>
      <c r="D487" t="s" s="300">
        <v>1545</v>
      </c>
      <c r="E487" s="301">
        <v>4</v>
      </c>
      <c r="F487" t="s" s="300">
        <v>1611</v>
      </c>
      <c r="G487" t="s" s="352">
        <v>1612</v>
      </c>
      <c r="H487" t="s" s="353">
        <v>171</v>
      </c>
      <c r="I487" s="305">
        <v>2</v>
      </c>
      <c r="J487" t="s" s="306">
        <v>1616</v>
      </c>
      <c r="K487" t="s" s="306">
        <v>271</v>
      </c>
      <c r="L487" t="s" s="307">
        <v>1617</v>
      </c>
      <c r="M487" s="284"/>
      <c r="N487" s="284"/>
      <c r="O487" s="310">
        <f>_xlfn.IFERROR(VLOOKUP($P487,'Suppl'!$B$2:$N$57,MATCH($B487,'Suppl'!$C$1:$N$1,0)+1,FALSE),"")</f>
        <v>0</v>
      </c>
      <c r="P487" t="s" s="306">
        <f>E487&amp;I487</f>
        <v>351</v>
      </c>
      <c r="Q487" s="286"/>
      <c r="R487" s="298"/>
      <c r="S487" s="298"/>
    </row>
    <row r="488" ht="15" customHeight="1">
      <c r="A488" t="s" s="276">
        <f>B488&amp;E488&amp;I488</f>
        <v>1618</v>
      </c>
      <c r="B488" s="351">
        <f>B487</f>
        <v>12</v>
      </c>
      <c r="C488" t="s" s="300">
        <f>C487</f>
        <v>1557</v>
      </c>
      <c r="D488" t="s" s="300">
        <v>1545</v>
      </c>
      <c r="E488" s="301">
        <v>4</v>
      </c>
      <c r="F488" t="s" s="300">
        <v>1611</v>
      </c>
      <c r="G488" t="s" s="352">
        <v>1612</v>
      </c>
      <c r="H488" t="s" s="353">
        <v>171</v>
      </c>
      <c r="I488" s="305">
        <v>3</v>
      </c>
      <c r="J488" t="s" s="306">
        <v>1619</v>
      </c>
      <c r="K488" t="s" s="306">
        <v>291</v>
      </c>
      <c r="L488" t="s" s="307">
        <v>1620</v>
      </c>
      <c r="M488" s="284"/>
      <c r="N488" s="284"/>
      <c r="O488" s="310">
        <f>_xlfn.IFERROR(VLOOKUP($P488,'Suppl'!$B$2:$N$57,MATCH($B488,'Suppl'!$C$1:$N$1,0)+1,FALSE),"")</f>
        <v>0</v>
      </c>
      <c r="P488" t="s" s="306">
        <f>E488&amp;I488</f>
        <v>354</v>
      </c>
      <c r="Q488" s="286"/>
      <c r="R488" s="298"/>
      <c r="S488" s="298"/>
    </row>
    <row r="489" ht="15" customHeight="1">
      <c r="A489" t="s" s="276">
        <f>B489&amp;E489&amp;I489</f>
        <v>1621</v>
      </c>
      <c r="B489" s="351">
        <f>B488</f>
        <v>12</v>
      </c>
      <c r="C489" t="s" s="300">
        <f>C488</f>
        <v>1557</v>
      </c>
      <c r="D489" t="s" s="300">
        <v>1545</v>
      </c>
      <c r="E489" s="301">
        <v>4</v>
      </c>
      <c r="F489" t="s" s="300">
        <v>1611</v>
      </c>
      <c r="G489" t="s" s="352">
        <v>1612</v>
      </c>
      <c r="H489" t="s" s="353">
        <v>171</v>
      </c>
      <c r="I489" s="305">
        <v>4</v>
      </c>
      <c r="J489" t="s" s="306">
        <v>1622</v>
      </c>
      <c r="K489" t="s" s="306">
        <v>291</v>
      </c>
      <c r="L489" t="s" s="307">
        <v>1623</v>
      </c>
      <c r="M489" s="284"/>
      <c r="N489" s="284"/>
      <c r="O489" s="310">
        <f>_xlfn.IFERROR(VLOOKUP($P489,'Suppl'!$B$2:$N$57,MATCH($B489,'Suppl'!$C$1:$N$1,0)+1,FALSE),"")</f>
        <v>0</v>
      </c>
      <c r="P489" t="s" s="306">
        <f>E489&amp;I489</f>
        <v>357</v>
      </c>
      <c r="Q489" s="286"/>
      <c r="R489" s="298"/>
      <c r="S489" s="298"/>
    </row>
    <row r="490" ht="15" customHeight="1">
      <c r="A490" t="s" s="276">
        <f>B490&amp;E490&amp;I490</f>
        <v>1624</v>
      </c>
      <c r="B490" s="351">
        <f>B489</f>
        <v>12</v>
      </c>
      <c r="C490" t="s" s="300">
        <f>C489</f>
        <v>1557</v>
      </c>
      <c r="D490" t="s" s="300">
        <v>1545</v>
      </c>
      <c r="E490" s="301">
        <v>4</v>
      </c>
      <c r="F490" t="s" s="300">
        <v>1611</v>
      </c>
      <c r="G490" t="s" s="352">
        <v>1612</v>
      </c>
      <c r="H490" t="s" s="353">
        <v>171</v>
      </c>
      <c r="I490" s="305">
        <v>5</v>
      </c>
      <c r="J490" t="s" s="306">
        <v>1625</v>
      </c>
      <c r="K490" t="s" s="306">
        <v>256</v>
      </c>
      <c r="L490" s="312"/>
      <c r="M490" s="284"/>
      <c r="N490" s="284"/>
      <c r="O490" s="310">
        <f>_xlfn.IFERROR(VLOOKUP($P490,'Suppl'!$B$2:$N$57,MATCH($B490,'Suppl'!$C$1:$N$1,0)+1,FALSE),"")</f>
        <v>0</v>
      </c>
      <c r="P490" t="s" s="306">
        <f>E490&amp;I490</f>
        <v>360</v>
      </c>
      <c r="Q490" s="286"/>
      <c r="R490" s="298"/>
      <c r="S490" s="298"/>
    </row>
    <row r="491" ht="15" customHeight="1">
      <c r="A491" t="s" s="276">
        <f>B491&amp;E491&amp;I491</f>
        <v>1626</v>
      </c>
      <c r="B491" s="351">
        <f>B490</f>
        <v>12</v>
      </c>
      <c r="C491" t="s" s="300">
        <f>C490</f>
        <v>1557</v>
      </c>
      <c r="D491" t="s" s="300">
        <v>1545</v>
      </c>
      <c r="E491" s="301">
        <v>4</v>
      </c>
      <c r="F491" t="s" s="300">
        <v>1611</v>
      </c>
      <c r="G491" t="s" s="352">
        <v>1612</v>
      </c>
      <c r="H491" t="s" s="353">
        <v>171</v>
      </c>
      <c r="I491" s="305">
        <v>6</v>
      </c>
      <c r="J491" s="284"/>
      <c r="K491" s="284"/>
      <c r="L491" s="312"/>
      <c r="M491" s="284"/>
      <c r="N491" s="284"/>
      <c r="O491" s="310">
        <f>_xlfn.IFERROR(VLOOKUP($P491,'Suppl'!$B$2:$N$57,MATCH($B491,'Suppl'!$C$1:$N$1,0)+1,FALSE),"")</f>
        <v>0</v>
      </c>
      <c r="P491" t="s" s="306">
        <f>E491&amp;I491</f>
        <v>363</v>
      </c>
      <c r="Q491" s="286"/>
      <c r="R491" s="298"/>
      <c r="S491" s="298"/>
    </row>
    <row r="492" ht="15" customHeight="1">
      <c r="A492" t="s" s="276">
        <f>B492&amp;E492&amp;I492</f>
        <v>1627</v>
      </c>
      <c r="B492" s="354">
        <f>B491</f>
        <v>12</v>
      </c>
      <c r="C492" t="s" s="315">
        <f>C491</f>
        <v>1557</v>
      </c>
      <c r="D492" t="s" s="315">
        <v>1545</v>
      </c>
      <c r="E492" s="316">
        <v>4</v>
      </c>
      <c r="F492" t="s" s="315">
        <v>1611</v>
      </c>
      <c r="G492" t="s" s="355">
        <v>1612</v>
      </c>
      <c r="H492" t="s" s="353">
        <v>171</v>
      </c>
      <c r="I492" s="319">
        <v>7</v>
      </c>
      <c r="J492" s="330"/>
      <c r="K492" s="330"/>
      <c r="L492" s="321"/>
      <c r="M492" s="330"/>
      <c r="N492" s="330"/>
      <c r="O492" s="324">
        <f>_xlfn.IFERROR(VLOOKUP($P492,'Suppl'!$B$2:$N$57,MATCH($B492,'Suppl'!$C$1:$N$1,0)+1,FALSE),"")</f>
        <v>0</v>
      </c>
      <c r="P492" t="s" s="320">
        <f>E492&amp;I492</f>
        <v>365</v>
      </c>
      <c r="Q492" s="286"/>
      <c r="R492" s="298"/>
      <c r="S492" s="298"/>
    </row>
    <row r="493" ht="15" customHeight="1">
      <c r="A493" t="s" s="276">
        <f>B493&amp;E493&amp;I493</f>
        <v>207</v>
      </c>
      <c r="B493" s="356">
        <f>B492</f>
        <v>12</v>
      </c>
      <c r="C493" t="s" s="326">
        <f>C492</f>
        <v>1557</v>
      </c>
      <c r="D493" t="s" s="326">
        <v>1545</v>
      </c>
      <c r="E493" s="289">
        <v>5</v>
      </c>
      <c r="F493" t="s" s="288">
        <v>1628</v>
      </c>
      <c r="G493" t="s" s="357">
        <v>1629</v>
      </c>
      <c r="H493" t="s" s="353">
        <v>171</v>
      </c>
      <c r="I493" s="292">
        <v>1</v>
      </c>
      <c r="J493" t="s" s="288">
        <v>1630</v>
      </c>
      <c r="K493" t="s" s="288">
        <v>291</v>
      </c>
      <c r="L493" t="s" s="293">
        <v>1631</v>
      </c>
      <c r="M493" s="328"/>
      <c r="N493" s="328"/>
      <c r="O493" s="296">
        <f>_xlfn.IFERROR(VLOOKUP($P493,'Suppl'!$B$2:$N$57,MATCH($B493,'Suppl'!$C$1:$N$1,0)+1,FALSE),"")</f>
        <v>0</v>
      </c>
      <c r="P493" t="s" s="288">
        <f>E493&amp;I493</f>
        <v>370</v>
      </c>
      <c r="Q493" s="286"/>
      <c r="R493" s="298"/>
      <c r="S493" s="298"/>
    </row>
    <row r="494" ht="15" customHeight="1">
      <c r="A494" t="s" s="276">
        <f>B494&amp;E494&amp;I494</f>
        <v>1632</v>
      </c>
      <c r="B494" s="351">
        <f>B493</f>
        <v>12</v>
      </c>
      <c r="C494" t="s" s="300">
        <f>C493</f>
        <v>1557</v>
      </c>
      <c r="D494" t="s" s="300">
        <v>1545</v>
      </c>
      <c r="E494" s="301">
        <v>5</v>
      </c>
      <c r="F494" t="s" s="300">
        <v>1633</v>
      </c>
      <c r="G494" t="s" s="352">
        <v>1634</v>
      </c>
      <c r="H494" t="s" s="353">
        <v>171</v>
      </c>
      <c r="I494" s="305">
        <v>2</v>
      </c>
      <c r="J494" t="s" s="306">
        <v>1635</v>
      </c>
      <c r="K494" t="s" s="306">
        <v>283</v>
      </c>
      <c r="L494" s="312"/>
      <c r="M494" s="284"/>
      <c r="N494" s="284"/>
      <c r="O494" s="310">
        <f>_xlfn.IFERROR(VLOOKUP($P494,'Suppl'!$B$2:$N$57,MATCH($B494,'Suppl'!$C$1:$N$1,0)+1,FALSE),"")</f>
        <v>0</v>
      </c>
      <c r="P494" t="s" s="306">
        <f>E494&amp;I494</f>
        <v>374</v>
      </c>
      <c r="Q494" s="286"/>
      <c r="R494" s="298"/>
      <c r="S494" s="298"/>
    </row>
    <row r="495" ht="15" customHeight="1">
      <c r="A495" t="s" s="276">
        <f>B495&amp;E495&amp;I495</f>
        <v>1636</v>
      </c>
      <c r="B495" s="351">
        <f>B494</f>
        <v>12</v>
      </c>
      <c r="C495" t="s" s="300">
        <f>C494</f>
        <v>1557</v>
      </c>
      <c r="D495" t="s" s="300">
        <v>1545</v>
      </c>
      <c r="E495" s="301">
        <v>5</v>
      </c>
      <c r="F495" t="s" s="300">
        <v>1633</v>
      </c>
      <c r="G495" t="s" s="352">
        <v>1634</v>
      </c>
      <c r="H495" t="s" s="353">
        <v>171</v>
      </c>
      <c r="I495" s="305">
        <v>3</v>
      </c>
      <c r="J495" t="s" s="306">
        <v>1637</v>
      </c>
      <c r="K495" t="s" s="306">
        <v>271</v>
      </c>
      <c r="L495" s="312"/>
      <c r="M495" s="284"/>
      <c r="N495" s="284"/>
      <c r="O495" s="310">
        <f>_xlfn.IFERROR(VLOOKUP($P495,'Suppl'!$B$2:$N$57,MATCH($B495,'Suppl'!$C$1:$N$1,0)+1,FALSE),"")</f>
        <v>0</v>
      </c>
      <c r="P495" t="s" s="306">
        <f>E495&amp;I495</f>
        <v>377</v>
      </c>
      <c r="Q495" s="286"/>
      <c r="R495" s="298"/>
      <c r="S495" s="298"/>
    </row>
    <row r="496" ht="15" customHeight="1">
      <c r="A496" t="s" s="276">
        <f>B496&amp;E496&amp;I496</f>
        <v>1638</v>
      </c>
      <c r="B496" s="351">
        <f>B495</f>
        <v>12</v>
      </c>
      <c r="C496" t="s" s="300">
        <f>C495</f>
        <v>1557</v>
      </c>
      <c r="D496" t="s" s="300">
        <v>1545</v>
      </c>
      <c r="E496" s="301">
        <v>5</v>
      </c>
      <c r="F496" t="s" s="300">
        <v>1633</v>
      </c>
      <c r="G496" t="s" s="352">
        <v>1634</v>
      </c>
      <c r="H496" t="s" s="353">
        <v>171</v>
      </c>
      <c r="I496" s="305">
        <v>4</v>
      </c>
      <c r="J496" t="s" s="306">
        <v>1639</v>
      </c>
      <c r="K496" t="s" s="306">
        <v>271</v>
      </c>
      <c r="L496" t="s" s="307">
        <v>1640</v>
      </c>
      <c r="M496" s="284"/>
      <c r="N496" s="284"/>
      <c r="O496" s="310">
        <f>_xlfn.IFERROR(VLOOKUP($P496,'Suppl'!$B$2:$N$57,MATCH($B496,'Suppl'!$C$1:$N$1,0)+1,FALSE),"")</f>
        <v>0</v>
      </c>
      <c r="P496" t="s" s="306">
        <f>E496&amp;I496</f>
        <v>380</v>
      </c>
      <c r="Q496" s="286"/>
      <c r="R496" s="298"/>
      <c r="S496" s="298"/>
    </row>
    <row r="497" ht="15" customHeight="1">
      <c r="A497" t="s" s="276">
        <f>B497&amp;E497&amp;I497</f>
        <v>1641</v>
      </c>
      <c r="B497" s="351">
        <f>B496</f>
        <v>12</v>
      </c>
      <c r="C497" t="s" s="300">
        <f>C496</f>
        <v>1557</v>
      </c>
      <c r="D497" t="s" s="300">
        <v>1545</v>
      </c>
      <c r="E497" s="301">
        <v>5</v>
      </c>
      <c r="F497" t="s" s="300">
        <v>1633</v>
      </c>
      <c r="G497" t="s" s="352">
        <v>1634</v>
      </c>
      <c r="H497" t="s" s="353">
        <v>171</v>
      </c>
      <c r="I497" s="305">
        <v>5</v>
      </c>
      <c r="J497" t="s" s="306">
        <v>1642</v>
      </c>
      <c r="K497" t="s" s="306">
        <v>271</v>
      </c>
      <c r="L497" s="312"/>
      <c r="M497" s="284"/>
      <c r="N497" s="284"/>
      <c r="O497" s="310">
        <f>_xlfn.IFERROR(VLOOKUP($P497,'Suppl'!$B$2:$N$57,MATCH($B497,'Suppl'!$C$1:$N$1,0)+1,FALSE),"")</f>
        <v>0</v>
      </c>
      <c r="P497" t="s" s="306">
        <f>E497&amp;I497</f>
        <v>383</v>
      </c>
      <c r="Q497" s="286"/>
      <c r="R497" s="298"/>
      <c r="S497" s="298"/>
    </row>
    <row r="498" ht="15" customHeight="1">
      <c r="A498" t="s" s="276">
        <f>B498&amp;E498&amp;I498</f>
        <v>1643</v>
      </c>
      <c r="B498" s="351">
        <f>B497</f>
        <v>12</v>
      </c>
      <c r="C498" t="s" s="300">
        <f>C497</f>
        <v>1557</v>
      </c>
      <c r="D498" t="s" s="300">
        <v>1545</v>
      </c>
      <c r="E498" s="301">
        <v>5</v>
      </c>
      <c r="F498" t="s" s="300">
        <v>1633</v>
      </c>
      <c r="G498" t="s" s="352">
        <v>1634</v>
      </c>
      <c r="H498" t="s" s="353">
        <v>171</v>
      </c>
      <c r="I498" s="305">
        <v>6</v>
      </c>
      <c r="J498" t="s" s="306">
        <v>1644</v>
      </c>
      <c r="K498" t="s" s="306">
        <v>256</v>
      </c>
      <c r="L498" s="312"/>
      <c r="M498" s="284"/>
      <c r="N498" s="284"/>
      <c r="O498" s="310">
        <f>_xlfn.IFERROR(VLOOKUP($P498,'Suppl'!$B$2:$N$57,MATCH($B498,'Suppl'!$C$1:$N$1,0)+1,FALSE),"")</f>
        <v>0</v>
      </c>
      <c r="P498" t="s" s="306">
        <f>E498&amp;I498</f>
        <v>385</v>
      </c>
      <c r="Q498" s="286"/>
      <c r="R498" s="298"/>
      <c r="S498" s="298"/>
    </row>
    <row r="499" ht="15" customHeight="1">
      <c r="A499" t="s" s="276">
        <f>B499&amp;E499&amp;I499</f>
        <v>1645</v>
      </c>
      <c r="B499" s="354">
        <f>B498</f>
        <v>12</v>
      </c>
      <c r="C499" t="s" s="315">
        <f>C498</f>
        <v>1557</v>
      </c>
      <c r="D499" t="s" s="315">
        <v>1545</v>
      </c>
      <c r="E499" s="316">
        <v>5</v>
      </c>
      <c r="F499" t="s" s="315">
        <v>1633</v>
      </c>
      <c r="G499" t="s" s="355">
        <v>1634</v>
      </c>
      <c r="H499" t="s" s="353">
        <v>171</v>
      </c>
      <c r="I499" s="319">
        <v>7</v>
      </c>
      <c r="J499" s="330"/>
      <c r="K499" s="330"/>
      <c r="L499" s="321"/>
      <c r="M499" s="330"/>
      <c r="N499" s="330"/>
      <c r="O499" s="324">
        <f>_xlfn.IFERROR(VLOOKUP($P499,'Suppl'!$B$2:$N$57,MATCH($B499,'Suppl'!$C$1:$N$1,0)+1,FALSE),"")</f>
        <v>0</v>
      </c>
      <c r="P499" t="s" s="320">
        <f>E499&amp;I499</f>
        <v>387</v>
      </c>
      <c r="Q499" s="286"/>
      <c r="R499" s="298"/>
      <c r="S499" s="298"/>
    </row>
    <row r="500" ht="15" customHeight="1">
      <c r="A500" t="s" s="276">
        <f>B500&amp;E500&amp;I500</f>
        <v>209</v>
      </c>
      <c r="B500" s="356">
        <f>B499</f>
        <v>12</v>
      </c>
      <c r="C500" t="s" s="326">
        <f>C499</f>
        <v>1557</v>
      </c>
      <c r="D500" t="s" s="326">
        <v>1545</v>
      </c>
      <c r="E500" s="289">
        <v>6</v>
      </c>
      <c r="F500" t="s" s="288">
        <v>1646</v>
      </c>
      <c r="G500" t="s" s="422">
        <v>1647</v>
      </c>
      <c r="H500" s="396"/>
      <c r="I500" s="292">
        <v>1</v>
      </c>
      <c r="J500" t="s" s="288">
        <v>1648</v>
      </c>
      <c r="K500" t="s" s="288">
        <v>291</v>
      </c>
      <c r="L500" t="s" s="293">
        <v>1649</v>
      </c>
      <c r="M500" s="328"/>
      <c r="N500" s="328"/>
      <c r="O500" s="296">
        <f>_xlfn.IFERROR(VLOOKUP($P500,'Suppl'!$B$2:$N$57,MATCH($B500,'Suppl'!$C$1:$N$1,0)+1,FALSE),"")</f>
        <v>0</v>
      </c>
      <c r="P500" t="s" s="288">
        <f>E500&amp;I500</f>
        <v>479</v>
      </c>
      <c r="Q500" s="286"/>
      <c r="R500" s="298"/>
      <c r="S500" s="298"/>
    </row>
    <row r="501" ht="15" customHeight="1">
      <c r="A501" t="s" s="276">
        <f>B501&amp;E501&amp;I501</f>
        <v>1650</v>
      </c>
      <c r="B501" s="351">
        <f>B500</f>
        <v>12</v>
      </c>
      <c r="C501" t="s" s="300">
        <f>C500</f>
        <v>1557</v>
      </c>
      <c r="D501" t="s" s="300">
        <v>1545</v>
      </c>
      <c r="E501" s="301">
        <v>6</v>
      </c>
      <c r="F501" t="s" s="300">
        <v>1646</v>
      </c>
      <c r="G501" t="s" s="352">
        <v>1647</v>
      </c>
      <c r="H501" t="s" s="353">
        <v>171</v>
      </c>
      <c r="I501" s="305">
        <v>2</v>
      </c>
      <c r="J501" t="s" s="306">
        <v>1651</v>
      </c>
      <c r="K501" t="s" s="306">
        <v>256</v>
      </c>
      <c r="L501" s="312"/>
      <c r="M501" s="284"/>
      <c r="N501" s="284"/>
      <c r="O501" s="310">
        <f>_xlfn.IFERROR(VLOOKUP($P501,'Suppl'!$B$2:$N$57,MATCH($B501,'Suppl'!$C$1:$N$1,0)+1,FALSE),"")</f>
        <v>0</v>
      </c>
      <c r="P501" t="s" s="306">
        <f>E501&amp;I501</f>
        <v>483</v>
      </c>
      <c r="Q501" s="286"/>
      <c r="R501" s="298"/>
      <c r="S501" s="298"/>
    </row>
    <row r="502" ht="15" customHeight="1">
      <c r="A502" t="s" s="276">
        <f>B502&amp;E502&amp;I502</f>
        <v>1652</v>
      </c>
      <c r="B502" s="351">
        <f>B501</f>
        <v>12</v>
      </c>
      <c r="C502" t="s" s="300">
        <f>C501</f>
        <v>1557</v>
      </c>
      <c r="D502" t="s" s="300">
        <v>1545</v>
      </c>
      <c r="E502" s="301">
        <v>6</v>
      </c>
      <c r="F502" t="s" s="300">
        <v>1646</v>
      </c>
      <c r="G502" t="s" s="352">
        <v>1647</v>
      </c>
      <c r="H502" t="s" s="353">
        <v>171</v>
      </c>
      <c r="I502" s="305">
        <v>3</v>
      </c>
      <c r="J502" t="s" s="306">
        <v>1653</v>
      </c>
      <c r="K502" t="s" s="306">
        <v>271</v>
      </c>
      <c r="L502" s="312"/>
      <c r="M502" s="284"/>
      <c r="N502" s="284"/>
      <c r="O502" s="310">
        <f>_xlfn.IFERROR(VLOOKUP($P502,'Suppl'!$B$2:$N$57,MATCH($B502,'Suppl'!$C$1:$N$1,0)+1,FALSE),"")</f>
        <v>0</v>
      </c>
      <c r="P502" t="s" s="306">
        <f>E502&amp;I502</f>
        <v>487</v>
      </c>
      <c r="Q502" s="286"/>
      <c r="R502" s="298"/>
      <c r="S502" s="298"/>
    </row>
    <row r="503" ht="15" customHeight="1">
      <c r="A503" t="s" s="276">
        <f>B503&amp;E503&amp;I503</f>
        <v>1654</v>
      </c>
      <c r="B503" s="351">
        <f>B502</f>
        <v>12</v>
      </c>
      <c r="C503" t="s" s="300">
        <f>C502</f>
        <v>1557</v>
      </c>
      <c r="D503" t="s" s="300">
        <v>1545</v>
      </c>
      <c r="E503" s="301">
        <v>6</v>
      </c>
      <c r="F503" t="s" s="300">
        <v>1646</v>
      </c>
      <c r="G503" t="s" s="352">
        <v>1647</v>
      </c>
      <c r="H503" t="s" s="353">
        <v>171</v>
      </c>
      <c r="I503" s="305">
        <v>4</v>
      </c>
      <c r="J503" t="s" s="306">
        <v>1655</v>
      </c>
      <c r="K503" t="s" s="306">
        <v>271</v>
      </c>
      <c r="L503" s="312"/>
      <c r="M503" s="284"/>
      <c r="N503" s="284"/>
      <c r="O503" s="310">
        <f>_xlfn.IFERROR(VLOOKUP($P503,'Suppl'!$B$2:$N$57,MATCH($B503,'Suppl'!$C$1:$N$1,0)+1,FALSE),"")</f>
        <v>0</v>
      </c>
      <c r="P503" t="s" s="306">
        <f>E503&amp;I503</f>
        <v>490</v>
      </c>
      <c r="Q503" s="286"/>
      <c r="R503" s="298"/>
      <c r="S503" s="298"/>
    </row>
    <row r="504" ht="15" customHeight="1">
      <c r="A504" t="s" s="276">
        <f>B504&amp;E504&amp;I504</f>
        <v>1656</v>
      </c>
      <c r="B504" s="351">
        <f>B503</f>
        <v>12</v>
      </c>
      <c r="C504" t="s" s="300">
        <f>C503</f>
        <v>1557</v>
      </c>
      <c r="D504" t="s" s="300">
        <v>1545</v>
      </c>
      <c r="E504" s="301">
        <v>6</v>
      </c>
      <c r="F504" t="s" s="300">
        <v>1646</v>
      </c>
      <c r="G504" t="s" s="352">
        <v>1647</v>
      </c>
      <c r="H504" t="s" s="353">
        <v>171</v>
      </c>
      <c r="I504" s="305">
        <v>5</v>
      </c>
      <c r="J504" s="284"/>
      <c r="K504" s="284"/>
      <c r="L504" s="312"/>
      <c r="M504" s="284"/>
      <c r="N504" s="284"/>
      <c r="O504" s="310">
        <f>_xlfn.IFERROR(VLOOKUP($P504,'Suppl'!$B$2:$N$57,MATCH($B504,'Suppl'!$C$1:$N$1,0)+1,FALSE),"")</f>
        <v>0</v>
      </c>
      <c r="P504" t="s" s="306">
        <f>E504&amp;I504</f>
        <v>492</v>
      </c>
      <c r="Q504" s="286"/>
      <c r="R504" s="298"/>
      <c r="S504" s="298"/>
    </row>
    <row r="505" ht="15" customHeight="1">
      <c r="A505" t="s" s="276">
        <f>B505&amp;E505&amp;I505</f>
        <v>1657</v>
      </c>
      <c r="B505" s="351">
        <f>B504</f>
        <v>12</v>
      </c>
      <c r="C505" t="s" s="300">
        <f>C504</f>
        <v>1557</v>
      </c>
      <c r="D505" t="s" s="300">
        <v>1545</v>
      </c>
      <c r="E505" s="301">
        <v>6</v>
      </c>
      <c r="F505" t="s" s="300">
        <v>1646</v>
      </c>
      <c r="G505" t="s" s="352">
        <v>1647</v>
      </c>
      <c r="H505" t="s" s="353">
        <v>171</v>
      </c>
      <c r="I505" s="305">
        <v>6</v>
      </c>
      <c r="J505" s="284"/>
      <c r="K505" s="284"/>
      <c r="L505" s="312"/>
      <c r="M505" s="284"/>
      <c r="N505" s="284"/>
      <c r="O505" s="310">
        <f>_xlfn.IFERROR(VLOOKUP($P505,'Suppl'!$B$2:$N$57,MATCH($B505,'Suppl'!$C$1:$N$1,0)+1,FALSE),"")</f>
        <v>0</v>
      </c>
      <c r="P505" t="s" s="306">
        <f>E505&amp;I505</f>
        <v>494</v>
      </c>
      <c r="Q505" s="286"/>
      <c r="R505" s="298"/>
      <c r="S505" s="298"/>
    </row>
    <row r="506" ht="15" customHeight="1">
      <c r="A506" t="s" s="276">
        <f>B506&amp;E506&amp;I506</f>
        <v>1658</v>
      </c>
      <c r="B506" s="354">
        <f>B505</f>
        <v>12</v>
      </c>
      <c r="C506" t="s" s="315">
        <f>C505</f>
        <v>1557</v>
      </c>
      <c r="D506" t="s" s="315">
        <v>1545</v>
      </c>
      <c r="E506" s="316">
        <v>6</v>
      </c>
      <c r="F506" t="s" s="315">
        <v>1646</v>
      </c>
      <c r="G506" t="s" s="355">
        <v>1647</v>
      </c>
      <c r="H506" t="s" s="362">
        <v>171</v>
      </c>
      <c r="I506" s="319">
        <v>7</v>
      </c>
      <c r="J506" s="330"/>
      <c r="K506" s="330"/>
      <c r="L506" s="321"/>
      <c r="M506" s="330"/>
      <c r="N506" s="330"/>
      <c r="O506" s="324">
        <f>_xlfn.IFERROR(VLOOKUP($P506,'Suppl'!$B$2:$N$57,MATCH($B506,'Suppl'!$C$1:$N$1,0)+1,FALSE),"")</f>
        <v>0</v>
      </c>
      <c r="P506" t="s" s="320">
        <f>E506&amp;I506</f>
        <v>496</v>
      </c>
      <c r="Q506" s="286"/>
      <c r="R506" s="298"/>
      <c r="S506" s="298"/>
    </row>
    <row r="507" ht="15" customHeight="1">
      <c r="A507" t="s" s="276">
        <f>B507&amp;E507&amp;I507</f>
        <v>211</v>
      </c>
      <c r="B507" s="287">
        <v>13</v>
      </c>
      <c r="C507" t="s" s="288">
        <v>236</v>
      </c>
      <c r="D507" t="s" s="288">
        <v>1659</v>
      </c>
      <c r="E507" s="289">
        <v>1</v>
      </c>
      <c r="F507" t="s" s="290">
        <v>1660</v>
      </c>
      <c r="G507" t="s" s="290">
        <v>1661</v>
      </c>
      <c r="H507" s="423"/>
      <c r="I507" s="292">
        <v>1</v>
      </c>
      <c r="J507" t="s" s="288">
        <v>1662</v>
      </c>
      <c r="K507" t="s" s="288">
        <v>283</v>
      </c>
      <c r="L507" s="327"/>
      <c r="M507" t="s" s="294">
        <v>1663</v>
      </c>
      <c r="N507" t="s" s="295">
        <v>1664</v>
      </c>
      <c r="O507" s="296">
        <f>_xlfn.IFERROR(VLOOKUP($P507,'Suppl'!$B$2:$O$57,MATCH($B507,'Suppl'!$C$1:$O$1,0)+1,FALSE),"")</f>
        <v>0</v>
      </c>
      <c r="P507" t="s" s="288">
        <f>E507&amp;I507</f>
        <v>260</v>
      </c>
      <c r="Q507" s="403"/>
      <c r="R507" s="404"/>
      <c r="S507" s="298"/>
    </row>
    <row r="508" ht="15" customHeight="1">
      <c r="A508" t="s" s="276">
        <f>B508&amp;E508&amp;I508</f>
        <v>1665</v>
      </c>
      <c r="B508" s="299">
        <f>B507</f>
        <v>13</v>
      </c>
      <c r="C508" t="s" s="300">
        <f>C507</f>
        <v>236</v>
      </c>
      <c r="D508" t="s" s="300">
        <v>1659</v>
      </c>
      <c r="E508" s="301">
        <v>1</v>
      </c>
      <c r="F508" t="s" s="302">
        <v>1660</v>
      </c>
      <c r="G508" t="s" s="303">
        <v>1661</v>
      </c>
      <c r="H508" t="s" s="304">
        <v>171</v>
      </c>
      <c r="I508" s="305">
        <v>2</v>
      </c>
      <c r="J508" t="s" s="306">
        <v>1666</v>
      </c>
      <c r="K508" t="s" s="306">
        <v>263</v>
      </c>
      <c r="L508" s="312"/>
      <c r="M508" t="s" s="308">
        <v>1667</v>
      </c>
      <c r="N508" t="s" s="309">
        <v>1668</v>
      </c>
      <c r="O508" s="310">
        <f>_xlfn.IFERROR(VLOOKUP($P508,'Suppl'!$B$2:$O$57,MATCH($B508,'Suppl'!$C$1:$O$1,0)+1,FALSE),"")</f>
        <v>0</v>
      </c>
      <c r="P508" t="s" s="306">
        <f>E508&amp;I508</f>
        <v>267</v>
      </c>
      <c r="Q508" s="286"/>
      <c r="R508" s="404"/>
      <c r="S508" s="298"/>
    </row>
    <row r="509" ht="15" customHeight="1">
      <c r="A509" t="s" s="276">
        <f>B509&amp;E509&amp;I509</f>
        <v>1669</v>
      </c>
      <c r="B509" s="299">
        <f>B508</f>
        <v>13</v>
      </c>
      <c r="C509" t="s" s="300">
        <f>C508</f>
        <v>1670</v>
      </c>
      <c r="D509" t="s" s="300">
        <v>1659</v>
      </c>
      <c r="E509" s="301">
        <v>1</v>
      </c>
      <c r="F509" t="s" s="302">
        <v>1660</v>
      </c>
      <c r="G509" t="s" s="303">
        <v>1661</v>
      </c>
      <c r="H509" t="s" s="304">
        <v>171</v>
      </c>
      <c r="I509" s="305">
        <v>3</v>
      </c>
      <c r="J509" t="s" s="306">
        <v>1671</v>
      </c>
      <c r="K509" t="s" s="306">
        <v>271</v>
      </c>
      <c r="L509" s="312"/>
      <c r="M509" t="s" s="308">
        <v>1672</v>
      </c>
      <c r="N509" t="s" s="309">
        <v>1673</v>
      </c>
      <c r="O509" s="310">
        <f>_xlfn.IFERROR(VLOOKUP($P509,'Suppl'!$B$2:$O$57,MATCH($B509,'Suppl'!$C$1:$O$1,0)+1,FALSE),"")</f>
        <v>0</v>
      </c>
      <c r="P509" t="s" s="306">
        <f>E509&amp;I509</f>
        <v>275</v>
      </c>
      <c r="Q509" s="286"/>
      <c r="R509" s="298"/>
      <c r="S509" s="298"/>
    </row>
    <row r="510" ht="15" customHeight="1">
      <c r="A510" t="s" s="276">
        <f>B510&amp;E510&amp;I510</f>
        <v>1674</v>
      </c>
      <c r="B510" s="299">
        <f>B509</f>
        <v>13</v>
      </c>
      <c r="C510" t="s" s="300">
        <f>C509</f>
        <v>1670</v>
      </c>
      <c r="D510" t="s" s="300">
        <v>1659</v>
      </c>
      <c r="E510" s="301">
        <v>1</v>
      </c>
      <c r="F510" t="s" s="302">
        <v>1660</v>
      </c>
      <c r="G510" t="s" s="303">
        <v>1661</v>
      </c>
      <c r="H510" t="s" s="304">
        <v>171</v>
      </c>
      <c r="I510" s="305">
        <v>4</v>
      </c>
      <c r="J510" t="s" s="306">
        <v>1675</v>
      </c>
      <c r="K510" t="s" s="306">
        <v>256</v>
      </c>
      <c r="L510" t="s" s="307">
        <v>1676</v>
      </c>
      <c r="M510" t="s" s="308">
        <v>1677</v>
      </c>
      <c r="N510" s="313"/>
      <c r="O510" s="310">
        <f>_xlfn.IFERROR(VLOOKUP($P510,'Suppl'!$B$2:$O$57,MATCH($B510,'Suppl'!$C$1:$O$1,0)+1,FALSE),"")</f>
        <v>0</v>
      </c>
      <c r="P510" t="s" s="306">
        <f>E510&amp;I510</f>
        <v>280</v>
      </c>
      <c r="Q510" s="286"/>
      <c r="R510" s="298"/>
      <c r="S510" s="298"/>
    </row>
    <row r="511" ht="15" customHeight="1">
      <c r="A511" t="s" s="276">
        <f>B511&amp;E511&amp;I511</f>
        <v>1678</v>
      </c>
      <c r="B511" s="299">
        <f>B510</f>
        <v>13</v>
      </c>
      <c r="C511" t="s" s="300">
        <f>C510</f>
        <v>1670</v>
      </c>
      <c r="D511" t="s" s="300">
        <v>1659</v>
      </c>
      <c r="E511" s="301">
        <v>1</v>
      </c>
      <c r="F511" t="s" s="302">
        <v>1660</v>
      </c>
      <c r="G511" t="s" s="303">
        <v>1661</v>
      </c>
      <c r="H511" t="s" s="304">
        <v>171</v>
      </c>
      <c r="I511" s="305">
        <v>5</v>
      </c>
      <c r="J511" t="s" s="306">
        <v>1679</v>
      </c>
      <c r="K511" t="s" s="306">
        <v>263</v>
      </c>
      <c r="L511" t="s" s="307">
        <v>1680</v>
      </c>
      <c r="M511" t="s" s="308">
        <v>1681</v>
      </c>
      <c r="N511" s="313"/>
      <c r="O511" s="310">
        <f>_xlfn.IFERROR(VLOOKUP($P511,'Suppl'!$B$2:$O$57,MATCH($B511,'Suppl'!$C$1:$O$1,0)+1,FALSE),"")</f>
        <v>0</v>
      </c>
      <c r="P511" t="s" s="306">
        <f>E511&amp;I511</f>
        <v>284</v>
      </c>
      <c r="Q511" s="286"/>
      <c r="R511" s="298"/>
      <c r="S511" s="298"/>
    </row>
    <row r="512" ht="15" customHeight="1">
      <c r="A512" t="s" s="276">
        <f>B512&amp;E512&amp;I512</f>
        <v>1682</v>
      </c>
      <c r="B512" s="299">
        <f>B511</f>
        <v>13</v>
      </c>
      <c r="C512" t="s" s="300">
        <f>C511</f>
        <v>1670</v>
      </c>
      <c r="D512" t="s" s="300">
        <v>1659</v>
      </c>
      <c r="E512" s="301">
        <v>1</v>
      </c>
      <c r="F512" t="s" s="302">
        <v>1660</v>
      </c>
      <c r="G512" t="s" s="303">
        <v>1661</v>
      </c>
      <c r="H512" t="s" s="304">
        <v>171</v>
      </c>
      <c r="I512" s="305">
        <v>6</v>
      </c>
      <c r="J512" t="s" s="306">
        <v>1683</v>
      </c>
      <c r="K512" t="s" s="306">
        <v>291</v>
      </c>
      <c r="L512" s="312"/>
      <c r="M512" s="311"/>
      <c r="N512" s="313"/>
      <c r="O512" s="310">
        <f>_xlfn.IFERROR(VLOOKUP($P512,'Suppl'!$B$2:$O$57,MATCH($B512,'Suppl'!$C$1:$O$1,0)+1,FALSE),"")</f>
        <v>0</v>
      </c>
      <c r="P512" t="s" s="306">
        <f>E512&amp;I512</f>
        <v>288</v>
      </c>
      <c r="Q512" s="286"/>
      <c r="R512" s="298"/>
      <c r="S512" s="298"/>
    </row>
    <row r="513" ht="15" customHeight="1">
      <c r="A513" t="s" s="276">
        <f>B513&amp;E513&amp;I513</f>
        <v>1684</v>
      </c>
      <c r="B513" s="314">
        <f>B512</f>
        <v>13</v>
      </c>
      <c r="C513" t="s" s="315">
        <f>C512</f>
        <v>1670</v>
      </c>
      <c r="D513" t="s" s="315">
        <v>1659</v>
      </c>
      <c r="E513" s="316">
        <v>1</v>
      </c>
      <c r="F513" t="s" s="317">
        <v>1660</v>
      </c>
      <c r="G513" t="s" s="318">
        <v>1661</v>
      </c>
      <c r="H513" t="s" s="304">
        <v>171</v>
      </c>
      <c r="I513" s="319">
        <v>7</v>
      </c>
      <c r="J513" s="330"/>
      <c r="K513" s="330"/>
      <c r="L513" s="321"/>
      <c r="M513" s="322"/>
      <c r="N513" s="323"/>
      <c r="O513" s="324">
        <f>_xlfn.IFERROR(VLOOKUP($P513,'Suppl'!$B$2:$O$57,MATCH($B513,'Suppl'!$C$1:$O$1,0)+1,FALSE),"")</f>
        <v>0</v>
      </c>
      <c r="P513" t="s" s="320">
        <f>E513&amp;I513</f>
        <v>292</v>
      </c>
      <c r="Q513" s="286"/>
      <c r="R513" s="298"/>
      <c r="S513" s="298"/>
    </row>
    <row r="514" ht="15" customHeight="1">
      <c r="A514" t="s" s="276">
        <f>B514&amp;E514&amp;I514</f>
        <v>214</v>
      </c>
      <c r="B514" s="325">
        <f>B513</f>
        <v>13</v>
      </c>
      <c r="C514" t="s" s="326">
        <f>C513</f>
        <v>1670</v>
      </c>
      <c r="D514" t="s" s="326">
        <v>1659</v>
      </c>
      <c r="E514" s="289">
        <v>2</v>
      </c>
      <c r="F514" t="s" s="290">
        <v>1685</v>
      </c>
      <c r="G514" t="s" s="290">
        <v>1686</v>
      </c>
      <c r="H514" t="s" s="304">
        <v>1687</v>
      </c>
      <c r="I514" s="292">
        <v>1</v>
      </c>
      <c r="J514" t="s" s="288">
        <v>1688</v>
      </c>
      <c r="K514" t="s" s="288">
        <v>271</v>
      </c>
      <c r="L514" t="s" s="293">
        <v>1689</v>
      </c>
      <c r="M514" s="328"/>
      <c r="N514" s="328"/>
      <c r="O514" s="296">
        <f>_xlfn.IFERROR(VLOOKUP($P514,'Suppl'!$B$2:$O$57,MATCH($B514,'Suppl'!$C$1:$O$1,0)+1,FALSE),"")</f>
        <v>0</v>
      </c>
      <c r="P514" t="s" s="288">
        <f>E514&amp;I514</f>
        <v>297</v>
      </c>
      <c r="Q514" s="403"/>
      <c r="R514" s="404"/>
      <c r="S514" s="298"/>
    </row>
    <row r="515" ht="15" customHeight="1">
      <c r="A515" t="s" s="276">
        <f>B515&amp;E515&amp;I515</f>
        <v>1690</v>
      </c>
      <c r="B515" s="299">
        <f>B514</f>
        <v>13</v>
      </c>
      <c r="C515" t="s" s="300">
        <f>C514</f>
        <v>1670</v>
      </c>
      <c r="D515" t="s" s="300">
        <v>1659</v>
      </c>
      <c r="E515" s="301">
        <v>2</v>
      </c>
      <c r="F515" t="s" s="302">
        <v>1685</v>
      </c>
      <c r="G515" t="s" s="303">
        <v>1686</v>
      </c>
      <c r="H515" t="s" s="304">
        <v>171</v>
      </c>
      <c r="I515" s="305">
        <v>2</v>
      </c>
      <c r="J515" t="s" s="306">
        <v>1691</v>
      </c>
      <c r="K515" t="s" s="306">
        <v>271</v>
      </c>
      <c r="L515" t="s" s="307">
        <v>1692</v>
      </c>
      <c r="M515" s="284"/>
      <c r="N515" s="284"/>
      <c r="O515" s="310">
        <f>_xlfn.IFERROR(VLOOKUP($P515,'Suppl'!$B$2:$O$57,MATCH($B515,'Suppl'!$C$1:$O$1,0)+1,FALSE),"")</f>
        <v>0</v>
      </c>
      <c r="P515" t="s" s="306">
        <f>E515&amp;I515</f>
        <v>300</v>
      </c>
      <c r="Q515" s="286"/>
      <c r="R515" s="298"/>
      <c r="S515" s="298"/>
    </row>
    <row r="516" ht="15" customHeight="1">
      <c r="A516" t="s" s="276">
        <f>B516&amp;E516&amp;I516</f>
        <v>1693</v>
      </c>
      <c r="B516" s="299">
        <f>B515</f>
        <v>13</v>
      </c>
      <c r="C516" t="s" s="300">
        <f>C515</f>
        <v>1670</v>
      </c>
      <c r="D516" t="s" s="300">
        <v>1659</v>
      </c>
      <c r="E516" s="301">
        <v>2</v>
      </c>
      <c r="F516" t="s" s="302">
        <v>1685</v>
      </c>
      <c r="G516" t="s" s="303">
        <v>1686</v>
      </c>
      <c r="H516" t="s" s="304">
        <v>171</v>
      </c>
      <c r="I516" s="305">
        <v>3</v>
      </c>
      <c r="J516" t="s" s="306">
        <v>1694</v>
      </c>
      <c r="K516" t="s" s="306">
        <v>291</v>
      </c>
      <c r="L516" t="s" s="307">
        <v>1695</v>
      </c>
      <c r="M516" s="284"/>
      <c r="N516" s="284"/>
      <c r="O516" s="310">
        <f>_xlfn.IFERROR(VLOOKUP($P516,'Suppl'!$B$2:$O$57,MATCH($B516,'Suppl'!$C$1:$O$1,0)+1,FALSE),"")</f>
        <v>0</v>
      </c>
      <c r="P516" t="s" s="306">
        <f>E516&amp;I516</f>
        <v>303</v>
      </c>
      <c r="Q516" s="286"/>
      <c r="R516" s="298"/>
      <c r="S516" s="298"/>
    </row>
    <row r="517" ht="15" customHeight="1">
      <c r="A517" t="s" s="276">
        <f>B517&amp;E517&amp;I517</f>
        <v>1696</v>
      </c>
      <c r="B517" s="299">
        <f>B516</f>
        <v>13</v>
      </c>
      <c r="C517" t="s" s="300">
        <f>C516</f>
        <v>1670</v>
      </c>
      <c r="D517" t="s" s="300">
        <v>1659</v>
      </c>
      <c r="E517" s="301">
        <v>2</v>
      </c>
      <c r="F517" t="s" s="302">
        <v>1685</v>
      </c>
      <c r="G517" t="s" s="303">
        <v>1686</v>
      </c>
      <c r="H517" t="s" s="304">
        <v>171</v>
      </c>
      <c r="I517" s="305">
        <v>4</v>
      </c>
      <c r="J517" t="s" s="306">
        <v>1697</v>
      </c>
      <c r="K517" t="s" s="306">
        <v>256</v>
      </c>
      <c r="L517" t="s" s="307">
        <v>1698</v>
      </c>
      <c r="M517" s="284"/>
      <c r="N517" s="284"/>
      <c r="O517" s="310">
        <f>_xlfn.IFERROR(VLOOKUP($P517,'Suppl'!$B$2:$O$57,MATCH($B517,'Suppl'!$C$1:$O$1,0)+1,FALSE),"")</f>
        <v>0</v>
      </c>
      <c r="P517" t="s" s="306">
        <f>E517&amp;I517</f>
        <v>307</v>
      </c>
      <c r="Q517" s="286"/>
      <c r="R517" s="298"/>
      <c r="S517" s="298"/>
    </row>
    <row r="518" ht="15" customHeight="1">
      <c r="A518" t="s" s="276">
        <f>B518&amp;E518&amp;I518</f>
        <v>1699</v>
      </c>
      <c r="B518" s="299">
        <f>B517</f>
        <v>13</v>
      </c>
      <c r="C518" t="s" s="300">
        <f>C517</f>
        <v>1670</v>
      </c>
      <c r="D518" t="s" s="300">
        <v>1659</v>
      </c>
      <c r="E518" s="301">
        <v>2</v>
      </c>
      <c r="F518" t="s" s="302">
        <v>1685</v>
      </c>
      <c r="G518" t="s" s="303">
        <v>1686</v>
      </c>
      <c r="H518" t="s" s="304">
        <v>171</v>
      </c>
      <c r="I518" s="305">
        <v>5</v>
      </c>
      <c r="J518" t="s" s="306">
        <v>1700</v>
      </c>
      <c r="K518" t="s" s="306">
        <v>291</v>
      </c>
      <c r="L518" t="s" s="307">
        <v>1701</v>
      </c>
      <c r="M518" s="284"/>
      <c r="N518" s="284"/>
      <c r="O518" s="310">
        <f>_xlfn.IFERROR(VLOOKUP($P518,'Suppl'!$B$2:$O$57,MATCH($B518,'Suppl'!$C$1:$O$1,0)+1,FALSE),"")</f>
        <v>0</v>
      </c>
      <c r="P518" t="s" s="306">
        <f>E518&amp;I518</f>
        <v>311</v>
      </c>
      <c r="Q518" s="286"/>
      <c r="R518" s="298"/>
      <c r="S518" s="298"/>
    </row>
    <row r="519" ht="15" customHeight="1">
      <c r="A519" t="s" s="276">
        <f>B519&amp;E519&amp;I519</f>
        <v>1702</v>
      </c>
      <c r="B519" s="299">
        <f>B518</f>
        <v>13</v>
      </c>
      <c r="C519" t="s" s="300">
        <f>C518</f>
        <v>1670</v>
      </c>
      <c r="D519" t="s" s="300">
        <v>1659</v>
      </c>
      <c r="E519" s="301">
        <v>2</v>
      </c>
      <c r="F519" t="s" s="302">
        <v>1685</v>
      </c>
      <c r="G519" t="s" s="303">
        <v>1686</v>
      </c>
      <c r="H519" t="s" s="304">
        <v>171</v>
      </c>
      <c r="I519" s="305">
        <v>6</v>
      </c>
      <c r="J519" s="284"/>
      <c r="K519" s="284"/>
      <c r="L519" s="312"/>
      <c r="M519" s="284"/>
      <c r="N519" s="284"/>
      <c r="O519" s="310">
        <f>_xlfn.IFERROR(VLOOKUP($P519,'Suppl'!$B$2:$O$57,MATCH($B519,'Suppl'!$C$1:$O$1,0)+1,FALSE),"")</f>
        <v>0</v>
      </c>
      <c r="P519" t="s" s="306">
        <f>E519&amp;I519</f>
        <v>315</v>
      </c>
      <c r="Q519" s="286"/>
      <c r="R519" s="298"/>
      <c r="S519" s="298"/>
    </row>
    <row r="520" ht="15" customHeight="1">
      <c r="A520" t="s" s="276">
        <f>B520&amp;E520&amp;I520</f>
        <v>1703</v>
      </c>
      <c r="B520" s="314">
        <f>B519</f>
        <v>13</v>
      </c>
      <c r="C520" t="s" s="315">
        <f>C519</f>
        <v>1670</v>
      </c>
      <c r="D520" t="s" s="315">
        <v>1659</v>
      </c>
      <c r="E520" s="316">
        <v>2</v>
      </c>
      <c r="F520" t="s" s="317">
        <v>1685</v>
      </c>
      <c r="G520" t="s" s="318">
        <v>1686</v>
      </c>
      <c r="H520" t="s" s="304">
        <v>171</v>
      </c>
      <c r="I520" s="319">
        <v>7</v>
      </c>
      <c r="J520" s="330"/>
      <c r="K520" s="330"/>
      <c r="L520" s="321"/>
      <c r="M520" s="330"/>
      <c r="N520" s="330"/>
      <c r="O520" s="324">
        <f>_xlfn.IFERROR(VLOOKUP($P520,'Suppl'!$B$2:$O$57,MATCH($B520,'Suppl'!$C$1:$O$1,0)+1,FALSE),"")</f>
        <v>0</v>
      </c>
      <c r="P520" t="s" s="320">
        <f>E520&amp;I520</f>
        <v>319</v>
      </c>
      <c r="Q520" s="286"/>
      <c r="R520" s="298"/>
      <c r="S520" s="298"/>
    </row>
    <row r="521" ht="15" customHeight="1">
      <c r="A521" t="s" s="276">
        <f>B521&amp;E521&amp;I521</f>
        <v>217</v>
      </c>
      <c r="B521" s="325">
        <f>B520</f>
        <v>13</v>
      </c>
      <c r="C521" t="s" s="326">
        <f>C520</f>
        <v>1670</v>
      </c>
      <c r="D521" t="s" s="326">
        <v>1659</v>
      </c>
      <c r="E521" s="289">
        <v>3</v>
      </c>
      <c r="F521" t="s" s="290">
        <v>1704</v>
      </c>
      <c r="G521" t="s" s="290">
        <v>1705</v>
      </c>
      <c r="H521" t="s" s="304">
        <v>1706</v>
      </c>
      <c r="I521" s="292">
        <v>1</v>
      </c>
      <c r="J521" t="s" s="288">
        <v>1707</v>
      </c>
      <c r="K521" t="s" s="288">
        <v>283</v>
      </c>
      <c r="L521" t="s" s="293">
        <v>1708</v>
      </c>
      <c r="M521" s="328"/>
      <c r="N521" s="328"/>
      <c r="O521" s="296">
        <f>_xlfn.IFERROR(VLOOKUP($P521,'Suppl'!$B$2:$O$57,MATCH($B521,'Suppl'!$C$1:$O$1,0)+1,FALSE),"")</f>
        <v>0</v>
      </c>
      <c r="P521" t="s" s="288">
        <f>E521&amp;I521</f>
        <v>325</v>
      </c>
      <c r="Q521" s="286"/>
      <c r="R521" s="298"/>
      <c r="S521" s="298"/>
    </row>
    <row r="522" ht="15" customHeight="1">
      <c r="A522" t="s" s="276">
        <f>B522&amp;E522&amp;I522</f>
        <v>1709</v>
      </c>
      <c r="B522" s="299">
        <f>B521</f>
        <v>13</v>
      </c>
      <c r="C522" t="s" s="300">
        <f>C521</f>
        <v>1670</v>
      </c>
      <c r="D522" t="s" s="300">
        <v>1659</v>
      </c>
      <c r="E522" s="301">
        <v>3</v>
      </c>
      <c r="F522" t="s" s="302">
        <v>1704</v>
      </c>
      <c r="G522" t="s" s="303">
        <v>1705</v>
      </c>
      <c r="H522" t="s" s="304">
        <v>171</v>
      </c>
      <c r="I522" s="305">
        <v>2</v>
      </c>
      <c r="J522" t="s" s="306">
        <v>1710</v>
      </c>
      <c r="K522" t="s" s="306">
        <v>283</v>
      </c>
      <c r="L522" t="s" s="307">
        <v>1711</v>
      </c>
      <c r="M522" s="284"/>
      <c r="N522" s="284"/>
      <c r="O522" s="310">
        <f>_xlfn.IFERROR(VLOOKUP($P522,'Suppl'!$B$2:$O$57,MATCH($B522,'Suppl'!$C$1:$O$1,0)+1,FALSE),"")</f>
        <v>0</v>
      </c>
      <c r="P522" t="s" s="306">
        <f>E522&amp;I522</f>
        <v>329</v>
      </c>
      <c r="Q522" s="286"/>
      <c r="R522" s="298"/>
      <c r="S522" s="298"/>
    </row>
    <row r="523" ht="15" customHeight="1">
      <c r="A523" t="s" s="276">
        <f>B523&amp;E523&amp;I523</f>
        <v>1712</v>
      </c>
      <c r="B523" s="299">
        <f>B522</f>
        <v>13</v>
      </c>
      <c r="C523" t="s" s="300">
        <f>C522</f>
        <v>1670</v>
      </c>
      <c r="D523" t="s" s="300">
        <v>1659</v>
      </c>
      <c r="E523" s="301">
        <v>3</v>
      </c>
      <c r="F523" t="s" s="302">
        <v>1704</v>
      </c>
      <c r="G523" t="s" s="303">
        <v>1705</v>
      </c>
      <c r="H523" t="s" s="304">
        <v>171</v>
      </c>
      <c r="I523" s="305">
        <v>3</v>
      </c>
      <c r="J523" t="s" s="306">
        <v>1713</v>
      </c>
      <c r="K523" t="s" s="306">
        <v>271</v>
      </c>
      <c r="L523" t="s" s="307">
        <v>1714</v>
      </c>
      <c r="M523" s="284"/>
      <c r="N523" s="284"/>
      <c r="O523" s="310">
        <f>_xlfn.IFERROR(VLOOKUP($P523,'Suppl'!$B$2:$O$57,MATCH($B523,'Suppl'!$C$1:$O$1,0)+1,FALSE),"")</f>
        <v>0</v>
      </c>
      <c r="P523" t="s" s="306">
        <f>E523&amp;I523</f>
        <v>333</v>
      </c>
      <c r="Q523" s="286"/>
      <c r="R523" s="298"/>
      <c r="S523" s="298"/>
    </row>
    <row r="524" ht="15" customHeight="1">
      <c r="A524" t="s" s="276">
        <f>B524&amp;E524&amp;I524</f>
        <v>1715</v>
      </c>
      <c r="B524" s="299">
        <f>B523</f>
        <v>13</v>
      </c>
      <c r="C524" t="s" s="300">
        <f>C523</f>
        <v>1670</v>
      </c>
      <c r="D524" t="s" s="300">
        <v>1659</v>
      </c>
      <c r="E524" s="301">
        <v>3</v>
      </c>
      <c r="F524" t="s" s="302">
        <v>1704</v>
      </c>
      <c r="G524" t="s" s="303">
        <v>1705</v>
      </c>
      <c r="H524" t="s" s="304">
        <v>171</v>
      </c>
      <c r="I524" s="305">
        <v>4</v>
      </c>
      <c r="J524" t="s" s="306">
        <v>1716</v>
      </c>
      <c r="K524" t="s" s="306">
        <v>291</v>
      </c>
      <c r="L524" t="s" s="307">
        <v>1717</v>
      </c>
      <c r="M524" s="284"/>
      <c r="N524" s="284"/>
      <c r="O524" s="310">
        <f>_xlfn.IFERROR(VLOOKUP($P524,'Suppl'!$B$2:$O$57,MATCH($B524,'Suppl'!$C$1:$O$1,0)+1,FALSE),"")</f>
        <v>0</v>
      </c>
      <c r="P524" t="s" s="306">
        <f>E524&amp;I524</f>
        <v>336</v>
      </c>
      <c r="Q524" s="286"/>
      <c r="R524" s="298"/>
      <c r="S524" s="298"/>
    </row>
    <row r="525" ht="15" customHeight="1">
      <c r="A525" t="s" s="276">
        <f>B525&amp;E525&amp;I525</f>
        <v>1718</v>
      </c>
      <c r="B525" s="299">
        <f>B524</f>
        <v>13</v>
      </c>
      <c r="C525" t="s" s="300">
        <f>C524</f>
        <v>1670</v>
      </c>
      <c r="D525" t="s" s="300">
        <v>1659</v>
      </c>
      <c r="E525" s="301">
        <v>3</v>
      </c>
      <c r="F525" t="s" s="302">
        <v>1704</v>
      </c>
      <c r="G525" t="s" s="303">
        <v>1705</v>
      </c>
      <c r="H525" t="s" s="304">
        <v>171</v>
      </c>
      <c r="I525" s="305">
        <v>5</v>
      </c>
      <c r="J525" t="s" s="306">
        <v>1719</v>
      </c>
      <c r="K525" t="s" s="306">
        <v>263</v>
      </c>
      <c r="L525" t="s" s="307">
        <v>1720</v>
      </c>
      <c r="M525" s="284"/>
      <c r="N525" s="284"/>
      <c r="O525" s="310">
        <f>_xlfn.IFERROR(VLOOKUP($P525,'Suppl'!$B$2:$O$57,MATCH($B525,'Suppl'!$C$1:$O$1,0)+1,FALSE),"")</f>
        <v>0</v>
      </c>
      <c r="P525" t="s" s="306">
        <f>E525&amp;I525</f>
        <v>338</v>
      </c>
      <c r="Q525" s="286"/>
      <c r="R525" s="298"/>
      <c r="S525" s="298"/>
    </row>
    <row r="526" ht="15" customHeight="1">
      <c r="A526" t="s" s="276">
        <f>B526&amp;E526&amp;I526</f>
        <v>1721</v>
      </c>
      <c r="B526" s="299">
        <f>B525</f>
        <v>13</v>
      </c>
      <c r="C526" t="s" s="300">
        <f>C525</f>
        <v>1670</v>
      </c>
      <c r="D526" t="s" s="300">
        <v>1659</v>
      </c>
      <c r="E526" s="301">
        <v>3</v>
      </c>
      <c r="F526" t="s" s="302">
        <v>1704</v>
      </c>
      <c r="G526" t="s" s="303">
        <v>1705</v>
      </c>
      <c r="H526" t="s" s="304">
        <v>171</v>
      </c>
      <c r="I526" s="305">
        <v>6</v>
      </c>
      <c r="J526" t="s" s="306">
        <v>1722</v>
      </c>
      <c r="K526" t="s" s="306">
        <v>291</v>
      </c>
      <c r="L526" t="s" s="307">
        <v>1723</v>
      </c>
      <c r="M526" s="284"/>
      <c r="N526" s="284"/>
      <c r="O526" s="310">
        <f>_xlfn.IFERROR(VLOOKUP($P526,'Suppl'!$B$2:$O$57,MATCH($B526,'Suppl'!$C$1:$O$1,0)+1,FALSE),"")</f>
        <v>0</v>
      </c>
      <c r="P526" t="s" s="306">
        <f>E526&amp;I526</f>
        <v>340</v>
      </c>
      <c r="Q526" s="286"/>
      <c r="R526" s="298"/>
      <c r="S526" s="298"/>
    </row>
    <row r="527" ht="15" customHeight="1">
      <c r="A527" t="s" s="276">
        <f>B527&amp;E527&amp;I527</f>
        <v>1724</v>
      </c>
      <c r="B527" s="299">
        <f>B526</f>
        <v>13</v>
      </c>
      <c r="C527" t="s" s="300">
        <f>C526</f>
        <v>1670</v>
      </c>
      <c r="D527" t="s" s="300">
        <v>1659</v>
      </c>
      <c r="E527" s="301">
        <v>3</v>
      </c>
      <c r="F527" t="s" s="302">
        <v>1704</v>
      </c>
      <c r="G527" t="s" s="303">
        <v>1705</v>
      </c>
      <c r="H527" t="s" s="304">
        <v>171</v>
      </c>
      <c r="I527" s="305">
        <v>7</v>
      </c>
      <c r="J527" t="s" s="306">
        <v>1725</v>
      </c>
      <c r="K527" t="s" s="306">
        <v>263</v>
      </c>
      <c r="L527" s="312"/>
      <c r="M527" s="284"/>
      <c r="N527" s="284"/>
      <c r="O527" s="310">
        <f>_xlfn.IFERROR(VLOOKUP($P527,'Suppl'!$B$2:$O$57,MATCH($B527,'Suppl'!$C$1:$O$1,0)+1,FALSE),"")</f>
        <v>0</v>
      </c>
      <c r="P527" t="s" s="358">
        <f>E527&amp;I527</f>
        <v>342</v>
      </c>
      <c r="Q527" s="286"/>
      <c r="R527" s="298"/>
      <c r="S527" s="298"/>
    </row>
    <row r="528" ht="15" customHeight="1">
      <c r="A528" t="s" s="276">
        <f>B528&amp;E528&amp;I528</f>
        <v>1726</v>
      </c>
      <c r="B528" s="314">
        <f>B527</f>
        <v>13</v>
      </c>
      <c r="C528" t="s" s="315">
        <f>C527</f>
        <v>1670</v>
      </c>
      <c r="D528" t="s" s="315">
        <v>1659</v>
      </c>
      <c r="E528" s="316">
        <v>3</v>
      </c>
      <c r="F528" t="s" s="317">
        <v>1704</v>
      </c>
      <c r="G528" t="s" s="318">
        <v>1705</v>
      </c>
      <c r="H528" t="s" s="304">
        <v>171</v>
      </c>
      <c r="I528" s="319">
        <v>8</v>
      </c>
      <c r="J528" t="s" s="320">
        <v>1727</v>
      </c>
      <c r="K528" t="s" s="320">
        <v>291</v>
      </c>
      <c r="L528" s="321"/>
      <c r="M528" s="330"/>
      <c r="N528" s="330"/>
      <c r="O528" s="412">
        <f>_xlfn.IFERROR(VLOOKUP($P528,'Suppl'!$B$2:$O$57,MATCH($B528,'Suppl'!$C$1:$O$1,0)+1,FALSE),"")</f>
        <v>0</v>
      </c>
      <c r="P528" t="s" s="413">
        <v>348</v>
      </c>
      <c r="Q528" t="s" s="414">
        <v>1574</v>
      </c>
      <c r="R528" s="298"/>
      <c r="S528" s="298"/>
    </row>
    <row r="529" ht="15" customHeight="1">
      <c r="A529" t="s" s="276">
        <f>B529&amp;E529&amp;I529</f>
        <v>220</v>
      </c>
      <c r="B529" s="325">
        <f>B527</f>
        <v>13</v>
      </c>
      <c r="C529" t="s" s="326">
        <f>C527</f>
        <v>1670</v>
      </c>
      <c r="D529" t="s" s="326">
        <v>1659</v>
      </c>
      <c r="E529" s="289">
        <v>4</v>
      </c>
      <c r="F529" t="s" s="290">
        <v>1728</v>
      </c>
      <c r="G529" t="s" s="290">
        <v>1729</v>
      </c>
      <c r="H529" t="s" s="304">
        <v>824</v>
      </c>
      <c r="I529" s="292">
        <v>1</v>
      </c>
      <c r="J529" t="s" s="288">
        <v>1730</v>
      </c>
      <c r="K529" t="s" s="288">
        <v>283</v>
      </c>
      <c r="L529" t="s" s="293">
        <v>1731</v>
      </c>
      <c r="M529" s="328"/>
      <c r="N529" s="328"/>
      <c r="O529" s="417">
        <f>_xlfn.IFERROR(VLOOKUP($P529,'Suppl'!$B$2:$O$57,MATCH($B529,'Suppl'!$C$1:$O$1,0)+1,FALSE),"")</f>
        <v>0</v>
      </c>
      <c r="P529" t="s" s="418">
        <v>351</v>
      </c>
      <c r="Q529" s="286"/>
      <c r="R529" s="298"/>
      <c r="S529" s="298"/>
    </row>
    <row r="530" ht="15" customHeight="1">
      <c r="A530" t="s" s="276">
        <f>B530&amp;E530&amp;I530</f>
        <v>1732</v>
      </c>
      <c r="B530" s="299">
        <f>B529</f>
        <v>13</v>
      </c>
      <c r="C530" t="s" s="300">
        <f>C529</f>
        <v>1670</v>
      </c>
      <c r="D530" t="s" s="300">
        <v>1659</v>
      </c>
      <c r="E530" s="301">
        <v>4</v>
      </c>
      <c r="F530" t="s" s="302">
        <v>1728</v>
      </c>
      <c r="G530" t="s" s="303">
        <v>1729</v>
      </c>
      <c r="H530" t="s" s="304">
        <v>171</v>
      </c>
      <c r="I530" s="305">
        <v>2</v>
      </c>
      <c r="J530" t="s" s="306">
        <v>1733</v>
      </c>
      <c r="K530" t="s" s="306">
        <v>271</v>
      </c>
      <c r="L530" t="s" s="307">
        <v>1734</v>
      </c>
      <c r="M530" s="284"/>
      <c r="N530" s="284"/>
      <c r="O530" s="310">
        <f>_xlfn.IFERROR(VLOOKUP($P530,'Suppl'!$B$2:$O$57,MATCH($B530,'Suppl'!$C$1:$O$1,0)+1,FALSE),"")</f>
        <v>0</v>
      </c>
      <c r="P530" t="s" s="419">
        <v>354</v>
      </c>
      <c r="Q530" s="286"/>
      <c r="R530" s="298"/>
      <c r="S530" s="298"/>
    </row>
    <row r="531" ht="15" customHeight="1">
      <c r="A531" t="s" s="276">
        <f>B531&amp;E531&amp;I531</f>
        <v>1735</v>
      </c>
      <c r="B531" s="299">
        <f>B530</f>
        <v>13</v>
      </c>
      <c r="C531" t="s" s="300">
        <f>C530</f>
        <v>1670</v>
      </c>
      <c r="D531" t="s" s="300">
        <v>1659</v>
      </c>
      <c r="E531" s="301">
        <v>4</v>
      </c>
      <c r="F531" t="s" s="302">
        <v>1728</v>
      </c>
      <c r="G531" t="s" s="303">
        <v>1729</v>
      </c>
      <c r="H531" t="s" s="304">
        <v>171</v>
      </c>
      <c r="I531" s="305">
        <v>3</v>
      </c>
      <c r="J531" t="s" s="306">
        <v>1736</v>
      </c>
      <c r="K531" t="s" s="306">
        <v>271</v>
      </c>
      <c r="L531" t="s" s="307">
        <v>1737</v>
      </c>
      <c r="M531" s="284"/>
      <c r="N531" s="284"/>
      <c r="O531" s="310">
        <f>_xlfn.IFERROR(VLOOKUP($P531,'Suppl'!$B$2:$O$57,MATCH($B531,'Suppl'!$C$1:$O$1,0)+1,FALSE),"")</f>
        <v>0</v>
      </c>
      <c r="P531" t="s" s="306">
        <v>357</v>
      </c>
      <c r="Q531" s="286"/>
      <c r="R531" s="298"/>
      <c r="S531" s="298"/>
    </row>
    <row r="532" ht="15" customHeight="1">
      <c r="A532" t="s" s="276">
        <f>B532&amp;E532&amp;I532</f>
        <v>1738</v>
      </c>
      <c r="B532" s="299">
        <f>B531</f>
        <v>13</v>
      </c>
      <c r="C532" t="s" s="300">
        <f>C531</f>
        <v>1670</v>
      </c>
      <c r="D532" t="s" s="300">
        <v>1659</v>
      </c>
      <c r="E532" s="301">
        <v>4</v>
      </c>
      <c r="F532" t="s" s="302">
        <v>1728</v>
      </c>
      <c r="G532" t="s" s="303">
        <v>1729</v>
      </c>
      <c r="H532" t="s" s="304">
        <v>171</v>
      </c>
      <c r="I532" s="305">
        <v>4</v>
      </c>
      <c r="J532" t="s" s="306">
        <v>1739</v>
      </c>
      <c r="K532" t="s" s="306">
        <v>291</v>
      </c>
      <c r="L532" s="312"/>
      <c r="M532" s="284"/>
      <c r="N532" s="284"/>
      <c r="O532" s="310">
        <f>_xlfn.IFERROR(VLOOKUP($P532,'Suppl'!$B$2:$O$57,MATCH($B532,'Suppl'!$C$1:$O$1,0)+1,FALSE),"")</f>
        <v>0</v>
      </c>
      <c r="P532" t="s" s="306">
        <v>360</v>
      </c>
      <c r="Q532" s="286"/>
      <c r="R532" s="298"/>
      <c r="S532" s="298"/>
    </row>
    <row r="533" ht="15" customHeight="1">
      <c r="A533" t="s" s="276">
        <f>B533&amp;E533&amp;I533</f>
        <v>1740</v>
      </c>
      <c r="B533" s="299">
        <f>B532</f>
        <v>13</v>
      </c>
      <c r="C533" t="s" s="300">
        <f>C532</f>
        <v>1670</v>
      </c>
      <c r="D533" t="s" s="300">
        <v>1659</v>
      </c>
      <c r="E533" s="301">
        <v>4</v>
      </c>
      <c r="F533" t="s" s="302">
        <v>1728</v>
      </c>
      <c r="G533" t="s" s="303">
        <v>1729</v>
      </c>
      <c r="H533" t="s" s="304">
        <v>171</v>
      </c>
      <c r="I533" s="305">
        <v>5</v>
      </c>
      <c r="J533" t="s" s="306">
        <v>1741</v>
      </c>
      <c r="K533" t="s" s="306">
        <v>256</v>
      </c>
      <c r="L533" t="s" s="307">
        <v>1742</v>
      </c>
      <c r="M533" s="284"/>
      <c r="N533" s="284"/>
      <c r="O533" s="310">
        <f>_xlfn.IFERROR(VLOOKUP($P533,'Suppl'!$B$2:$O$57,MATCH($B533,'Suppl'!$C$1:$O$1,0)+1,FALSE),"")</f>
        <v>0</v>
      </c>
      <c r="P533" t="s" s="306">
        <v>363</v>
      </c>
      <c r="Q533" s="286"/>
      <c r="R533" s="298"/>
      <c r="S533" s="298"/>
    </row>
    <row r="534" ht="15" customHeight="1">
      <c r="A534" t="s" s="276">
        <f>B534&amp;E534&amp;I534</f>
        <v>1743</v>
      </c>
      <c r="B534" s="299">
        <f>B533</f>
        <v>13</v>
      </c>
      <c r="C534" t="s" s="300">
        <f>C533</f>
        <v>1670</v>
      </c>
      <c r="D534" t="s" s="300">
        <v>1659</v>
      </c>
      <c r="E534" s="301">
        <v>4</v>
      </c>
      <c r="F534" t="s" s="302">
        <v>1728</v>
      </c>
      <c r="G534" t="s" s="303">
        <v>1729</v>
      </c>
      <c r="H534" t="s" s="304">
        <v>171</v>
      </c>
      <c r="I534" s="305">
        <v>6</v>
      </c>
      <c r="J534" s="284"/>
      <c r="K534" s="284"/>
      <c r="L534" s="312"/>
      <c r="M534" s="284"/>
      <c r="N534" s="284"/>
      <c r="O534" s="424"/>
      <c r="P534" s="284"/>
      <c r="Q534" s="286"/>
      <c r="R534" s="298"/>
      <c r="S534" s="298"/>
    </row>
    <row r="535" ht="15" customHeight="1">
      <c r="A535" t="s" s="276">
        <f>B535&amp;E535&amp;I535</f>
        <v>1744</v>
      </c>
      <c r="B535" s="314">
        <f>B534</f>
        <v>13</v>
      </c>
      <c r="C535" t="s" s="315">
        <f>C534</f>
        <v>1670</v>
      </c>
      <c r="D535" t="s" s="315">
        <v>1659</v>
      </c>
      <c r="E535" s="316">
        <v>4</v>
      </c>
      <c r="F535" t="s" s="317">
        <v>1728</v>
      </c>
      <c r="G535" t="s" s="318">
        <v>1729</v>
      </c>
      <c r="H535" t="s" s="304">
        <v>171</v>
      </c>
      <c r="I535" s="319">
        <v>7</v>
      </c>
      <c r="J535" s="330"/>
      <c r="K535" s="330"/>
      <c r="L535" s="321"/>
      <c r="M535" s="330"/>
      <c r="N535" s="330"/>
      <c r="O535" s="425"/>
      <c r="P535" s="330"/>
      <c r="Q535" s="286"/>
      <c r="R535" s="298"/>
      <c r="S535" s="298"/>
    </row>
    <row r="536" ht="13.55" customHeight="1">
      <c r="A536" s="298"/>
      <c r="B536" s="297"/>
      <c r="C536" s="297"/>
      <c r="D536" s="297"/>
      <c r="E536" s="426"/>
      <c r="F536" s="297"/>
      <c r="G536" s="427"/>
      <c r="H536" s="428"/>
      <c r="I536" s="297"/>
      <c r="J536" s="297"/>
      <c r="K536" s="297"/>
      <c r="L536" s="429"/>
      <c r="M536" s="297"/>
      <c r="N536" s="430"/>
      <c r="O536" s="431"/>
      <c r="P536" s="432"/>
      <c r="Q536" s="298"/>
      <c r="R536" s="298"/>
      <c r="S536" s="298"/>
    </row>
    <row r="537" ht="13.55" customHeight="1">
      <c r="A537" s="298"/>
      <c r="B537" s="298"/>
      <c r="C537" s="298"/>
      <c r="D537" s="298"/>
      <c r="E537" s="404"/>
      <c r="F537" s="298"/>
      <c r="G537" s="38"/>
      <c r="H537" s="433"/>
      <c r="I537" s="298"/>
      <c r="J537" s="298"/>
      <c r="K537" s="298"/>
      <c r="L537" s="434"/>
      <c r="M537" s="298"/>
      <c r="N537" s="435"/>
      <c r="O537" s="436"/>
      <c r="P537" s="399"/>
      <c r="Q537" s="298"/>
      <c r="R537" s="298"/>
      <c r="S537" s="298"/>
    </row>
    <row r="538" ht="13.55" customHeight="1">
      <c r="A538" s="298"/>
      <c r="B538" s="298"/>
      <c r="C538" s="298"/>
      <c r="D538" s="298"/>
      <c r="E538" s="404"/>
      <c r="F538" s="298"/>
      <c r="G538" s="38"/>
      <c r="H538" s="433"/>
      <c r="I538" s="298"/>
      <c r="J538" s="298"/>
      <c r="K538" s="298"/>
      <c r="L538" s="434"/>
      <c r="M538" s="298"/>
      <c r="N538" s="435"/>
      <c r="O538" s="436"/>
      <c r="P538" s="399"/>
      <c r="Q538" s="298"/>
      <c r="R538" s="298"/>
      <c r="S538" s="298"/>
    </row>
    <row r="539" ht="13.55" customHeight="1">
      <c r="A539" s="298"/>
      <c r="B539" s="298"/>
      <c r="C539" s="298"/>
      <c r="D539" s="298"/>
      <c r="E539" s="404"/>
      <c r="F539" s="298"/>
      <c r="G539" s="38"/>
      <c r="H539" s="433"/>
      <c r="I539" s="298"/>
      <c r="J539" s="298"/>
      <c r="K539" s="298"/>
      <c r="L539" s="434"/>
      <c r="M539" s="298"/>
      <c r="N539" s="435"/>
      <c r="O539" s="436"/>
      <c r="P539" s="399"/>
      <c r="Q539" s="298"/>
      <c r="R539" s="298"/>
      <c r="S539" s="298"/>
    </row>
    <row r="540" ht="13.55" customHeight="1">
      <c r="A540" s="298"/>
      <c r="B540" s="298"/>
      <c r="C540" s="298"/>
      <c r="D540" s="298"/>
      <c r="E540" s="404"/>
      <c r="F540" s="298"/>
      <c r="G540" s="38"/>
      <c r="H540" s="433"/>
      <c r="I540" s="298"/>
      <c r="J540" s="298"/>
      <c r="K540" s="298"/>
      <c r="L540" s="434"/>
      <c r="M540" s="298"/>
      <c r="N540" s="435"/>
      <c r="O540" s="436"/>
      <c r="P540" s="399"/>
      <c r="Q540" s="298"/>
      <c r="R540" s="298"/>
      <c r="S540" s="298"/>
    </row>
    <row r="541" ht="13.55" customHeight="1">
      <c r="A541" s="298"/>
      <c r="B541" s="298"/>
      <c r="C541" s="298"/>
      <c r="D541" s="298"/>
      <c r="E541" s="404"/>
      <c r="F541" s="298"/>
      <c r="G541" s="38"/>
      <c r="H541" s="433"/>
      <c r="I541" s="298"/>
      <c r="J541" s="298"/>
      <c r="K541" s="298"/>
      <c r="L541" s="434"/>
      <c r="M541" s="298"/>
      <c r="N541" s="435"/>
      <c r="O541" s="436"/>
      <c r="P541" s="399"/>
      <c r="Q541" s="298"/>
      <c r="R541" s="298"/>
      <c r="S541" s="298"/>
    </row>
    <row r="542" ht="13.55" customHeight="1">
      <c r="A542" s="298"/>
      <c r="B542" s="298"/>
      <c r="C542" s="298"/>
      <c r="D542" s="298"/>
      <c r="E542" s="404"/>
      <c r="F542" s="298"/>
      <c r="G542" s="38"/>
      <c r="H542" s="433"/>
      <c r="I542" s="298"/>
      <c r="J542" s="298"/>
      <c r="K542" s="298"/>
      <c r="L542" s="434"/>
      <c r="M542" s="298"/>
      <c r="N542" s="435"/>
      <c r="O542" s="436"/>
      <c r="P542" s="399"/>
      <c r="Q542" s="298"/>
      <c r="R542" s="298"/>
      <c r="S542" s="298"/>
    </row>
    <row r="543" ht="13.55" customHeight="1">
      <c r="A543" s="298"/>
      <c r="B543" s="298"/>
      <c r="C543" s="298"/>
      <c r="D543" s="298"/>
      <c r="E543" s="404"/>
      <c r="F543" s="298"/>
      <c r="G543" s="38"/>
      <c r="H543" s="433"/>
      <c r="I543" s="298"/>
      <c r="J543" s="298"/>
      <c r="K543" s="298"/>
      <c r="L543" s="434"/>
      <c r="M543" s="298"/>
      <c r="N543" s="435"/>
      <c r="O543" s="436"/>
      <c r="P543" s="399"/>
      <c r="Q543" s="298"/>
      <c r="R543" s="298"/>
      <c r="S543" s="298"/>
    </row>
    <row r="544" ht="13.55" customHeight="1">
      <c r="A544" s="298"/>
      <c r="B544" s="298"/>
      <c r="C544" s="298"/>
      <c r="D544" s="298"/>
      <c r="E544" s="404"/>
      <c r="F544" s="298"/>
      <c r="G544" s="38"/>
      <c r="H544" s="433"/>
      <c r="I544" s="298"/>
      <c r="J544" s="298"/>
      <c r="K544" s="298"/>
      <c r="L544" s="434"/>
      <c r="M544" s="298"/>
      <c r="N544" s="435"/>
      <c r="O544" s="436"/>
      <c r="P544" s="399"/>
      <c r="Q544" s="298"/>
      <c r="R544" s="298"/>
      <c r="S544" s="298"/>
    </row>
    <row r="545" ht="13.55" customHeight="1">
      <c r="A545" s="298"/>
      <c r="B545" s="298"/>
      <c r="C545" s="298"/>
      <c r="D545" s="298"/>
      <c r="E545" s="404"/>
      <c r="F545" s="298"/>
      <c r="G545" s="38"/>
      <c r="H545" s="433"/>
      <c r="I545" s="298"/>
      <c r="J545" s="298"/>
      <c r="K545" s="298"/>
      <c r="L545" s="434"/>
      <c r="M545" s="298"/>
      <c r="N545" s="435"/>
      <c r="O545" s="436"/>
      <c r="P545" s="399"/>
      <c r="Q545" s="298"/>
      <c r="R545" s="298"/>
      <c r="S545" s="298"/>
    </row>
    <row r="546" ht="13.55" customHeight="1">
      <c r="A546" s="298"/>
      <c r="B546" s="298"/>
      <c r="C546" s="298"/>
      <c r="D546" s="298"/>
      <c r="E546" s="404"/>
      <c r="F546" s="298"/>
      <c r="G546" s="38"/>
      <c r="H546" s="433"/>
      <c r="I546" s="298"/>
      <c r="J546" s="298"/>
      <c r="K546" s="298"/>
      <c r="L546" s="434"/>
      <c r="M546" s="298"/>
      <c r="N546" s="435"/>
      <c r="O546" s="436"/>
      <c r="P546" s="399"/>
      <c r="Q546" s="298"/>
      <c r="R546" s="298"/>
      <c r="S546" s="298"/>
    </row>
    <row r="547" ht="13.55" customHeight="1">
      <c r="A547" s="298"/>
      <c r="B547" s="298"/>
      <c r="C547" s="298"/>
      <c r="D547" s="298"/>
      <c r="E547" s="404"/>
      <c r="F547" s="298"/>
      <c r="G547" s="38"/>
      <c r="H547" s="433"/>
      <c r="I547" s="298"/>
      <c r="J547" s="298"/>
      <c r="K547" s="298"/>
      <c r="L547" s="434"/>
      <c r="M547" s="298"/>
      <c r="N547" s="435"/>
      <c r="O547" s="436"/>
      <c r="P547" s="399"/>
      <c r="Q547" s="298"/>
      <c r="R547" s="298"/>
      <c r="S547" s="298"/>
    </row>
    <row r="548" ht="13.55" customHeight="1">
      <c r="A548" s="298"/>
      <c r="B548" s="298"/>
      <c r="C548" s="298"/>
      <c r="D548" s="298"/>
      <c r="E548" s="404"/>
      <c r="F548" s="298"/>
      <c r="G548" s="38"/>
      <c r="H548" s="433"/>
      <c r="I548" s="298"/>
      <c r="J548" s="298"/>
      <c r="K548" s="298"/>
      <c r="L548" s="434"/>
      <c r="M548" s="298"/>
      <c r="N548" s="435"/>
      <c r="O548" s="436"/>
      <c r="P548" s="399"/>
      <c r="Q548" s="298"/>
      <c r="R548" s="298"/>
      <c r="S548" s="298"/>
    </row>
    <row r="549" ht="13.55" customHeight="1">
      <c r="A549" s="298"/>
      <c r="B549" s="298"/>
      <c r="C549" s="298"/>
      <c r="D549" s="298"/>
      <c r="E549" s="404"/>
      <c r="F549" s="298"/>
      <c r="G549" s="38"/>
      <c r="H549" s="433"/>
      <c r="I549" s="298"/>
      <c r="J549" s="298"/>
      <c r="K549" s="298"/>
      <c r="L549" s="434"/>
      <c r="M549" s="298"/>
      <c r="N549" s="435"/>
      <c r="O549" s="436"/>
      <c r="P549" s="399"/>
      <c r="Q549" s="298"/>
      <c r="R549" s="298"/>
      <c r="S549" s="298"/>
    </row>
    <row r="550" ht="13.55" customHeight="1">
      <c r="A550" s="298"/>
      <c r="B550" s="298"/>
      <c r="C550" s="298"/>
      <c r="D550" s="298"/>
      <c r="E550" s="404"/>
      <c r="F550" s="298"/>
      <c r="G550" s="38"/>
      <c r="H550" s="433"/>
      <c r="I550" s="298"/>
      <c r="J550" s="298"/>
      <c r="K550" s="298"/>
      <c r="L550" s="434"/>
      <c r="M550" s="298"/>
      <c r="N550" s="435"/>
      <c r="O550" s="436"/>
      <c r="P550" s="399"/>
      <c r="Q550" s="298"/>
      <c r="R550" s="298"/>
      <c r="S550" s="298"/>
    </row>
    <row r="551" ht="13.55" customHeight="1">
      <c r="A551" s="298"/>
      <c r="B551" s="298"/>
      <c r="C551" s="298"/>
      <c r="D551" s="298"/>
      <c r="E551" s="404"/>
      <c r="F551" s="298"/>
      <c r="G551" s="38"/>
      <c r="H551" s="433"/>
      <c r="I551" s="298"/>
      <c r="J551" s="298"/>
      <c r="K551" s="298"/>
      <c r="L551" s="434"/>
      <c r="M551" s="298"/>
      <c r="N551" s="435"/>
      <c r="O551" s="436"/>
      <c r="P551" s="399"/>
      <c r="Q551" s="298"/>
      <c r="R551" s="298"/>
      <c r="S551" s="298"/>
    </row>
    <row r="552" ht="13.55" customHeight="1">
      <c r="A552" s="298"/>
      <c r="B552" s="298"/>
      <c r="C552" s="298"/>
      <c r="D552" s="298"/>
      <c r="E552" s="404"/>
      <c r="F552" s="298"/>
      <c r="G552" s="38"/>
      <c r="H552" s="433"/>
      <c r="I552" s="298"/>
      <c r="J552" s="298"/>
      <c r="K552" s="298"/>
      <c r="L552" s="434"/>
      <c r="M552" s="298"/>
      <c r="N552" s="435"/>
      <c r="O552" s="436"/>
      <c r="P552" s="399"/>
      <c r="Q552" s="298"/>
      <c r="R552" s="298"/>
      <c r="S552" s="298"/>
    </row>
    <row r="553" ht="13.55" customHeight="1">
      <c r="A553" s="298"/>
      <c r="B553" s="298"/>
      <c r="C553" s="298"/>
      <c r="D553" s="298"/>
      <c r="E553" s="404"/>
      <c r="F553" s="298"/>
      <c r="G553" s="38"/>
      <c r="H553" s="433"/>
      <c r="I553" s="298"/>
      <c r="J553" s="298"/>
      <c r="K553" s="298"/>
      <c r="L553" s="434"/>
      <c r="M553" s="298"/>
      <c r="N553" s="435"/>
      <c r="O553" s="436"/>
      <c r="P553" s="399"/>
      <c r="Q553" s="298"/>
      <c r="R553" s="298"/>
      <c r="S553" s="298"/>
    </row>
    <row r="554" ht="13.55" customHeight="1">
      <c r="A554" s="298"/>
      <c r="B554" s="298"/>
      <c r="C554" s="298"/>
      <c r="D554" s="298"/>
      <c r="E554" s="404"/>
      <c r="F554" s="298"/>
      <c r="G554" s="38"/>
      <c r="H554" s="433"/>
      <c r="I554" s="298"/>
      <c r="J554" s="298"/>
      <c r="K554" s="298"/>
      <c r="L554" s="434"/>
      <c r="M554" s="298"/>
      <c r="N554" s="435"/>
      <c r="O554" s="436"/>
      <c r="P554" s="399"/>
      <c r="Q554" s="298"/>
      <c r="R554" s="298"/>
      <c r="S554" s="298"/>
    </row>
    <row r="555" ht="13.55" customHeight="1">
      <c r="A555" s="298"/>
      <c r="B555" s="298"/>
      <c r="C555" s="298"/>
      <c r="D555" s="298"/>
      <c r="E555" s="404"/>
      <c r="F555" s="298"/>
      <c r="G555" s="38"/>
      <c r="H555" s="433"/>
      <c r="I555" s="298"/>
      <c r="J555" s="298"/>
      <c r="K555" s="298"/>
      <c r="L555" s="434"/>
      <c r="M555" s="298"/>
      <c r="N555" s="435"/>
      <c r="O555" s="436"/>
      <c r="P555" s="399"/>
      <c r="Q555" s="298"/>
      <c r="R555" s="298"/>
      <c r="S555" s="298"/>
    </row>
    <row r="556" ht="13.55" customHeight="1">
      <c r="A556" s="298"/>
      <c r="B556" s="298"/>
      <c r="C556" s="298"/>
      <c r="D556" s="298"/>
      <c r="E556" s="404"/>
      <c r="F556" s="298"/>
      <c r="G556" s="38"/>
      <c r="H556" s="433"/>
      <c r="I556" s="298"/>
      <c r="J556" s="298"/>
      <c r="K556" s="298"/>
      <c r="L556" s="434"/>
      <c r="M556" s="298"/>
      <c r="N556" s="435"/>
      <c r="O556" s="436"/>
      <c r="P556" s="399"/>
      <c r="Q556" s="298"/>
      <c r="R556" s="298"/>
      <c r="S556" s="298"/>
    </row>
    <row r="557" ht="13.55" customHeight="1">
      <c r="A557" s="298"/>
      <c r="B557" s="298"/>
      <c r="C557" s="298"/>
      <c r="D557" s="298"/>
      <c r="E557" s="404"/>
      <c r="F557" s="298"/>
      <c r="G557" s="38"/>
      <c r="H557" s="433"/>
      <c r="I557" s="298"/>
      <c r="J557" s="298"/>
      <c r="K557" s="298"/>
      <c r="L557" s="434"/>
      <c r="M557" s="298"/>
      <c r="N557" s="435"/>
      <c r="O557" s="436"/>
      <c r="P557" s="399"/>
      <c r="Q557" s="298"/>
      <c r="R557" s="298"/>
      <c r="S557" s="298"/>
    </row>
    <row r="558" ht="13.55" customHeight="1">
      <c r="A558" s="298"/>
      <c r="B558" s="298"/>
      <c r="C558" s="298"/>
      <c r="D558" s="298"/>
      <c r="E558" s="404"/>
      <c r="F558" s="298"/>
      <c r="G558" s="38"/>
      <c r="H558" s="433"/>
      <c r="I558" s="298"/>
      <c r="J558" s="298"/>
      <c r="K558" s="298"/>
      <c r="L558" s="434"/>
      <c r="M558" s="298"/>
      <c r="N558" s="435"/>
      <c r="O558" s="436"/>
      <c r="P558" s="399"/>
      <c r="Q558" s="298"/>
      <c r="R558" s="298"/>
      <c r="S558" s="298"/>
    </row>
    <row r="559" ht="13.55" customHeight="1">
      <c r="A559" s="298"/>
      <c r="B559" s="298"/>
      <c r="C559" s="298"/>
      <c r="D559" s="298"/>
      <c r="E559" s="404"/>
      <c r="F559" s="298"/>
      <c r="G559" s="38"/>
      <c r="H559" s="433"/>
      <c r="I559" s="298"/>
      <c r="J559" s="298"/>
      <c r="K559" s="298"/>
      <c r="L559" s="434"/>
      <c r="M559" s="298"/>
      <c r="N559" s="435"/>
      <c r="O559" s="436"/>
      <c r="P559" s="399"/>
      <c r="Q559" s="298"/>
      <c r="R559" s="298"/>
      <c r="S559" s="298"/>
    </row>
    <row r="560" ht="13.55" customHeight="1">
      <c r="A560" s="298"/>
      <c r="B560" s="298"/>
      <c r="C560" s="298"/>
      <c r="D560" s="298"/>
      <c r="E560" s="404"/>
      <c r="F560" s="298"/>
      <c r="G560" s="38"/>
      <c r="H560" s="433"/>
      <c r="I560" s="298"/>
      <c r="J560" s="298"/>
      <c r="K560" s="298"/>
      <c r="L560" s="434"/>
      <c r="M560" s="298"/>
      <c r="N560" s="435"/>
      <c r="O560" s="436"/>
      <c r="P560" s="399"/>
      <c r="Q560" s="298"/>
      <c r="R560" s="298"/>
      <c r="S560" s="298"/>
    </row>
    <row r="561" ht="13.55" customHeight="1">
      <c r="A561" s="298"/>
      <c r="B561" s="298"/>
      <c r="C561" s="298"/>
      <c r="D561" s="298"/>
      <c r="E561" s="404"/>
      <c r="F561" s="298"/>
      <c r="G561" s="38"/>
      <c r="H561" s="433"/>
      <c r="I561" s="298"/>
      <c r="J561" s="298"/>
      <c r="K561" s="298"/>
      <c r="L561" s="434"/>
      <c r="M561" s="298"/>
      <c r="N561" s="435"/>
      <c r="O561" s="436"/>
      <c r="P561" s="399"/>
      <c r="Q561" s="298"/>
      <c r="R561" s="298"/>
      <c r="S561" s="298"/>
    </row>
    <row r="562" ht="13.55" customHeight="1">
      <c r="A562" s="298"/>
      <c r="B562" s="298"/>
      <c r="C562" s="298"/>
      <c r="D562" s="298"/>
      <c r="E562" s="404"/>
      <c r="F562" s="298"/>
      <c r="G562" s="38"/>
      <c r="H562" s="433"/>
      <c r="I562" s="298"/>
      <c r="J562" s="298"/>
      <c r="K562" s="298"/>
      <c r="L562" s="434"/>
      <c r="M562" s="298"/>
      <c r="N562" s="435"/>
      <c r="O562" s="436"/>
      <c r="P562" s="399"/>
      <c r="Q562" s="298"/>
      <c r="R562" s="298"/>
      <c r="S562" s="298"/>
    </row>
    <row r="563" ht="13.55" customHeight="1">
      <c r="A563" s="298"/>
      <c r="B563" s="298"/>
      <c r="C563" s="298"/>
      <c r="D563" s="298"/>
      <c r="E563" s="404"/>
      <c r="F563" s="298"/>
      <c r="G563" s="38"/>
      <c r="H563" s="433"/>
      <c r="I563" s="298"/>
      <c r="J563" s="298"/>
      <c r="K563" s="298"/>
      <c r="L563" s="434"/>
      <c r="M563" s="298"/>
      <c r="N563" s="435"/>
      <c r="O563" s="436"/>
      <c r="P563" s="399"/>
      <c r="Q563" s="298"/>
      <c r="R563" s="298"/>
      <c r="S563" s="298"/>
    </row>
    <row r="564" ht="13.55" customHeight="1">
      <c r="A564" s="298"/>
      <c r="B564" s="298"/>
      <c r="C564" s="298"/>
      <c r="D564" s="298"/>
      <c r="E564" s="404"/>
      <c r="F564" s="298"/>
      <c r="G564" s="38"/>
      <c r="H564" s="433"/>
      <c r="I564" s="298"/>
      <c r="J564" s="298"/>
      <c r="K564" s="298"/>
      <c r="L564" s="434"/>
      <c r="M564" s="298"/>
      <c r="N564" s="435"/>
      <c r="O564" s="436"/>
      <c r="P564" s="399"/>
      <c r="Q564" s="298"/>
      <c r="R564" s="298"/>
      <c r="S564" s="298"/>
    </row>
    <row r="565" ht="13.55" customHeight="1">
      <c r="A565" s="298"/>
      <c r="B565" s="298"/>
      <c r="C565" s="298"/>
      <c r="D565" s="298"/>
      <c r="E565" s="404"/>
      <c r="F565" s="298"/>
      <c r="G565" s="38"/>
      <c r="H565" s="433"/>
      <c r="I565" s="298"/>
      <c r="J565" s="298"/>
      <c r="K565" s="298"/>
      <c r="L565" s="434"/>
      <c r="M565" s="298"/>
      <c r="N565" s="435"/>
      <c r="O565" s="436"/>
      <c r="P565" s="399"/>
      <c r="Q565" s="298"/>
      <c r="R565" s="298"/>
      <c r="S565" s="298"/>
    </row>
    <row r="566" ht="13.55" customHeight="1">
      <c r="A566" s="298"/>
      <c r="B566" s="298"/>
      <c r="C566" s="298"/>
      <c r="D566" s="298"/>
      <c r="E566" s="404"/>
      <c r="F566" s="298"/>
      <c r="G566" s="38"/>
      <c r="H566" s="433"/>
      <c r="I566" s="298"/>
      <c r="J566" s="298"/>
      <c r="K566" s="298"/>
      <c r="L566" s="434"/>
      <c r="M566" s="298"/>
      <c r="N566" s="435"/>
      <c r="O566" s="436"/>
      <c r="P566" s="399"/>
      <c r="Q566" s="298"/>
      <c r="R566" s="298"/>
      <c r="S566" s="298"/>
    </row>
    <row r="567" ht="13.55" customHeight="1">
      <c r="A567" s="298"/>
      <c r="B567" s="298"/>
      <c r="C567" s="298"/>
      <c r="D567" s="298"/>
      <c r="E567" s="404"/>
      <c r="F567" s="298"/>
      <c r="G567" s="38"/>
      <c r="H567" s="433"/>
      <c r="I567" s="298"/>
      <c r="J567" s="298"/>
      <c r="K567" s="298"/>
      <c r="L567" s="434"/>
      <c r="M567" s="298"/>
      <c r="N567" s="435"/>
      <c r="O567" s="436"/>
      <c r="P567" s="399"/>
      <c r="Q567" s="298"/>
      <c r="R567" s="298"/>
      <c r="S567" s="298"/>
    </row>
    <row r="568" ht="13.55" customHeight="1">
      <c r="A568" s="298"/>
      <c r="B568" s="298"/>
      <c r="C568" s="298"/>
      <c r="D568" s="298"/>
      <c r="E568" s="404"/>
      <c r="F568" s="298"/>
      <c r="G568" s="38"/>
      <c r="H568" s="433"/>
      <c r="I568" s="298"/>
      <c r="J568" s="298"/>
      <c r="K568" s="298"/>
      <c r="L568" s="434"/>
      <c r="M568" s="298"/>
      <c r="N568" s="435"/>
      <c r="O568" s="436"/>
      <c r="P568" s="399"/>
      <c r="Q568" s="298"/>
      <c r="R568" s="298"/>
      <c r="S568" s="298"/>
    </row>
    <row r="569" ht="13.55" customHeight="1">
      <c r="A569" s="298"/>
      <c r="B569" s="298"/>
      <c r="C569" s="298"/>
      <c r="D569" s="298"/>
      <c r="E569" s="404"/>
      <c r="F569" s="298"/>
      <c r="G569" s="38"/>
      <c r="H569" s="433"/>
      <c r="I569" s="298"/>
      <c r="J569" s="298"/>
      <c r="K569" s="298"/>
      <c r="L569" s="434"/>
      <c r="M569" s="298"/>
      <c r="N569" s="435"/>
      <c r="O569" s="436"/>
      <c r="P569" s="399"/>
      <c r="Q569" s="298"/>
      <c r="R569" s="298"/>
      <c r="S569" s="298"/>
    </row>
    <row r="570" ht="13.55" customHeight="1">
      <c r="A570" s="298"/>
      <c r="B570" s="298"/>
      <c r="C570" s="298"/>
      <c r="D570" s="298"/>
      <c r="E570" s="404"/>
      <c r="F570" s="298"/>
      <c r="G570" s="38"/>
      <c r="H570" s="433"/>
      <c r="I570" s="298"/>
      <c r="J570" s="298"/>
      <c r="K570" s="298"/>
      <c r="L570" s="434"/>
      <c r="M570" s="298"/>
      <c r="N570" s="435"/>
      <c r="O570" s="436"/>
      <c r="P570" s="399"/>
      <c r="Q570" s="298"/>
      <c r="R570" s="298"/>
      <c r="S570" s="298"/>
    </row>
    <row r="571" ht="13.55" customHeight="1">
      <c r="A571" s="298"/>
      <c r="B571" s="298"/>
      <c r="C571" s="298"/>
      <c r="D571" s="298"/>
      <c r="E571" s="404"/>
      <c r="F571" s="298"/>
      <c r="G571" s="38"/>
      <c r="H571" s="433"/>
      <c r="I571" s="298"/>
      <c r="J571" s="298"/>
      <c r="K571" s="298"/>
      <c r="L571" s="434"/>
      <c r="M571" s="298"/>
      <c r="N571" s="435"/>
      <c r="O571" s="436"/>
      <c r="P571" s="399"/>
      <c r="Q571" s="298"/>
      <c r="R571" s="298"/>
      <c r="S571" s="298"/>
    </row>
    <row r="572" ht="13.55" customHeight="1">
      <c r="A572" s="298"/>
      <c r="B572" s="298"/>
      <c r="C572" s="298"/>
      <c r="D572" s="298"/>
      <c r="E572" s="404"/>
      <c r="F572" s="298"/>
      <c r="G572" s="38"/>
      <c r="H572" s="433"/>
      <c r="I572" s="298"/>
      <c r="J572" s="298"/>
      <c r="K572" s="298"/>
      <c r="L572" s="434"/>
      <c r="M572" s="298"/>
      <c r="N572" s="435"/>
      <c r="O572" s="436"/>
      <c r="P572" s="399"/>
      <c r="Q572" s="298"/>
      <c r="R572" s="298"/>
      <c r="S572" s="298"/>
    </row>
    <row r="573" ht="13.55" customHeight="1">
      <c r="A573" s="298"/>
      <c r="B573" s="298"/>
      <c r="C573" s="298"/>
      <c r="D573" s="298"/>
      <c r="E573" s="404"/>
      <c r="F573" s="298"/>
      <c r="G573" s="38"/>
      <c r="H573" s="433"/>
      <c r="I573" s="298"/>
      <c r="J573" s="298"/>
      <c r="K573" s="298"/>
      <c r="L573" s="434"/>
      <c r="M573" s="298"/>
      <c r="N573" s="435"/>
      <c r="O573" s="436"/>
      <c r="P573" s="399"/>
      <c r="Q573" s="298"/>
      <c r="R573" s="298"/>
      <c r="S573" s="298"/>
    </row>
    <row r="574" ht="13.55" customHeight="1">
      <c r="A574" s="298"/>
      <c r="B574" s="298"/>
      <c r="C574" s="298"/>
      <c r="D574" s="298"/>
      <c r="E574" s="404"/>
      <c r="F574" s="298"/>
      <c r="G574" s="38"/>
      <c r="H574" s="433"/>
      <c r="I574" s="298"/>
      <c r="J574" s="298"/>
      <c r="K574" s="298"/>
      <c r="L574" s="434"/>
      <c r="M574" s="298"/>
      <c r="N574" s="435"/>
      <c r="O574" s="436"/>
      <c r="P574" s="399"/>
      <c r="Q574" s="298"/>
      <c r="R574" s="298"/>
      <c r="S574" s="298"/>
    </row>
    <row r="575" ht="13.55" customHeight="1">
      <c r="A575" s="298"/>
      <c r="B575" s="298"/>
      <c r="C575" s="298"/>
      <c r="D575" s="298"/>
      <c r="E575" s="404"/>
      <c r="F575" s="298"/>
      <c r="G575" s="38"/>
      <c r="H575" s="433"/>
      <c r="I575" s="298"/>
      <c r="J575" s="298"/>
      <c r="K575" s="298"/>
      <c r="L575" s="434"/>
      <c r="M575" s="298"/>
      <c r="N575" s="435"/>
      <c r="O575" s="436"/>
      <c r="P575" s="399"/>
      <c r="Q575" s="298"/>
      <c r="R575" s="298"/>
      <c r="S575" s="298"/>
    </row>
    <row r="576" ht="13.55" customHeight="1">
      <c r="A576" s="298"/>
      <c r="B576" s="298"/>
      <c r="C576" s="298"/>
      <c r="D576" s="298"/>
      <c r="E576" s="404"/>
      <c r="F576" s="298"/>
      <c r="G576" s="38"/>
      <c r="H576" s="433"/>
      <c r="I576" s="298"/>
      <c r="J576" s="298"/>
      <c r="K576" s="298"/>
      <c r="L576" s="434"/>
      <c r="M576" s="298"/>
      <c r="N576" s="435"/>
      <c r="O576" s="436"/>
      <c r="P576" s="399"/>
      <c r="Q576" s="298"/>
      <c r="R576" s="298"/>
      <c r="S576" s="298"/>
    </row>
    <row r="577" ht="13.55" customHeight="1">
      <c r="A577" s="298"/>
      <c r="B577" s="298"/>
      <c r="C577" s="298"/>
      <c r="D577" s="298"/>
      <c r="E577" s="404"/>
      <c r="F577" s="298"/>
      <c r="G577" s="38"/>
      <c r="H577" s="433"/>
      <c r="I577" s="298"/>
      <c r="J577" s="298"/>
      <c r="K577" s="298"/>
      <c r="L577" s="434"/>
      <c r="M577" s="298"/>
      <c r="N577" s="435"/>
      <c r="O577" s="436"/>
      <c r="P577" s="399"/>
      <c r="Q577" s="298"/>
      <c r="R577" s="298"/>
      <c r="S577" s="298"/>
    </row>
    <row r="578" ht="13.55" customHeight="1">
      <c r="A578" s="298"/>
      <c r="B578" s="298"/>
      <c r="C578" s="298"/>
      <c r="D578" s="298"/>
      <c r="E578" s="404"/>
      <c r="F578" s="298"/>
      <c r="G578" s="38"/>
      <c r="H578" s="433"/>
      <c r="I578" s="298"/>
      <c r="J578" s="298"/>
      <c r="K578" s="298"/>
      <c r="L578" s="434"/>
      <c r="M578" s="298"/>
      <c r="N578" s="435"/>
      <c r="O578" s="436"/>
      <c r="P578" s="399"/>
      <c r="Q578" s="298"/>
      <c r="R578" s="298"/>
      <c r="S578" s="298"/>
    </row>
    <row r="579" ht="13.55" customHeight="1">
      <c r="A579" s="298"/>
      <c r="B579" s="298"/>
      <c r="C579" s="298"/>
      <c r="D579" s="298"/>
      <c r="E579" s="404"/>
      <c r="F579" s="298"/>
      <c r="G579" s="38"/>
      <c r="H579" s="433"/>
      <c r="I579" s="298"/>
      <c r="J579" s="298"/>
      <c r="K579" s="298"/>
      <c r="L579" s="434"/>
      <c r="M579" s="298"/>
      <c r="N579" s="435"/>
      <c r="O579" s="436"/>
      <c r="P579" s="399"/>
      <c r="Q579" s="298"/>
      <c r="R579" s="298"/>
      <c r="S579" s="298"/>
    </row>
    <row r="580" ht="13.55" customHeight="1">
      <c r="A580" s="298"/>
      <c r="B580" s="298"/>
      <c r="C580" s="298"/>
      <c r="D580" s="298"/>
      <c r="E580" s="404"/>
      <c r="F580" s="298"/>
      <c r="G580" s="38"/>
      <c r="H580" s="433"/>
      <c r="I580" s="298"/>
      <c r="J580" s="298"/>
      <c r="K580" s="298"/>
      <c r="L580" s="434"/>
      <c r="M580" s="298"/>
      <c r="N580" s="435"/>
      <c r="O580" s="436"/>
      <c r="P580" s="399"/>
      <c r="Q580" s="298"/>
      <c r="R580" s="298"/>
      <c r="S580" s="298"/>
    </row>
    <row r="581" ht="13.55" customHeight="1">
      <c r="A581" s="298"/>
      <c r="B581" s="298"/>
      <c r="C581" s="298"/>
      <c r="D581" s="298"/>
      <c r="E581" s="404"/>
      <c r="F581" s="298"/>
      <c r="G581" s="38"/>
      <c r="H581" s="433"/>
      <c r="I581" s="298"/>
      <c r="J581" s="298"/>
      <c r="K581" s="298"/>
      <c r="L581" s="434"/>
      <c r="M581" s="298"/>
      <c r="N581" s="435"/>
      <c r="O581" s="436"/>
      <c r="P581" s="399"/>
      <c r="Q581" s="298"/>
      <c r="R581" s="298"/>
      <c r="S581" s="298"/>
    </row>
    <row r="582" ht="13.55" customHeight="1">
      <c r="A582" s="298"/>
      <c r="B582" s="298"/>
      <c r="C582" s="298"/>
      <c r="D582" s="298"/>
      <c r="E582" s="404"/>
      <c r="F582" s="298"/>
      <c r="G582" s="38"/>
      <c r="H582" s="433"/>
      <c r="I582" s="298"/>
      <c r="J582" s="298"/>
      <c r="K582" s="298"/>
      <c r="L582" s="434"/>
      <c r="M582" s="298"/>
      <c r="N582" s="435"/>
      <c r="O582" s="436"/>
      <c r="P582" s="399"/>
      <c r="Q582" s="298"/>
      <c r="R582" s="298"/>
      <c r="S582" s="298"/>
    </row>
    <row r="583" ht="13.55" customHeight="1">
      <c r="A583" s="298"/>
      <c r="B583" s="298"/>
      <c r="C583" s="298"/>
      <c r="D583" s="298"/>
      <c r="E583" s="404"/>
      <c r="F583" s="298"/>
      <c r="G583" s="38"/>
      <c r="H583" s="433"/>
      <c r="I583" s="298"/>
      <c r="J583" s="298"/>
      <c r="K583" s="298"/>
      <c r="L583" s="434"/>
      <c r="M583" s="298"/>
      <c r="N583" s="435"/>
      <c r="O583" s="436"/>
      <c r="P583" s="399"/>
      <c r="Q583" s="298"/>
      <c r="R583" s="298"/>
      <c r="S583" s="298"/>
    </row>
    <row r="584" ht="13.55" customHeight="1">
      <c r="A584" s="298"/>
      <c r="B584" s="298"/>
      <c r="C584" s="298"/>
      <c r="D584" s="298"/>
      <c r="E584" s="404"/>
      <c r="F584" s="298"/>
      <c r="G584" s="38"/>
      <c r="H584" s="433"/>
      <c r="I584" s="298"/>
      <c r="J584" s="298"/>
      <c r="K584" s="298"/>
      <c r="L584" s="434"/>
      <c r="M584" s="298"/>
      <c r="N584" s="435"/>
      <c r="O584" s="436"/>
      <c r="P584" s="399"/>
      <c r="Q584" s="298"/>
      <c r="R584" s="298"/>
      <c r="S584" s="298"/>
    </row>
    <row r="585" ht="13.55" customHeight="1">
      <c r="A585" s="298"/>
      <c r="B585" s="298"/>
      <c r="C585" s="298"/>
      <c r="D585" s="298"/>
      <c r="E585" s="404"/>
      <c r="F585" s="298"/>
      <c r="G585" s="38"/>
      <c r="H585" s="433"/>
      <c r="I585" s="298"/>
      <c r="J585" s="298"/>
      <c r="K585" s="298"/>
      <c r="L585" s="434"/>
      <c r="M585" s="298"/>
      <c r="N585" s="435"/>
      <c r="O585" s="436"/>
      <c r="P585" s="399"/>
      <c r="Q585" s="298"/>
      <c r="R585" s="298"/>
      <c r="S585" s="298"/>
    </row>
    <row r="586" ht="13.55" customHeight="1">
      <c r="A586" s="298"/>
      <c r="B586" s="298"/>
      <c r="C586" s="298"/>
      <c r="D586" s="298"/>
      <c r="E586" s="404"/>
      <c r="F586" s="298"/>
      <c r="G586" s="38"/>
      <c r="H586" s="433"/>
      <c r="I586" s="298"/>
      <c r="J586" s="298"/>
      <c r="K586" s="298"/>
      <c r="L586" s="434"/>
      <c r="M586" s="298"/>
      <c r="N586" s="435"/>
      <c r="O586" s="436"/>
      <c r="P586" s="399"/>
      <c r="Q586" s="298"/>
      <c r="R586" s="298"/>
      <c r="S586" s="298"/>
    </row>
    <row r="587" ht="13.55" customHeight="1">
      <c r="A587" s="298"/>
      <c r="B587" s="298"/>
      <c r="C587" s="298"/>
      <c r="D587" s="298"/>
      <c r="E587" s="404"/>
      <c r="F587" s="298"/>
      <c r="G587" s="38"/>
      <c r="H587" s="433"/>
      <c r="I587" s="298"/>
      <c r="J587" s="298"/>
      <c r="K587" s="298"/>
      <c r="L587" s="434"/>
      <c r="M587" s="298"/>
      <c r="N587" s="435"/>
      <c r="O587" s="436"/>
      <c r="P587" s="399"/>
      <c r="Q587" s="298"/>
      <c r="R587" s="298"/>
      <c r="S587" s="298"/>
    </row>
    <row r="588" ht="13.55" customHeight="1">
      <c r="A588" s="298"/>
      <c r="B588" s="298"/>
      <c r="C588" s="298"/>
      <c r="D588" s="298"/>
      <c r="E588" s="404"/>
      <c r="F588" s="298"/>
      <c r="G588" s="38"/>
      <c r="H588" s="433"/>
      <c r="I588" s="298"/>
      <c r="J588" s="298"/>
      <c r="K588" s="298"/>
      <c r="L588" s="434"/>
      <c r="M588" s="298"/>
      <c r="N588" s="435"/>
      <c r="O588" s="436"/>
      <c r="P588" s="399"/>
      <c r="Q588" s="298"/>
      <c r="R588" s="298"/>
      <c r="S588" s="298"/>
    </row>
    <row r="589" ht="13.55" customHeight="1">
      <c r="A589" s="298"/>
      <c r="B589" s="298"/>
      <c r="C589" s="298"/>
      <c r="D589" s="298"/>
      <c r="E589" s="404"/>
      <c r="F589" s="298"/>
      <c r="G589" s="38"/>
      <c r="H589" s="433"/>
      <c r="I589" s="298"/>
      <c r="J589" s="298"/>
      <c r="K589" s="298"/>
      <c r="L589" s="434"/>
      <c r="M589" s="298"/>
      <c r="N589" s="435"/>
      <c r="O589" s="436"/>
      <c r="P589" s="399"/>
      <c r="Q589" s="298"/>
      <c r="R589" s="298"/>
      <c r="S589" s="298"/>
    </row>
    <row r="590" ht="13.55" customHeight="1">
      <c r="A590" s="298"/>
      <c r="B590" s="298"/>
      <c r="C590" s="298"/>
      <c r="D590" s="298"/>
      <c r="E590" s="404"/>
      <c r="F590" s="298"/>
      <c r="G590" s="38"/>
      <c r="H590" s="433"/>
      <c r="I590" s="298"/>
      <c r="J590" s="298"/>
      <c r="K590" s="298"/>
      <c r="L590" s="434"/>
      <c r="M590" s="298"/>
      <c r="N590" s="435"/>
      <c r="O590" s="436"/>
      <c r="P590" s="399"/>
      <c r="Q590" s="298"/>
      <c r="R590" s="298"/>
      <c r="S590" s="298"/>
    </row>
    <row r="591" ht="13.55" customHeight="1">
      <c r="A591" s="298"/>
      <c r="B591" s="298"/>
      <c r="C591" s="298"/>
      <c r="D591" s="298"/>
      <c r="E591" s="404"/>
      <c r="F591" s="298"/>
      <c r="G591" s="38"/>
      <c r="H591" s="433"/>
      <c r="I591" s="298"/>
      <c r="J591" s="298"/>
      <c r="K591" s="298"/>
      <c r="L591" s="434"/>
      <c r="M591" s="298"/>
      <c r="N591" s="435"/>
      <c r="O591" s="436"/>
      <c r="P591" s="399"/>
      <c r="Q591" s="298"/>
      <c r="R591" s="298"/>
      <c r="S591" s="298"/>
    </row>
    <row r="592" ht="13.55" customHeight="1">
      <c r="A592" s="298"/>
      <c r="B592" s="298"/>
      <c r="C592" s="298"/>
      <c r="D592" s="298"/>
      <c r="E592" s="404"/>
      <c r="F592" s="298"/>
      <c r="G592" s="38"/>
      <c r="H592" s="433"/>
      <c r="I592" s="298"/>
      <c r="J592" s="298"/>
      <c r="K592" s="298"/>
      <c r="L592" s="434"/>
      <c r="M592" s="298"/>
      <c r="N592" s="435"/>
      <c r="O592" s="436"/>
      <c r="P592" s="399"/>
      <c r="Q592" s="298"/>
      <c r="R592" s="298"/>
      <c r="S592" s="298"/>
    </row>
    <row r="593" ht="13.55" customHeight="1">
      <c r="A593" s="298"/>
      <c r="B593" s="298"/>
      <c r="C593" s="298"/>
      <c r="D593" s="298"/>
      <c r="E593" s="404"/>
      <c r="F593" s="298"/>
      <c r="G593" s="38"/>
      <c r="H593" s="433"/>
      <c r="I593" s="298"/>
      <c r="J593" s="298"/>
      <c r="K593" s="298"/>
      <c r="L593" s="434"/>
      <c r="M593" s="298"/>
      <c r="N593" s="435"/>
      <c r="O593" s="436"/>
      <c r="P593" s="399"/>
      <c r="Q593" s="298"/>
      <c r="R593" s="298"/>
      <c r="S593" s="298"/>
    </row>
    <row r="594" ht="13.55" customHeight="1">
      <c r="A594" s="298"/>
      <c r="B594" s="298"/>
      <c r="C594" s="298"/>
      <c r="D594" s="298"/>
      <c r="E594" s="404"/>
      <c r="F594" s="298"/>
      <c r="G594" s="38"/>
      <c r="H594" s="433"/>
      <c r="I594" s="298"/>
      <c r="J594" s="298"/>
      <c r="K594" s="298"/>
      <c r="L594" s="434"/>
      <c r="M594" s="298"/>
      <c r="N594" s="435"/>
      <c r="O594" s="436"/>
      <c r="P594" s="399"/>
      <c r="Q594" s="298"/>
      <c r="R594" s="298"/>
      <c r="S594" s="298"/>
    </row>
    <row r="595" ht="13.55" customHeight="1">
      <c r="A595" s="298"/>
      <c r="B595" s="298"/>
      <c r="C595" s="298"/>
      <c r="D595" s="298"/>
      <c r="E595" s="404"/>
      <c r="F595" s="298"/>
      <c r="G595" s="38"/>
      <c r="H595" s="433"/>
      <c r="I595" s="298"/>
      <c r="J595" s="298"/>
      <c r="K595" s="298"/>
      <c r="L595" s="434"/>
      <c r="M595" s="298"/>
      <c r="N595" s="435"/>
      <c r="O595" s="436"/>
      <c r="P595" s="399"/>
      <c r="Q595" s="298"/>
      <c r="R595" s="298"/>
      <c r="S595" s="298"/>
    </row>
    <row r="596" ht="13.55" customHeight="1">
      <c r="A596" s="298"/>
      <c r="B596" s="298"/>
      <c r="C596" s="298"/>
      <c r="D596" s="298"/>
      <c r="E596" s="404"/>
      <c r="F596" s="298"/>
      <c r="G596" s="38"/>
      <c r="H596" s="433"/>
      <c r="I596" s="298"/>
      <c r="J596" s="298"/>
      <c r="K596" s="298"/>
      <c r="L596" s="434"/>
      <c r="M596" s="298"/>
      <c r="N596" s="435"/>
      <c r="O596" s="436"/>
      <c r="P596" s="399"/>
      <c r="Q596" s="298"/>
      <c r="R596" s="298"/>
      <c r="S596" s="298"/>
    </row>
    <row r="597" ht="13.55" customHeight="1">
      <c r="A597" s="298"/>
      <c r="B597" s="298"/>
      <c r="C597" s="298"/>
      <c r="D597" s="298"/>
      <c r="E597" s="404"/>
      <c r="F597" s="298"/>
      <c r="G597" s="38"/>
      <c r="H597" s="433"/>
      <c r="I597" s="298"/>
      <c r="J597" s="298"/>
      <c r="K597" s="298"/>
      <c r="L597" s="434"/>
      <c r="M597" s="298"/>
      <c r="N597" s="435"/>
      <c r="O597" s="436"/>
      <c r="P597" s="399"/>
      <c r="Q597" s="298"/>
      <c r="R597" s="298"/>
      <c r="S597" s="298"/>
    </row>
    <row r="598" ht="13.55" customHeight="1">
      <c r="A598" s="298"/>
      <c r="B598" s="298"/>
      <c r="C598" s="298"/>
      <c r="D598" s="298"/>
      <c r="E598" s="404"/>
      <c r="F598" s="298"/>
      <c r="G598" s="38"/>
      <c r="H598" s="433"/>
      <c r="I598" s="298"/>
      <c r="J598" s="298"/>
      <c r="K598" s="298"/>
      <c r="L598" s="434"/>
      <c r="M598" s="298"/>
      <c r="N598" s="435"/>
      <c r="O598" s="436"/>
      <c r="P598" s="399"/>
      <c r="Q598" s="298"/>
      <c r="R598" s="298"/>
      <c r="S598" s="298"/>
    </row>
    <row r="599" ht="13.55" customHeight="1">
      <c r="A599" s="298"/>
      <c r="B599" s="298"/>
      <c r="C599" s="298"/>
      <c r="D599" s="298"/>
      <c r="E599" s="404"/>
      <c r="F599" s="298"/>
      <c r="G599" s="38"/>
      <c r="H599" s="433"/>
      <c r="I599" s="298"/>
      <c r="J599" s="298"/>
      <c r="K599" s="298"/>
      <c r="L599" s="434"/>
      <c r="M599" s="298"/>
      <c r="N599" s="435"/>
      <c r="O599" s="436"/>
      <c r="P599" s="399"/>
      <c r="Q599" s="298"/>
      <c r="R599" s="298"/>
      <c r="S599" s="298"/>
    </row>
    <row r="600" ht="13.55" customHeight="1">
      <c r="A600" s="298"/>
      <c r="B600" s="298"/>
      <c r="C600" s="298"/>
      <c r="D600" s="298"/>
      <c r="E600" s="404"/>
      <c r="F600" s="298"/>
      <c r="G600" s="38"/>
      <c r="H600" s="433"/>
      <c r="I600" s="298"/>
      <c r="J600" s="298"/>
      <c r="K600" s="298"/>
      <c r="L600" s="434"/>
      <c r="M600" s="298"/>
      <c r="N600" s="435"/>
      <c r="O600" s="436"/>
      <c r="P600" s="399"/>
      <c r="Q600" s="298"/>
      <c r="R600" s="298"/>
      <c r="S600" s="298"/>
    </row>
    <row r="601" ht="13.55" customHeight="1">
      <c r="A601" s="298"/>
      <c r="B601" s="298"/>
      <c r="C601" s="298"/>
      <c r="D601" s="298"/>
      <c r="E601" s="404"/>
      <c r="F601" s="298"/>
      <c r="G601" s="38"/>
      <c r="H601" s="433"/>
      <c r="I601" s="298"/>
      <c r="J601" s="298"/>
      <c r="K601" s="298"/>
      <c r="L601" s="434"/>
      <c r="M601" s="298"/>
      <c r="N601" s="435"/>
      <c r="O601" s="436"/>
      <c r="P601" s="399"/>
      <c r="Q601" s="298"/>
      <c r="R601" s="298"/>
      <c r="S601" s="298"/>
    </row>
    <row r="602" ht="13.55" customHeight="1">
      <c r="A602" s="298"/>
      <c r="B602" s="298"/>
      <c r="C602" s="298"/>
      <c r="D602" s="298"/>
      <c r="E602" s="404"/>
      <c r="F602" s="298"/>
      <c r="G602" s="38"/>
      <c r="H602" s="433"/>
      <c r="I602" s="298"/>
      <c r="J602" s="298"/>
      <c r="K602" s="298"/>
      <c r="L602" s="434"/>
      <c r="M602" s="298"/>
      <c r="N602" s="435"/>
      <c r="O602" s="436"/>
      <c r="P602" s="399"/>
      <c r="Q602" s="298"/>
      <c r="R602" s="298"/>
      <c r="S602" s="298"/>
    </row>
    <row r="603" ht="13.55" customHeight="1">
      <c r="A603" s="298"/>
      <c r="B603" s="298"/>
      <c r="C603" s="298"/>
      <c r="D603" s="298"/>
      <c r="E603" s="404"/>
      <c r="F603" s="298"/>
      <c r="G603" s="38"/>
      <c r="H603" s="433"/>
      <c r="I603" s="298"/>
      <c r="J603" s="298"/>
      <c r="K603" s="298"/>
      <c r="L603" s="434"/>
      <c r="M603" s="298"/>
      <c r="N603" s="435"/>
      <c r="O603" s="436"/>
      <c r="P603" s="399"/>
      <c r="Q603" s="298"/>
      <c r="R603" s="298"/>
      <c r="S603" s="298"/>
    </row>
    <row r="604" ht="13.55" customHeight="1">
      <c r="A604" s="298"/>
      <c r="B604" s="298"/>
      <c r="C604" s="298"/>
      <c r="D604" s="298"/>
      <c r="E604" s="404"/>
      <c r="F604" s="298"/>
      <c r="G604" s="38"/>
      <c r="H604" s="433"/>
      <c r="I604" s="298"/>
      <c r="J604" s="298"/>
      <c r="K604" s="298"/>
      <c r="L604" s="434"/>
      <c r="M604" s="298"/>
      <c r="N604" s="435"/>
      <c r="O604" s="436"/>
      <c r="P604" s="399"/>
      <c r="Q604" s="298"/>
      <c r="R604" s="298"/>
      <c r="S604" s="298"/>
    </row>
    <row r="605" ht="13.55" customHeight="1">
      <c r="A605" s="298"/>
      <c r="B605" s="298"/>
      <c r="C605" s="298"/>
      <c r="D605" s="298"/>
      <c r="E605" s="404"/>
      <c r="F605" s="298"/>
      <c r="G605" s="38"/>
      <c r="H605" s="433"/>
      <c r="I605" s="298"/>
      <c r="J605" s="298"/>
      <c r="K605" s="298"/>
      <c r="L605" s="434"/>
      <c r="M605" s="298"/>
      <c r="N605" s="435"/>
      <c r="O605" s="436"/>
      <c r="P605" s="399"/>
      <c r="Q605" s="298"/>
      <c r="R605" s="298"/>
      <c r="S605" s="298"/>
    </row>
    <row r="606" ht="13.55" customHeight="1">
      <c r="A606" s="298"/>
      <c r="B606" s="298"/>
      <c r="C606" s="298"/>
      <c r="D606" s="298"/>
      <c r="E606" s="404"/>
      <c r="F606" s="298"/>
      <c r="G606" s="38"/>
      <c r="H606" s="433"/>
      <c r="I606" s="298"/>
      <c r="J606" s="298"/>
      <c r="K606" s="298"/>
      <c r="L606" s="434"/>
      <c r="M606" s="298"/>
      <c r="N606" s="435"/>
      <c r="O606" s="436"/>
      <c r="P606" s="399"/>
      <c r="Q606" s="298"/>
      <c r="R606" s="298"/>
      <c r="S606" s="298"/>
    </row>
    <row r="607" ht="13.55" customHeight="1">
      <c r="A607" s="298"/>
      <c r="B607" s="298"/>
      <c r="C607" s="298"/>
      <c r="D607" s="298"/>
      <c r="E607" s="404"/>
      <c r="F607" s="298"/>
      <c r="G607" s="38"/>
      <c r="H607" s="433"/>
      <c r="I607" s="298"/>
      <c r="J607" s="298"/>
      <c r="K607" s="298"/>
      <c r="L607" s="434"/>
      <c r="M607" s="298"/>
      <c r="N607" s="435"/>
      <c r="O607" s="436"/>
      <c r="P607" s="399"/>
      <c r="Q607" s="298"/>
      <c r="R607" s="298"/>
      <c r="S607" s="298"/>
    </row>
    <row r="608" ht="13.55" customHeight="1">
      <c r="A608" s="298"/>
      <c r="B608" s="298"/>
      <c r="C608" s="298"/>
      <c r="D608" s="298"/>
      <c r="E608" s="404"/>
      <c r="F608" s="298"/>
      <c r="G608" s="38"/>
      <c r="H608" s="433"/>
      <c r="I608" s="298"/>
      <c r="J608" s="298"/>
      <c r="K608" s="298"/>
      <c r="L608" s="434"/>
      <c r="M608" s="298"/>
      <c r="N608" s="435"/>
      <c r="O608" s="436"/>
      <c r="P608" s="399"/>
      <c r="Q608" s="298"/>
      <c r="R608" s="298"/>
      <c r="S608" s="298"/>
    </row>
    <row r="609" ht="13.55" customHeight="1">
      <c r="A609" s="298"/>
      <c r="B609" s="298"/>
      <c r="C609" s="298"/>
      <c r="D609" s="298"/>
      <c r="E609" s="404"/>
      <c r="F609" s="298"/>
      <c r="G609" s="38"/>
      <c r="H609" s="433"/>
      <c r="I609" s="298"/>
      <c r="J609" s="298"/>
      <c r="K609" s="298"/>
      <c r="L609" s="434"/>
      <c r="M609" s="298"/>
      <c r="N609" s="435"/>
      <c r="O609" s="436"/>
      <c r="P609" s="399"/>
      <c r="Q609" s="298"/>
      <c r="R609" s="298"/>
      <c r="S609" s="298"/>
    </row>
    <row r="610" ht="13.55" customHeight="1">
      <c r="A610" s="298"/>
      <c r="B610" s="298"/>
      <c r="C610" s="298"/>
      <c r="D610" s="298"/>
      <c r="E610" s="404"/>
      <c r="F610" s="298"/>
      <c r="G610" s="38"/>
      <c r="H610" s="433"/>
      <c r="I610" s="298"/>
      <c r="J610" s="298"/>
      <c r="K610" s="298"/>
      <c r="L610" s="434"/>
      <c r="M610" s="298"/>
      <c r="N610" s="435"/>
      <c r="O610" s="436"/>
      <c r="P610" s="399"/>
      <c r="Q610" s="298"/>
      <c r="R610" s="298"/>
      <c r="S610" s="298"/>
    </row>
    <row r="611" ht="13.55" customHeight="1">
      <c r="A611" s="298"/>
      <c r="B611" s="298"/>
      <c r="C611" s="298"/>
      <c r="D611" s="298"/>
      <c r="E611" s="404"/>
      <c r="F611" s="298"/>
      <c r="G611" s="38"/>
      <c r="H611" s="433"/>
      <c r="I611" s="298"/>
      <c r="J611" s="298"/>
      <c r="K611" s="298"/>
      <c r="L611" s="434"/>
      <c r="M611" s="298"/>
      <c r="N611" s="435"/>
      <c r="O611" s="436"/>
      <c r="P611" s="399"/>
      <c r="Q611" s="298"/>
      <c r="R611" s="298"/>
      <c r="S611" s="298"/>
    </row>
    <row r="612" ht="13.55" customHeight="1">
      <c r="A612" s="298"/>
      <c r="B612" s="298"/>
      <c r="C612" s="298"/>
      <c r="D612" s="298"/>
      <c r="E612" s="404"/>
      <c r="F612" s="298"/>
      <c r="G612" s="38"/>
      <c r="H612" s="433"/>
      <c r="I612" s="298"/>
      <c r="J612" s="298"/>
      <c r="K612" s="298"/>
      <c r="L612" s="434"/>
      <c r="M612" s="298"/>
      <c r="N612" s="435"/>
      <c r="O612" s="436"/>
      <c r="P612" s="399"/>
      <c r="Q612" s="298"/>
      <c r="R612" s="298"/>
      <c r="S612" s="298"/>
    </row>
    <row r="613" ht="13.55" customHeight="1">
      <c r="A613" s="298"/>
      <c r="B613" s="298"/>
      <c r="C613" s="298"/>
      <c r="D613" s="298"/>
      <c r="E613" s="404"/>
      <c r="F613" s="298"/>
      <c r="G613" s="38"/>
      <c r="H613" s="433"/>
      <c r="I613" s="298"/>
      <c r="J613" s="298"/>
      <c r="K613" s="298"/>
      <c r="L613" s="434"/>
      <c r="M613" s="298"/>
      <c r="N613" s="435"/>
      <c r="O613" s="436"/>
      <c r="P613" s="399"/>
      <c r="Q613" s="298"/>
      <c r="R613" s="298"/>
      <c r="S613" s="298"/>
    </row>
    <row r="614" ht="13.55" customHeight="1">
      <c r="A614" s="298"/>
      <c r="B614" s="298"/>
      <c r="C614" s="298"/>
      <c r="D614" s="298"/>
      <c r="E614" s="404"/>
      <c r="F614" s="298"/>
      <c r="G614" s="38"/>
      <c r="H614" s="433"/>
      <c r="I614" s="298"/>
      <c r="J614" s="298"/>
      <c r="K614" s="298"/>
      <c r="L614" s="434"/>
      <c r="M614" s="298"/>
      <c r="N614" s="435"/>
      <c r="O614" s="436"/>
      <c r="P614" s="399"/>
      <c r="Q614" s="298"/>
      <c r="R614" s="298"/>
      <c r="S614" s="298"/>
    </row>
    <row r="615" ht="13.55" customHeight="1">
      <c r="A615" s="298"/>
      <c r="B615" s="298"/>
      <c r="C615" s="298"/>
      <c r="D615" s="298"/>
      <c r="E615" s="404"/>
      <c r="F615" s="298"/>
      <c r="G615" s="38"/>
      <c r="H615" s="433"/>
      <c r="I615" s="298"/>
      <c r="J615" s="298"/>
      <c r="K615" s="298"/>
      <c r="L615" s="434"/>
      <c r="M615" s="298"/>
      <c r="N615" s="435"/>
      <c r="O615" s="436"/>
      <c r="P615" s="399"/>
      <c r="Q615" s="298"/>
      <c r="R615" s="298"/>
      <c r="S615" s="298"/>
    </row>
    <row r="616" ht="13.55" customHeight="1">
      <c r="A616" s="298"/>
      <c r="B616" s="298"/>
      <c r="C616" s="298"/>
      <c r="D616" s="298"/>
      <c r="E616" s="404"/>
      <c r="F616" s="298"/>
      <c r="G616" s="38"/>
      <c r="H616" s="433"/>
      <c r="I616" s="298"/>
      <c r="J616" s="298"/>
      <c r="K616" s="298"/>
      <c r="L616" s="434"/>
      <c r="M616" s="298"/>
      <c r="N616" s="435"/>
      <c r="O616" s="436"/>
      <c r="P616" s="399"/>
      <c r="Q616" s="298"/>
      <c r="R616" s="298"/>
      <c r="S616" s="298"/>
    </row>
    <row r="617" ht="13.55" customHeight="1">
      <c r="A617" s="298"/>
      <c r="B617" s="298"/>
      <c r="C617" s="298"/>
      <c r="D617" s="298"/>
      <c r="E617" s="404"/>
      <c r="F617" s="298"/>
      <c r="G617" s="38"/>
      <c r="H617" s="433"/>
      <c r="I617" s="298"/>
      <c r="J617" s="298"/>
      <c r="K617" s="298"/>
      <c r="L617" s="434"/>
      <c r="M617" s="298"/>
      <c r="N617" s="435"/>
      <c r="O617" s="436"/>
      <c r="P617" s="399"/>
      <c r="Q617" s="298"/>
      <c r="R617" s="298"/>
      <c r="S617" s="298"/>
    </row>
    <row r="618" ht="13.55" customHeight="1">
      <c r="A618" s="298"/>
      <c r="B618" s="298"/>
      <c r="C618" s="298"/>
      <c r="D618" s="298"/>
      <c r="E618" s="404"/>
      <c r="F618" s="298"/>
      <c r="G618" s="38"/>
      <c r="H618" s="433"/>
      <c r="I618" s="298"/>
      <c r="J618" s="298"/>
      <c r="K618" s="298"/>
      <c r="L618" s="434"/>
      <c r="M618" s="298"/>
      <c r="N618" s="435"/>
      <c r="O618" s="436"/>
      <c r="P618" s="399"/>
      <c r="Q618" s="298"/>
      <c r="R618" s="298"/>
      <c r="S618" s="298"/>
    </row>
    <row r="619" ht="13.55" customHeight="1">
      <c r="A619" s="298"/>
      <c r="B619" s="298"/>
      <c r="C619" s="298"/>
      <c r="D619" s="298"/>
      <c r="E619" s="404"/>
      <c r="F619" s="298"/>
      <c r="G619" s="38"/>
      <c r="H619" s="433"/>
      <c r="I619" s="298"/>
      <c r="J619" s="298"/>
      <c r="K619" s="298"/>
      <c r="L619" s="434"/>
      <c r="M619" s="298"/>
      <c r="N619" s="435"/>
      <c r="O619" s="436"/>
      <c r="P619" s="399"/>
      <c r="Q619" s="298"/>
      <c r="R619" s="298"/>
      <c r="S619" s="298"/>
    </row>
    <row r="620" ht="13.55" customHeight="1">
      <c r="A620" s="298"/>
      <c r="B620" s="298"/>
      <c r="C620" s="298"/>
      <c r="D620" s="298"/>
      <c r="E620" s="404"/>
      <c r="F620" s="298"/>
      <c r="G620" s="38"/>
      <c r="H620" s="433"/>
      <c r="I620" s="298"/>
      <c r="J620" s="298"/>
      <c r="K620" s="298"/>
      <c r="L620" s="434"/>
      <c r="M620" s="298"/>
      <c r="N620" s="435"/>
      <c r="O620" s="436"/>
      <c r="P620" s="399"/>
      <c r="Q620" s="298"/>
      <c r="R620" s="298"/>
      <c r="S620" s="298"/>
    </row>
    <row r="621" ht="13.55" customHeight="1">
      <c r="A621" s="298"/>
      <c r="B621" s="298"/>
      <c r="C621" s="298"/>
      <c r="D621" s="298"/>
      <c r="E621" s="404"/>
      <c r="F621" s="298"/>
      <c r="G621" s="38"/>
      <c r="H621" s="433"/>
      <c r="I621" s="298"/>
      <c r="J621" s="298"/>
      <c r="K621" s="298"/>
      <c r="L621" s="434"/>
      <c r="M621" s="298"/>
      <c r="N621" s="435"/>
      <c r="O621" s="436"/>
      <c r="P621" s="399"/>
      <c r="Q621" s="298"/>
      <c r="R621" s="298"/>
      <c r="S621" s="298"/>
    </row>
    <row r="622" ht="13.55" customHeight="1">
      <c r="A622" s="298"/>
      <c r="B622" s="298"/>
      <c r="C622" s="298"/>
      <c r="D622" s="298"/>
      <c r="E622" s="404"/>
      <c r="F622" s="298"/>
      <c r="G622" s="38"/>
      <c r="H622" s="433"/>
      <c r="I622" s="298"/>
      <c r="J622" s="298"/>
      <c r="K622" s="298"/>
      <c r="L622" s="434"/>
      <c r="M622" s="298"/>
      <c r="N622" s="435"/>
      <c r="O622" s="436"/>
      <c r="P622" s="399"/>
      <c r="Q622" s="298"/>
      <c r="R622" s="298"/>
      <c r="S622" s="298"/>
    </row>
    <row r="623" ht="13.55" customHeight="1">
      <c r="A623" s="298"/>
      <c r="B623" s="298"/>
      <c r="C623" s="298"/>
      <c r="D623" s="298"/>
      <c r="E623" s="404"/>
      <c r="F623" s="298"/>
      <c r="G623" s="38"/>
      <c r="H623" s="433"/>
      <c r="I623" s="298"/>
      <c r="J623" s="298"/>
      <c r="K623" s="298"/>
      <c r="L623" s="434"/>
      <c r="M623" s="298"/>
      <c r="N623" s="435"/>
      <c r="O623" s="436"/>
      <c r="P623" s="399"/>
      <c r="Q623" s="298"/>
      <c r="R623" s="298"/>
      <c r="S623" s="298"/>
    </row>
    <row r="624" ht="13.55" customHeight="1">
      <c r="A624" s="298"/>
      <c r="B624" s="298"/>
      <c r="C624" s="298"/>
      <c r="D624" s="298"/>
      <c r="E624" s="404"/>
      <c r="F624" s="298"/>
      <c r="G624" s="38"/>
      <c r="H624" s="433"/>
      <c r="I624" s="298"/>
      <c r="J624" s="298"/>
      <c r="K624" s="298"/>
      <c r="L624" s="434"/>
      <c r="M624" s="298"/>
      <c r="N624" s="435"/>
      <c r="O624" s="436"/>
      <c r="P624" s="399"/>
      <c r="Q624" s="298"/>
      <c r="R624" s="298"/>
      <c r="S624" s="298"/>
    </row>
    <row r="625" ht="13.55" customHeight="1">
      <c r="A625" s="298"/>
      <c r="B625" s="298"/>
      <c r="C625" s="298"/>
      <c r="D625" s="298"/>
      <c r="E625" s="404"/>
      <c r="F625" s="298"/>
      <c r="G625" s="38"/>
      <c r="H625" s="433"/>
      <c r="I625" s="298"/>
      <c r="J625" s="298"/>
      <c r="K625" s="298"/>
      <c r="L625" s="434"/>
      <c r="M625" s="298"/>
      <c r="N625" s="435"/>
      <c r="O625" s="436"/>
      <c r="P625" s="399"/>
      <c r="Q625" s="298"/>
      <c r="R625" s="298"/>
      <c r="S625" s="298"/>
    </row>
    <row r="626" ht="13.55" customHeight="1">
      <c r="A626" s="298"/>
      <c r="B626" s="298"/>
      <c r="C626" s="298"/>
      <c r="D626" s="298"/>
      <c r="E626" s="404"/>
      <c r="F626" s="298"/>
      <c r="G626" s="38"/>
      <c r="H626" s="433"/>
      <c r="I626" s="298"/>
      <c r="J626" s="298"/>
      <c r="K626" s="298"/>
      <c r="L626" s="434"/>
      <c r="M626" s="298"/>
      <c r="N626" s="435"/>
      <c r="O626" s="436"/>
      <c r="P626" s="399"/>
      <c r="Q626" s="298"/>
      <c r="R626" s="298"/>
      <c r="S626" s="298"/>
    </row>
    <row r="627" ht="13.55" customHeight="1">
      <c r="A627" s="298"/>
      <c r="B627" s="298"/>
      <c r="C627" s="298"/>
      <c r="D627" s="298"/>
      <c r="E627" s="404"/>
      <c r="F627" s="298"/>
      <c r="G627" s="38"/>
      <c r="H627" s="433"/>
      <c r="I627" s="298"/>
      <c r="J627" s="298"/>
      <c r="K627" s="298"/>
      <c r="L627" s="434"/>
      <c r="M627" s="298"/>
      <c r="N627" s="435"/>
      <c r="O627" s="436"/>
      <c r="P627" s="399"/>
      <c r="Q627" s="298"/>
      <c r="R627" s="298"/>
      <c r="S627" s="298"/>
    </row>
    <row r="628" ht="13.55" customHeight="1">
      <c r="A628" s="298"/>
      <c r="B628" s="298"/>
      <c r="C628" s="298"/>
      <c r="D628" s="298"/>
      <c r="E628" s="404"/>
      <c r="F628" s="298"/>
      <c r="G628" s="38"/>
      <c r="H628" s="433"/>
      <c r="I628" s="298"/>
      <c r="J628" s="298"/>
      <c r="K628" s="298"/>
      <c r="L628" s="434"/>
      <c r="M628" s="298"/>
      <c r="N628" s="435"/>
      <c r="O628" s="436"/>
      <c r="P628" s="399"/>
      <c r="Q628" s="298"/>
      <c r="R628" s="298"/>
      <c r="S628" s="298"/>
    </row>
    <row r="629" ht="13.55" customHeight="1">
      <c r="A629" s="298"/>
      <c r="B629" s="298"/>
      <c r="C629" s="298"/>
      <c r="D629" s="298"/>
      <c r="E629" s="404"/>
      <c r="F629" s="298"/>
      <c r="G629" s="38"/>
      <c r="H629" s="433"/>
      <c r="I629" s="298"/>
      <c r="J629" s="298"/>
      <c r="K629" s="298"/>
      <c r="L629" s="434"/>
      <c r="M629" s="298"/>
      <c r="N629" s="435"/>
      <c r="O629" s="436"/>
      <c r="P629" s="399"/>
      <c r="Q629" s="298"/>
      <c r="R629" s="298"/>
      <c r="S629" s="298"/>
    </row>
    <row r="630" ht="13.55" customHeight="1">
      <c r="A630" s="298"/>
      <c r="B630" s="298"/>
      <c r="C630" s="298"/>
      <c r="D630" s="298"/>
      <c r="E630" s="404"/>
      <c r="F630" s="298"/>
      <c r="G630" s="38"/>
      <c r="H630" s="433"/>
      <c r="I630" s="298"/>
      <c r="J630" s="298"/>
      <c r="K630" s="298"/>
      <c r="L630" s="434"/>
      <c r="M630" s="298"/>
      <c r="N630" s="435"/>
      <c r="O630" s="436"/>
      <c r="P630" s="399"/>
      <c r="Q630" s="298"/>
      <c r="R630" s="298"/>
      <c r="S630" s="298"/>
    </row>
    <row r="631" ht="13.55" customHeight="1">
      <c r="A631" s="298"/>
      <c r="B631" s="298"/>
      <c r="C631" s="298"/>
      <c r="D631" s="298"/>
      <c r="E631" s="404"/>
      <c r="F631" s="298"/>
      <c r="G631" s="38"/>
      <c r="H631" s="433"/>
      <c r="I631" s="298"/>
      <c r="J631" s="298"/>
      <c r="K631" s="298"/>
      <c r="L631" s="434"/>
      <c r="M631" s="298"/>
      <c r="N631" s="435"/>
      <c r="O631" s="436"/>
      <c r="P631" s="399"/>
      <c r="Q631" s="298"/>
      <c r="R631" s="298"/>
      <c r="S631" s="298"/>
    </row>
    <row r="632" ht="13.55" customHeight="1">
      <c r="A632" s="298"/>
      <c r="B632" s="298"/>
      <c r="C632" s="298"/>
      <c r="D632" s="298"/>
      <c r="E632" s="404"/>
      <c r="F632" s="298"/>
      <c r="G632" s="38"/>
      <c r="H632" s="433"/>
      <c r="I632" s="298"/>
      <c r="J632" s="298"/>
      <c r="K632" s="298"/>
      <c r="L632" s="434"/>
      <c r="M632" s="298"/>
      <c r="N632" s="435"/>
      <c r="O632" s="436"/>
      <c r="P632" s="399"/>
      <c r="Q632" s="298"/>
      <c r="R632" s="298"/>
      <c r="S632" s="298"/>
    </row>
    <row r="633" ht="13.55" customHeight="1">
      <c r="A633" s="298"/>
      <c r="B633" s="298"/>
      <c r="C633" s="298"/>
      <c r="D633" s="298"/>
      <c r="E633" s="404"/>
      <c r="F633" s="298"/>
      <c r="G633" s="38"/>
      <c r="H633" s="433"/>
      <c r="I633" s="298"/>
      <c r="J633" s="298"/>
      <c r="K633" s="298"/>
      <c r="L633" s="434"/>
      <c r="M633" s="298"/>
      <c r="N633" s="435"/>
      <c r="O633" s="436"/>
      <c r="P633" s="399"/>
      <c r="Q633" s="298"/>
      <c r="R633" s="298"/>
      <c r="S633" s="298"/>
    </row>
    <row r="634" ht="13.55" customHeight="1">
      <c r="A634" s="298"/>
      <c r="B634" s="298"/>
      <c r="C634" s="298"/>
      <c r="D634" s="298"/>
      <c r="E634" s="404"/>
      <c r="F634" s="298"/>
      <c r="G634" s="38"/>
      <c r="H634" s="433"/>
      <c r="I634" s="298"/>
      <c r="J634" s="298"/>
      <c r="K634" s="298"/>
      <c r="L634" s="434"/>
      <c r="M634" s="298"/>
      <c r="N634" s="435"/>
      <c r="O634" s="436"/>
      <c r="P634" s="399"/>
      <c r="Q634" s="298"/>
      <c r="R634" s="298"/>
      <c r="S634" s="298"/>
    </row>
    <row r="635" ht="13.55" customHeight="1">
      <c r="A635" s="298"/>
      <c r="B635" s="298"/>
      <c r="C635" s="298"/>
      <c r="D635" s="298"/>
      <c r="E635" s="404"/>
      <c r="F635" s="298"/>
      <c r="G635" s="38"/>
      <c r="H635" s="433"/>
      <c r="I635" s="298"/>
      <c r="J635" s="298"/>
      <c r="K635" s="298"/>
      <c r="L635" s="434"/>
      <c r="M635" s="298"/>
      <c r="N635" s="435"/>
      <c r="O635" s="436"/>
      <c r="P635" s="399"/>
      <c r="Q635" s="298"/>
      <c r="R635" s="298"/>
      <c r="S635" s="298"/>
    </row>
    <row r="636" ht="13.55" customHeight="1">
      <c r="A636" s="298"/>
      <c r="B636" s="298"/>
      <c r="C636" s="298"/>
      <c r="D636" s="298"/>
      <c r="E636" s="404"/>
      <c r="F636" s="298"/>
      <c r="G636" s="38"/>
      <c r="H636" s="433"/>
      <c r="I636" s="298"/>
      <c r="J636" s="298"/>
      <c r="K636" s="298"/>
      <c r="L636" s="434"/>
      <c r="M636" s="298"/>
      <c r="N636" s="435"/>
      <c r="O636" s="436"/>
      <c r="P636" s="399"/>
      <c r="Q636" s="298"/>
      <c r="R636" s="298"/>
      <c r="S636" s="298"/>
    </row>
    <row r="637" ht="13.55" customHeight="1">
      <c r="A637" s="298"/>
      <c r="B637" s="298"/>
      <c r="C637" s="298"/>
      <c r="D637" s="298"/>
      <c r="E637" s="404"/>
      <c r="F637" s="298"/>
      <c r="G637" s="38"/>
      <c r="H637" s="433"/>
      <c r="I637" s="298"/>
      <c r="J637" s="298"/>
      <c r="K637" s="298"/>
      <c r="L637" s="434"/>
      <c r="M637" s="298"/>
      <c r="N637" s="435"/>
      <c r="O637" s="436"/>
      <c r="P637" s="399"/>
      <c r="Q637" s="298"/>
      <c r="R637" s="298"/>
      <c r="S637" s="298"/>
    </row>
    <row r="638" ht="13.55" customHeight="1">
      <c r="A638" s="298"/>
      <c r="B638" s="298"/>
      <c r="C638" s="298"/>
      <c r="D638" s="298"/>
      <c r="E638" s="404"/>
      <c r="F638" s="298"/>
      <c r="G638" s="38"/>
      <c r="H638" s="433"/>
      <c r="I638" s="298"/>
      <c r="J638" s="298"/>
      <c r="K638" s="298"/>
      <c r="L638" s="434"/>
      <c r="M638" s="298"/>
      <c r="N638" s="435"/>
      <c r="O638" s="436"/>
      <c r="P638" s="399"/>
      <c r="Q638" s="298"/>
      <c r="R638" s="298"/>
      <c r="S638" s="298"/>
    </row>
    <row r="639" ht="13.55" customHeight="1">
      <c r="A639" s="298"/>
      <c r="B639" s="298"/>
      <c r="C639" s="298"/>
      <c r="D639" s="298"/>
      <c r="E639" s="404"/>
      <c r="F639" s="298"/>
      <c r="G639" s="38"/>
      <c r="H639" s="433"/>
      <c r="I639" s="298"/>
      <c r="J639" s="298"/>
      <c r="K639" s="298"/>
      <c r="L639" s="434"/>
      <c r="M639" s="298"/>
      <c r="N639" s="435"/>
      <c r="O639" s="436"/>
      <c r="P639" s="399"/>
      <c r="Q639" s="298"/>
      <c r="R639" s="298"/>
      <c r="S639" s="298"/>
    </row>
    <row r="640" ht="13.55" customHeight="1">
      <c r="A640" s="298"/>
      <c r="B640" s="298"/>
      <c r="C640" s="298"/>
      <c r="D640" s="298"/>
      <c r="E640" s="404"/>
      <c r="F640" s="298"/>
      <c r="G640" s="38"/>
      <c r="H640" s="433"/>
      <c r="I640" s="298"/>
      <c r="J640" s="298"/>
      <c r="K640" s="298"/>
      <c r="L640" s="434"/>
      <c r="M640" s="298"/>
      <c r="N640" s="435"/>
      <c r="O640" s="436"/>
      <c r="P640" s="399"/>
      <c r="Q640" s="298"/>
      <c r="R640" s="298"/>
      <c r="S640" s="298"/>
    </row>
    <row r="641" ht="13.55" customHeight="1">
      <c r="A641" s="298"/>
      <c r="B641" s="298"/>
      <c r="C641" s="298"/>
      <c r="D641" s="298"/>
      <c r="E641" s="404"/>
      <c r="F641" s="298"/>
      <c r="G641" s="38"/>
      <c r="H641" s="433"/>
      <c r="I641" s="298"/>
      <c r="J641" s="298"/>
      <c r="K641" s="298"/>
      <c r="L641" s="434"/>
      <c r="M641" s="298"/>
      <c r="N641" s="435"/>
      <c r="O641" s="436"/>
      <c r="P641" s="399"/>
      <c r="Q641" s="298"/>
      <c r="R641" s="298"/>
      <c r="S641" s="298"/>
    </row>
    <row r="642" ht="13.55" customHeight="1">
      <c r="A642" s="298"/>
      <c r="B642" s="298"/>
      <c r="C642" s="298"/>
      <c r="D642" s="298"/>
      <c r="E642" s="404"/>
      <c r="F642" s="298"/>
      <c r="G642" s="38"/>
      <c r="H642" s="433"/>
      <c r="I642" s="298"/>
      <c r="J642" s="298"/>
      <c r="K642" s="298"/>
      <c r="L642" s="434"/>
      <c r="M642" s="298"/>
      <c r="N642" s="435"/>
      <c r="O642" s="436"/>
      <c r="P642" s="399"/>
      <c r="Q642" s="298"/>
      <c r="R642" s="298"/>
      <c r="S642" s="298"/>
    </row>
    <row r="643" ht="13.55" customHeight="1">
      <c r="A643" s="298"/>
      <c r="B643" s="298"/>
      <c r="C643" s="298"/>
      <c r="D643" s="298"/>
      <c r="E643" s="404"/>
      <c r="F643" s="298"/>
      <c r="G643" s="38"/>
      <c r="H643" s="433"/>
      <c r="I643" s="298"/>
      <c r="J643" s="298"/>
      <c r="K643" s="298"/>
      <c r="L643" s="434"/>
      <c r="M643" s="298"/>
      <c r="N643" s="435"/>
      <c r="O643" s="436"/>
      <c r="P643" s="399"/>
      <c r="Q643" s="298"/>
      <c r="R643" s="298"/>
      <c r="S643" s="298"/>
    </row>
    <row r="644" ht="13.55" customHeight="1">
      <c r="A644" s="298"/>
      <c r="B644" s="298"/>
      <c r="C644" s="298"/>
      <c r="D644" s="298"/>
      <c r="E644" s="404"/>
      <c r="F644" s="298"/>
      <c r="G644" s="38"/>
      <c r="H644" s="433"/>
      <c r="I644" s="298"/>
      <c r="J644" s="298"/>
      <c r="K644" s="298"/>
      <c r="L644" s="434"/>
      <c r="M644" s="298"/>
      <c r="N644" s="435"/>
      <c r="O644" s="436"/>
      <c r="P644" s="399"/>
      <c r="Q644" s="298"/>
      <c r="R644" s="298"/>
      <c r="S644" s="298"/>
    </row>
    <row r="645" ht="13.55" customHeight="1">
      <c r="A645" s="298"/>
      <c r="B645" s="298"/>
      <c r="C645" s="298"/>
      <c r="D645" s="298"/>
      <c r="E645" s="404"/>
      <c r="F645" s="298"/>
      <c r="G645" s="38"/>
      <c r="H645" s="433"/>
      <c r="I645" s="298"/>
      <c r="J645" s="298"/>
      <c r="K645" s="298"/>
      <c r="L645" s="434"/>
      <c r="M645" s="298"/>
      <c r="N645" s="435"/>
      <c r="O645" s="436"/>
      <c r="P645" s="399"/>
      <c r="Q645" s="298"/>
      <c r="R645" s="298"/>
      <c r="S645" s="298"/>
    </row>
    <row r="646" ht="13.55" customHeight="1">
      <c r="A646" s="298"/>
      <c r="B646" s="298"/>
      <c r="C646" s="298"/>
      <c r="D646" s="298"/>
      <c r="E646" s="404"/>
      <c r="F646" s="298"/>
      <c r="G646" s="38"/>
      <c r="H646" s="433"/>
      <c r="I646" s="298"/>
      <c r="J646" s="298"/>
      <c r="K646" s="298"/>
      <c r="L646" s="434"/>
      <c r="M646" s="298"/>
      <c r="N646" s="435"/>
      <c r="O646" s="436"/>
      <c r="P646" s="399"/>
      <c r="Q646" s="298"/>
      <c r="R646" s="298"/>
      <c r="S646" s="298"/>
    </row>
    <row r="647" ht="13.55" customHeight="1">
      <c r="A647" s="298"/>
      <c r="B647" s="298"/>
      <c r="C647" s="298"/>
      <c r="D647" s="298"/>
      <c r="E647" s="404"/>
      <c r="F647" s="298"/>
      <c r="G647" s="38"/>
      <c r="H647" s="433"/>
      <c r="I647" s="298"/>
      <c r="J647" s="298"/>
      <c r="K647" s="298"/>
      <c r="L647" s="434"/>
      <c r="M647" s="298"/>
      <c r="N647" s="435"/>
      <c r="O647" s="436"/>
      <c r="P647" s="399"/>
      <c r="Q647" s="298"/>
      <c r="R647" s="298"/>
      <c r="S647" s="298"/>
    </row>
    <row r="648" ht="13.55" customHeight="1">
      <c r="A648" s="298"/>
      <c r="B648" s="298"/>
      <c r="C648" s="298"/>
      <c r="D648" s="298"/>
      <c r="E648" s="404"/>
      <c r="F648" s="298"/>
      <c r="G648" s="38"/>
      <c r="H648" s="433"/>
      <c r="I648" s="298"/>
      <c r="J648" s="298"/>
      <c r="K648" s="298"/>
      <c r="L648" s="434"/>
      <c r="M648" s="298"/>
      <c r="N648" s="435"/>
      <c r="O648" s="436"/>
      <c r="P648" s="399"/>
      <c r="Q648" s="298"/>
      <c r="R648" s="298"/>
      <c r="S648" s="298"/>
    </row>
    <row r="649" ht="13.55" customHeight="1">
      <c r="A649" s="298"/>
      <c r="B649" s="298"/>
      <c r="C649" s="298"/>
      <c r="D649" s="298"/>
      <c r="E649" s="404"/>
      <c r="F649" s="298"/>
      <c r="G649" s="38"/>
      <c r="H649" s="433"/>
      <c r="I649" s="298"/>
      <c r="J649" s="298"/>
      <c r="K649" s="298"/>
      <c r="L649" s="434"/>
      <c r="M649" s="298"/>
      <c r="N649" s="435"/>
      <c r="O649" s="436"/>
      <c r="P649" s="399"/>
      <c r="Q649" s="298"/>
      <c r="R649" s="298"/>
      <c r="S649" s="298"/>
    </row>
    <row r="650" ht="13.55" customHeight="1">
      <c r="A650" s="298"/>
      <c r="B650" s="298"/>
      <c r="C650" s="298"/>
      <c r="D650" s="298"/>
      <c r="E650" s="404"/>
      <c r="F650" s="298"/>
      <c r="G650" s="38"/>
      <c r="H650" s="433"/>
      <c r="I650" s="298"/>
      <c r="J650" s="298"/>
      <c r="K650" s="298"/>
      <c r="L650" s="434"/>
      <c r="M650" s="298"/>
      <c r="N650" s="435"/>
      <c r="O650" s="436"/>
      <c r="P650" s="399"/>
      <c r="Q650" s="298"/>
      <c r="R650" s="298"/>
      <c r="S650" s="298"/>
    </row>
    <row r="651" ht="13.55" customHeight="1">
      <c r="A651" s="298"/>
      <c r="B651" s="298"/>
      <c r="C651" s="298"/>
      <c r="D651" s="298"/>
      <c r="E651" s="404"/>
      <c r="F651" s="298"/>
      <c r="G651" s="38"/>
      <c r="H651" s="433"/>
      <c r="I651" s="298"/>
      <c r="J651" s="298"/>
      <c r="K651" s="298"/>
      <c r="L651" s="434"/>
      <c r="M651" s="298"/>
      <c r="N651" s="435"/>
      <c r="O651" s="436"/>
      <c r="P651" s="399"/>
      <c r="Q651" s="298"/>
      <c r="R651" s="298"/>
      <c r="S651" s="298"/>
    </row>
    <row r="652" ht="13.55" customHeight="1">
      <c r="A652" s="298"/>
      <c r="B652" s="298"/>
      <c r="C652" s="298"/>
      <c r="D652" s="298"/>
      <c r="E652" s="404"/>
      <c r="F652" s="298"/>
      <c r="G652" s="38"/>
      <c r="H652" s="433"/>
      <c r="I652" s="298"/>
      <c r="J652" s="298"/>
      <c r="K652" s="298"/>
      <c r="L652" s="434"/>
      <c r="M652" s="298"/>
      <c r="N652" s="435"/>
      <c r="O652" s="436"/>
      <c r="P652" s="399"/>
      <c r="Q652" s="298"/>
      <c r="R652" s="298"/>
      <c r="S652" s="298"/>
    </row>
    <row r="653" ht="13.55" customHeight="1">
      <c r="A653" s="298"/>
      <c r="B653" s="298"/>
      <c r="C653" s="298"/>
      <c r="D653" s="298"/>
      <c r="E653" s="404"/>
      <c r="F653" s="298"/>
      <c r="G653" s="38"/>
      <c r="H653" s="433"/>
      <c r="I653" s="298"/>
      <c r="J653" s="298"/>
      <c r="K653" s="298"/>
      <c r="L653" s="434"/>
      <c r="M653" s="298"/>
      <c r="N653" s="435"/>
      <c r="O653" s="436"/>
      <c r="P653" s="399"/>
      <c r="Q653" s="298"/>
      <c r="R653" s="298"/>
      <c r="S653" s="298"/>
    </row>
    <row r="654" ht="13.55" customHeight="1">
      <c r="A654" s="298"/>
      <c r="B654" s="298"/>
      <c r="C654" s="298"/>
      <c r="D654" s="298"/>
      <c r="E654" s="404"/>
      <c r="F654" s="298"/>
      <c r="G654" s="38"/>
      <c r="H654" s="433"/>
      <c r="I654" s="298"/>
      <c r="J654" s="298"/>
      <c r="K654" s="298"/>
      <c r="L654" s="434"/>
      <c r="M654" s="298"/>
      <c r="N654" s="435"/>
      <c r="O654" s="436"/>
      <c r="P654" s="399"/>
      <c r="Q654" s="298"/>
      <c r="R654" s="298"/>
      <c r="S654" s="298"/>
    </row>
    <row r="655" ht="13.55" customHeight="1">
      <c r="A655" s="298"/>
      <c r="B655" s="298"/>
      <c r="C655" s="298"/>
      <c r="D655" s="298"/>
      <c r="E655" s="404"/>
      <c r="F655" s="298"/>
      <c r="G655" s="38"/>
      <c r="H655" s="433"/>
      <c r="I655" s="298"/>
      <c r="J655" s="298"/>
      <c r="K655" s="298"/>
      <c r="L655" s="434"/>
      <c r="M655" s="298"/>
      <c r="N655" s="435"/>
      <c r="O655" s="436"/>
      <c r="P655" s="399"/>
      <c r="Q655" s="298"/>
      <c r="R655" s="298"/>
      <c r="S655" s="298"/>
    </row>
    <row r="656" ht="13.55" customHeight="1">
      <c r="A656" s="298"/>
      <c r="B656" s="298"/>
      <c r="C656" s="298"/>
      <c r="D656" s="298"/>
      <c r="E656" s="404"/>
      <c r="F656" s="298"/>
      <c r="G656" s="38"/>
      <c r="H656" s="433"/>
      <c r="I656" s="298"/>
      <c r="J656" s="298"/>
      <c r="K656" s="298"/>
      <c r="L656" s="434"/>
      <c r="M656" s="298"/>
      <c r="N656" s="435"/>
      <c r="O656" s="436"/>
      <c r="P656" s="399"/>
      <c r="Q656" s="298"/>
      <c r="R656" s="298"/>
      <c r="S656" s="298"/>
    </row>
    <row r="657" ht="13.55" customHeight="1">
      <c r="A657" s="298"/>
      <c r="B657" s="298"/>
      <c r="C657" s="298"/>
      <c r="D657" s="298"/>
      <c r="E657" s="404"/>
      <c r="F657" s="298"/>
      <c r="G657" s="38"/>
      <c r="H657" s="433"/>
      <c r="I657" s="298"/>
      <c r="J657" s="298"/>
      <c r="K657" s="298"/>
      <c r="L657" s="434"/>
      <c r="M657" s="298"/>
      <c r="N657" s="435"/>
      <c r="O657" s="436"/>
      <c r="P657" s="399"/>
      <c r="Q657" s="298"/>
      <c r="R657" s="298"/>
      <c r="S657" s="298"/>
    </row>
    <row r="658" ht="13.55" customHeight="1">
      <c r="A658" s="298"/>
      <c r="B658" s="298"/>
      <c r="C658" s="298"/>
      <c r="D658" s="298"/>
      <c r="E658" s="404"/>
      <c r="F658" s="298"/>
      <c r="G658" s="38"/>
      <c r="H658" s="433"/>
      <c r="I658" s="298"/>
      <c r="J658" s="298"/>
      <c r="K658" s="298"/>
      <c r="L658" s="434"/>
      <c r="M658" s="298"/>
      <c r="N658" s="435"/>
      <c r="O658" s="436"/>
      <c r="P658" s="399"/>
      <c r="Q658" s="298"/>
      <c r="R658" s="298"/>
      <c r="S658" s="298"/>
    </row>
    <row r="659" ht="13.55" customHeight="1">
      <c r="A659" s="298"/>
      <c r="B659" s="298"/>
      <c r="C659" s="298"/>
      <c r="D659" s="298"/>
      <c r="E659" s="404"/>
      <c r="F659" s="298"/>
      <c r="G659" s="38"/>
      <c r="H659" s="433"/>
      <c r="I659" s="298"/>
      <c r="J659" s="298"/>
      <c r="K659" s="298"/>
      <c r="L659" s="434"/>
      <c r="M659" s="298"/>
      <c r="N659" s="435"/>
      <c r="O659" s="436"/>
      <c r="P659" s="399"/>
      <c r="Q659" s="298"/>
      <c r="R659" s="298"/>
      <c r="S659" s="298"/>
    </row>
    <row r="660" ht="13.55" customHeight="1">
      <c r="A660" s="298"/>
      <c r="B660" s="298"/>
      <c r="C660" s="298"/>
      <c r="D660" s="298"/>
      <c r="E660" s="404"/>
      <c r="F660" s="298"/>
      <c r="G660" s="38"/>
      <c r="H660" s="433"/>
      <c r="I660" s="298"/>
      <c r="J660" s="298"/>
      <c r="K660" s="298"/>
      <c r="L660" s="434"/>
      <c r="M660" s="298"/>
      <c r="N660" s="435"/>
      <c r="O660" s="436"/>
      <c r="P660" s="399"/>
      <c r="Q660" s="298"/>
      <c r="R660" s="298"/>
      <c r="S660" s="298"/>
    </row>
    <row r="661" ht="13.55" customHeight="1">
      <c r="A661" s="298"/>
      <c r="B661" s="298"/>
      <c r="C661" s="298"/>
      <c r="D661" s="298"/>
      <c r="E661" s="404"/>
      <c r="F661" s="298"/>
      <c r="G661" s="38"/>
      <c r="H661" s="433"/>
      <c r="I661" s="298"/>
      <c r="J661" s="298"/>
      <c r="K661" s="298"/>
      <c r="L661" s="434"/>
      <c r="M661" s="298"/>
      <c r="N661" s="435"/>
      <c r="O661" s="436"/>
      <c r="P661" s="399"/>
      <c r="Q661" s="298"/>
      <c r="R661" s="298"/>
      <c r="S661" s="298"/>
    </row>
    <row r="662" ht="13.55" customHeight="1">
      <c r="A662" s="298"/>
      <c r="B662" s="298"/>
      <c r="C662" s="298"/>
      <c r="D662" s="298"/>
      <c r="E662" s="404"/>
      <c r="F662" s="298"/>
      <c r="G662" s="38"/>
      <c r="H662" s="433"/>
      <c r="I662" s="298"/>
      <c r="J662" s="298"/>
      <c r="K662" s="298"/>
      <c r="L662" s="434"/>
      <c r="M662" s="298"/>
      <c r="N662" s="435"/>
      <c r="O662" s="436"/>
      <c r="P662" s="399"/>
      <c r="Q662" s="298"/>
      <c r="R662" s="298"/>
      <c r="S662" s="298"/>
    </row>
    <row r="663" ht="13.55" customHeight="1">
      <c r="A663" s="298"/>
      <c r="B663" s="298"/>
      <c r="C663" s="298"/>
      <c r="D663" s="298"/>
      <c r="E663" s="404"/>
      <c r="F663" s="298"/>
      <c r="G663" s="38"/>
      <c r="H663" s="433"/>
      <c r="I663" s="298"/>
      <c r="J663" s="298"/>
      <c r="K663" s="298"/>
      <c r="L663" s="434"/>
      <c r="M663" s="298"/>
      <c r="N663" s="435"/>
      <c r="O663" s="436"/>
      <c r="P663" s="399"/>
      <c r="Q663" s="298"/>
      <c r="R663" s="298"/>
      <c r="S663" s="298"/>
    </row>
    <row r="664" ht="13.55" customHeight="1">
      <c r="A664" s="298"/>
      <c r="B664" s="298"/>
      <c r="C664" s="298"/>
      <c r="D664" s="298"/>
      <c r="E664" s="404"/>
      <c r="F664" s="298"/>
      <c r="G664" s="38"/>
      <c r="H664" s="433"/>
      <c r="I664" s="298"/>
      <c r="J664" s="298"/>
      <c r="K664" s="298"/>
      <c r="L664" s="434"/>
      <c r="M664" s="298"/>
      <c r="N664" s="435"/>
      <c r="O664" s="436"/>
      <c r="P664" s="399"/>
      <c r="Q664" s="298"/>
      <c r="R664" s="298"/>
      <c r="S664" s="298"/>
    </row>
    <row r="665" ht="13.55" customHeight="1">
      <c r="A665" s="298"/>
      <c r="B665" s="298"/>
      <c r="C665" s="298"/>
      <c r="D665" s="298"/>
      <c r="E665" s="404"/>
      <c r="F665" s="298"/>
      <c r="G665" s="38"/>
      <c r="H665" s="433"/>
      <c r="I665" s="298"/>
      <c r="J665" s="298"/>
      <c r="K665" s="298"/>
      <c r="L665" s="434"/>
      <c r="M665" s="298"/>
      <c r="N665" s="435"/>
      <c r="O665" s="436"/>
      <c r="P665" s="399"/>
      <c r="Q665" s="298"/>
      <c r="R665" s="298"/>
      <c r="S665" s="298"/>
    </row>
    <row r="666" ht="13.55" customHeight="1">
      <c r="A666" s="298"/>
      <c r="B666" s="298"/>
      <c r="C666" s="298"/>
      <c r="D666" s="298"/>
      <c r="E666" s="404"/>
      <c r="F666" s="298"/>
      <c r="G666" s="38"/>
      <c r="H666" s="433"/>
      <c r="I666" s="298"/>
      <c r="J666" s="298"/>
      <c r="K666" s="298"/>
      <c r="L666" s="434"/>
      <c r="M666" s="298"/>
      <c r="N666" s="435"/>
      <c r="O666" s="436"/>
      <c r="P666" s="399"/>
      <c r="Q666" s="298"/>
      <c r="R666" s="298"/>
      <c r="S666" s="298"/>
    </row>
    <row r="667" ht="13.55" customHeight="1">
      <c r="A667" s="298"/>
      <c r="B667" s="298"/>
      <c r="C667" s="298"/>
      <c r="D667" s="298"/>
      <c r="E667" s="404"/>
      <c r="F667" s="298"/>
      <c r="G667" s="38"/>
      <c r="H667" s="433"/>
      <c r="I667" s="298"/>
      <c r="J667" s="298"/>
      <c r="K667" s="298"/>
      <c r="L667" s="434"/>
      <c r="M667" s="298"/>
      <c r="N667" s="435"/>
      <c r="O667" s="437"/>
      <c r="P667" s="399"/>
      <c r="Q667" s="298"/>
      <c r="R667" s="298"/>
      <c r="S667" s="298"/>
    </row>
  </sheetData>
  <pageMargins left="0.7" right="0.7" top="0.75" bottom="0.75" header="0.3" footer="0.3"/>
  <pageSetup firstPageNumber="1" fitToHeight="1" fitToWidth="1" scale="100" useFirstPageNumber="0" orientation="portrait" pageOrder="downThenOver"/>
  <headerFooter>
    <oddFooter>&amp;C&amp;"Helvetica Neue,Regular"&amp;12&amp;K000000&amp;P</oddFooter>
  </headerFooter>
  <drawing r:id="rId1"/>
  <legacyDrawing r:id="rId2"/>
</worksheet>
</file>

<file path=xl/worksheets/sheet7.xml><?xml version="1.0" encoding="utf-8"?>
<worksheet xmlns:r="http://schemas.openxmlformats.org/officeDocument/2006/relationships" xmlns="http://schemas.openxmlformats.org/spreadsheetml/2006/main">
  <dimension ref="A1:U96"/>
  <sheetViews>
    <sheetView workbookViewId="0" showGridLines="0" defaultGridColor="1"/>
  </sheetViews>
  <sheetFormatPr defaultColWidth="10.8333" defaultRowHeight="14.4" customHeight="1" outlineLevelRow="0" outlineLevelCol="0"/>
  <cols>
    <col min="1" max="2" width="10.8516" style="438" customWidth="1"/>
    <col min="3" max="3" width="9.17188" style="438" customWidth="1"/>
    <col min="4" max="15" width="10.8516" style="438" customWidth="1"/>
    <col min="16" max="16" width="13.1719" style="438" customWidth="1"/>
    <col min="17" max="17" width="18.5" style="438" customWidth="1"/>
    <col min="18" max="18" width="13.3516" style="438" customWidth="1"/>
    <col min="19" max="19" width="11.8516" style="438" customWidth="1"/>
    <col min="20" max="21" width="10.8516" style="438" customWidth="1"/>
    <col min="22" max="16384" width="10.8516" style="438" customWidth="1"/>
  </cols>
  <sheetData>
    <row r="1" ht="15" customHeight="1">
      <c r="A1" t="s" s="439">
        <v>1745</v>
      </c>
      <c r="B1" t="s" s="440">
        <v>250</v>
      </c>
      <c r="C1" s="441">
        <v>1</v>
      </c>
      <c r="D1" s="441">
        <v>2</v>
      </c>
      <c r="E1" s="441">
        <v>3</v>
      </c>
      <c r="F1" s="441">
        <v>4</v>
      </c>
      <c r="G1" s="441">
        <v>5</v>
      </c>
      <c r="H1" s="441">
        <v>6</v>
      </c>
      <c r="I1" s="441">
        <v>7</v>
      </c>
      <c r="J1" s="441">
        <v>8</v>
      </c>
      <c r="K1" s="441">
        <v>9</v>
      </c>
      <c r="L1" s="441">
        <v>10</v>
      </c>
      <c r="M1" s="441">
        <v>11</v>
      </c>
      <c r="N1" s="441">
        <v>12</v>
      </c>
      <c r="O1" s="441">
        <v>13</v>
      </c>
      <c r="P1" t="s" s="442">
        <v>1746</v>
      </c>
      <c r="Q1" t="s" s="443">
        <v>1747</v>
      </c>
      <c r="R1" t="s" s="443">
        <v>1748</v>
      </c>
      <c r="S1" s="444">
        <v>0</v>
      </c>
      <c r="T1" s="445"/>
      <c r="U1" s="250"/>
    </row>
    <row r="2" ht="14.15" customHeight="1">
      <c r="A2" s="446">
        <v>1</v>
      </c>
      <c r="B2" t="s" s="447">
        <f>A2&amp;1</f>
        <v>260</v>
      </c>
      <c r="C2" s="448">
        <v>0</v>
      </c>
      <c r="D2" s="448">
        <v>0</v>
      </c>
      <c r="E2" s="448">
        <v>0</v>
      </c>
      <c r="F2" s="448">
        <v>0</v>
      </c>
      <c r="G2" s="448">
        <v>0</v>
      </c>
      <c r="H2" s="448">
        <v>0</v>
      </c>
      <c r="I2" s="448">
        <v>0</v>
      </c>
      <c r="J2" s="448">
        <v>0</v>
      </c>
      <c r="K2" s="448">
        <v>0</v>
      </c>
      <c r="L2" s="448">
        <v>0</v>
      </c>
      <c r="M2" s="448">
        <v>0</v>
      </c>
      <c r="N2" s="448">
        <v>0</v>
      </c>
      <c r="O2" s="448">
        <v>0</v>
      </c>
      <c r="P2" s="449"/>
      <c r="Q2" s="450">
        <v>0</v>
      </c>
      <c r="R2" s="450">
        <v>0</v>
      </c>
      <c r="S2" s="450">
        <v>0</v>
      </c>
      <c r="T2" s="227"/>
      <c r="U2" s="451">
        <v>1</v>
      </c>
    </row>
    <row r="3" ht="13.55" customHeight="1">
      <c r="A3" s="452">
        <v>1</v>
      </c>
      <c r="B3" t="s" s="453">
        <f>A3&amp;2</f>
        <v>267</v>
      </c>
      <c r="C3" s="454">
        <v>0</v>
      </c>
      <c r="D3" s="454">
        <v>0</v>
      </c>
      <c r="E3" s="454">
        <v>0</v>
      </c>
      <c r="F3" s="454">
        <v>0</v>
      </c>
      <c r="G3" s="454">
        <v>0</v>
      </c>
      <c r="H3" s="454">
        <v>0</v>
      </c>
      <c r="I3" s="454">
        <v>0</v>
      </c>
      <c r="J3" s="454">
        <v>0</v>
      </c>
      <c r="K3" s="454">
        <v>0</v>
      </c>
      <c r="L3" s="454">
        <v>0</v>
      </c>
      <c r="M3" s="454">
        <v>0</v>
      </c>
      <c r="N3" s="454">
        <v>0</v>
      </c>
      <c r="O3" s="454">
        <v>0</v>
      </c>
      <c r="P3" s="449"/>
      <c r="Q3" s="455">
        <v>0</v>
      </c>
      <c r="R3" s="455">
        <v>0</v>
      </c>
      <c r="S3" s="455">
        <v>0</v>
      </c>
      <c r="T3" s="227"/>
      <c r="U3" s="451">
        <v>1</v>
      </c>
    </row>
    <row r="4" ht="13.55" customHeight="1">
      <c r="A4" s="452">
        <v>1</v>
      </c>
      <c r="B4" t="s" s="453">
        <f>A4&amp;3</f>
        <v>275</v>
      </c>
      <c r="C4" s="454">
        <v>0</v>
      </c>
      <c r="D4" s="454">
        <v>0</v>
      </c>
      <c r="E4" s="454">
        <v>0</v>
      </c>
      <c r="F4" s="454">
        <v>0</v>
      </c>
      <c r="G4" s="454">
        <v>0</v>
      </c>
      <c r="H4" s="454">
        <v>0</v>
      </c>
      <c r="I4" s="454">
        <v>0</v>
      </c>
      <c r="J4" s="454">
        <v>0</v>
      </c>
      <c r="K4" s="454">
        <v>0</v>
      </c>
      <c r="L4" s="454">
        <v>0</v>
      </c>
      <c r="M4" s="454">
        <v>0</v>
      </c>
      <c r="N4" s="454">
        <v>0</v>
      </c>
      <c r="O4" s="454">
        <v>0</v>
      </c>
      <c r="P4" s="449"/>
      <c r="Q4" s="455">
        <v>6</v>
      </c>
      <c r="R4" s="455">
        <v>0</v>
      </c>
      <c r="S4" s="455">
        <v>0</v>
      </c>
      <c r="T4" s="227"/>
      <c r="U4" s="451">
        <v>1</v>
      </c>
    </row>
    <row r="5" ht="13.55" customHeight="1">
      <c r="A5" s="452">
        <v>1</v>
      </c>
      <c r="B5" t="s" s="453">
        <f>A5&amp;4</f>
        <v>280</v>
      </c>
      <c r="C5" s="454">
        <v>0</v>
      </c>
      <c r="D5" s="454">
        <v>0</v>
      </c>
      <c r="E5" s="454">
        <v>0</v>
      </c>
      <c r="F5" s="454">
        <v>0</v>
      </c>
      <c r="G5" s="454">
        <v>0</v>
      </c>
      <c r="H5" s="454">
        <v>0</v>
      </c>
      <c r="I5" s="454">
        <v>0</v>
      </c>
      <c r="J5" s="454">
        <v>0</v>
      </c>
      <c r="K5" s="454">
        <v>0</v>
      </c>
      <c r="L5" s="454">
        <v>0</v>
      </c>
      <c r="M5" s="454">
        <v>0</v>
      </c>
      <c r="N5" s="454">
        <v>0</v>
      </c>
      <c r="O5" s="454">
        <v>0</v>
      </c>
      <c r="P5" s="449"/>
      <c r="Q5" s="455">
        <v>2</v>
      </c>
      <c r="R5" s="455">
        <v>0</v>
      </c>
      <c r="S5" s="456"/>
      <c r="T5" s="227"/>
      <c r="U5" s="451">
        <v>1</v>
      </c>
    </row>
    <row r="6" ht="13.55" customHeight="1">
      <c r="A6" s="452">
        <v>1</v>
      </c>
      <c r="B6" t="s" s="453">
        <f>A6&amp;5</f>
        <v>284</v>
      </c>
      <c r="C6" s="454">
        <v>0</v>
      </c>
      <c r="D6" s="454">
        <v>0</v>
      </c>
      <c r="E6" s="454">
        <v>0</v>
      </c>
      <c r="F6" s="454">
        <v>0</v>
      </c>
      <c r="G6" s="454">
        <v>0</v>
      </c>
      <c r="H6" s="454">
        <v>0</v>
      </c>
      <c r="I6" s="454">
        <v>0</v>
      </c>
      <c r="J6" s="454">
        <v>0</v>
      </c>
      <c r="K6" s="454">
        <v>0</v>
      </c>
      <c r="L6" s="454">
        <v>0</v>
      </c>
      <c r="M6" s="454">
        <v>0</v>
      </c>
      <c r="N6" s="454">
        <v>0</v>
      </c>
      <c r="O6" s="454">
        <v>0</v>
      </c>
      <c r="P6" s="449"/>
      <c r="Q6" s="457">
        <v>2</v>
      </c>
      <c r="R6" s="457">
        <v>0</v>
      </c>
      <c r="S6" s="458"/>
      <c r="T6" s="227"/>
      <c r="U6" s="451">
        <v>1</v>
      </c>
    </row>
    <row r="7" ht="13.55" customHeight="1">
      <c r="A7" s="452">
        <v>1</v>
      </c>
      <c r="B7" t="s" s="453">
        <f>A7&amp;6</f>
        <v>288</v>
      </c>
      <c r="C7" s="454">
        <v>0</v>
      </c>
      <c r="D7" s="454">
        <v>0</v>
      </c>
      <c r="E7" s="454">
        <v>0</v>
      </c>
      <c r="F7" s="454">
        <v>0</v>
      </c>
      <c r="G7" s="454">
        <v>0</v>
      </c>
      <c r="H7" s="454">
        <v>0</v>
      </c>
      <c r="I7" s="454">
        <v>0</v>
      </c>
      <c r="J7" s="454">
        <v>0</v>
      </c>
      <c r="K7" s="454">
        <v>0</v>
      </c>
      <c r="L7" s="454">
        <v>0</v>
      </c>
      <c r="M7" s="454">
        <v>0</v>
      </c>
      <c r="N7" s="454">
        <v>0</v>
      </c>
      <c r="O7" s="454">
        <v>0</v>
      </c>
      <c r="P7" s="109"/>
      <c r="Q7" s="459"/>
      <c r="R7" s="459"/>
      <c r="S7" s="460">
        <v>0</v>
      </c>
      <c r="T7" s="47"/>
      <c r="U7" s="451">
        <v>1</v>
      </c>
    </row>
    <row r="8" ht="15" customHeight="1">
      <c r="A8" s="461">
        <v>1</v>
      </c>
      <c r="B8" t="s" s="462">
        <f>A8&amp;7</f>
        <v>292</v>
      </c>
      <c r="C8" s="463">
        <v>0</v>
      </c>
      <c r="D8" s="463">
        <v>0</v>
      </c>
      <c r="E8" s="463">
        <v>0</v>
      </c>
      <c r="F8" s="463">
        <v>0</v>
      </c>
      <c r="G8" s="463">
        <v>0</v>
      </c>
      <c r="H8" s="463">
        <v>0</v>
      </c>
      <c r="I8" s="463">
        <v>0</v>
      </c>
      <c r="J8" s="463">
        <v>0</v>
      </c>
      <c r="K8" s="463">
        <v>0</v>
      </c>
      <c r="L8" s="463">
        <v>0</v>
      </c>
      <c r="M8" s="463">
        <v>0</v>
      </c>
      <c r="N8" s="454">
        <v>0</v>
      </c>
      <c r="O8" s="463">
        <v>0</v>
      </c>
      <c r="P8" s="109"/>
      <c r="Q8" s="47"/>
      <c r="R8" s="47"/>
      <c r="S8" s="47"/>
      <c r="T8" s="47"/>
      <c r="U8" s="451">
        <v>1</v>
      </c>
    </row>
    <row r="9" ht="15" customHeight="1">
      <c r="A9" s="446">
        <v>2</v>
      </c>
      <c r="B9" t="s" s="447">
        <f>A9&amp;1</f>
        <v>297</v>
      </c>
      <c r="C9" s="448">
        <v>0</v>
      </c>
      <c r="D9" s="448">
        <v>0</v>
      </c>
      <c r="E9" s="448">
        <v>0</v>
      </c>
      <c r="F9" s="448">
        <v>0</v>
      </c>
      <c r="G9" s="448">
        <v>0</v>
      </c>
      <c r="H9" s="448">
        <v>0</v>
      </c>
      <c r="I9" s="448">
        <v>0</v>
      </c>
      <c r="J9" s="448">
        <v>0</v>
      </c>
      <c r="K9" s="448">
        <v>0</v>
      </c>
      <c r="L9" s="448">
        <v>0</v>
      </c>
      <c r="M9" s="448">
        <v>0</v>
      </c>
      <c r="N9" s="464">
        <v>0</v>
      </c>
      <c r="O9" s="448">
        <v>0</v>
      </c>
      <c r="P9" s="465">
        <v>8</v>
      </c>
      <c r="Q9" s="47"/>
      <c r="R9" s="47"/>
      <c r="S9" s="47"/>
      <c r="T9" s="47"/>
      <c r="U9" s="451">
        <v>1</v>
      </c>
    </row>
    <row r="10" ht="14.15" customHeight="1">
      <c r="A10" s="466">
        <v>2</v>
      </c>
      <c r="B10" t="s" s="453">
        <f>A10&amp;2</f>
        <v>300</v>
      </c>
      <c r="C10" s="454">
        <v>0</v>
      </c>
      <c r="D10" s="454">
        <v>0</v>
      </c>
      <c r="E10" s="454">
        <v>0</v>
      </c>
      <c r="F10" s="454">
        <v>0</v>
      </c>
      <c r="G10" s="454">
        <v>0</v>
      </c>
      <c r="H10" s="454">
        <v>0</v>
      </c>
      <c r="I10" s="454">
        <v>0</v>
      </c>
      <c r="J10" s="454">
        <v>0</v>
      </c>
      <c r="K10" s="454">
        <v>0</v>
      </c>
      <c r="L10" s="454">
        <v>0</v>
      </c>
      <c r="M10" s="454">
        <v>0</v>
      </c>
      <c r="N10" s="448">
        <v>0</v>
      </c>
      <c r="O10" s="454">
        <v>0</v>
      </c>
      <c r="P10" s="467">
        <v>1</v>
      </c>
      <c r="Q10" s="47"/>
      <c r="R10" s="47"/>
      <c r="S10" s="47"/>
      <c r="T10" s="47"/>
      <c r="U10" s="451">
        <v>1</v>
      </c>
    </row>
    <row r="11" ht="13.65" customHeight="1">
      <c r="A11" s="466">
        <v>2</v>
      </c>
      <c r="B11" t="s" s="453">
        <f>A11&amp;3</f>
        <v>303</v>
      </c>
      <c r="C11" s="454">
        <v>0</v>
      </c>
      <c r="D11" s="454">
        <v>0</v>
      </c>
      <c r="E11" s="454">
        <v>0</v>
      </c>
      <c r="F11" s="454">
        <v>0</v>
      </c>
      <c r="G11" s="454">
        <v>0</v>
      </c>
      <c r="H11" s="454">
        <v>0</v>
      </c>
      <c r="I11" s="454">
        <v>0</v>
      </c>
      <c r="J11" s="454">
        <v>0</v>
      </c>
      <c r="K11" s="454">
        <v>0</v>
      </c>
      <c r="L11" s="454">
        <v>0</v>
      </c>
      <c r="M11" s="454">
        <v>0</v>
      </c>
      <c r="N11" s="454">
        <v>0</v>
      </c>
      <c r="O11" s="454">
        <v>0</v>
      </c>
      <c r="P11" s="468">
        <v>2</v>
      </c>
      <c r="Q11" s="47"/>
      <c r="R11" s="47"/>
      <c r="S11" s="47"/>
      <c r="T11" s="47"/>
      <c r="U11" s="451">
        <v>1</v>
      </c>
    </row>
    <row r="12" ht="13.65" customHeight="1">
      <c r="A12" s="466">
        <v>2</v>
      </c>
      <c r="B12" t="s" s="453">
        <f>A12&amp;4</f>
        <v>307</v>
      </c>
      <c r="C12" s="454">
        <v>0</v>
      </c>
      <c r="D12" s="454">
        <v>0</v>
      </c>
      <c r="E12" s="454">
        <v>0</v>
      </c>
      <c r="F12" s="454">
        <v>0</v>
      </c>
      <c r="G12" s="454">
        <v>0</v>
      </c>
      <c r="H12" s="454">
        <v>0</v>
      </c>
      <c r="I12" s="454">
        <v>0</v>
      </c>
      <c r="J12" s="454">
        <v>0</v>
      </c>
      <c r="K12" s="454">
        <v>0</v>
      </c>
      <c r="L12" s="454">
        <v>0</v>
      </c>
      <c r="M12" s="454">
        <v>0</v>
      </c>
      <c r="N12" s="454">
        <v>0</v>
      </c>
      <c r="O12" s="454">
        <v>0</v>
      </c>
      <c r="P12" s="468">
        <v>3</v>
      </c>
      <c r="Q12" s="47"/>
      <c r="R12" s="47"/>
      <c r="S12" s="47"/>
      <c r="T12" s="47"/>
      <c r="U12" s="451">
        <v>1</v>
      </c>
    </row>
    <row r="13" ht="13.65" customHeight="1">
      <c r="A13" s="466">
        <v>2</v>
      </c>
      <c r="B13" t="s" s="453">
        <f>A13&amp;5</f>
        <v>311</v>
      </c>
      <c r="C13" s="454">
        <v>0</v>
      </c>
      <c r="D13" s="454">
        <v>0</v>
      </c>
      <c r="E13" s="454">
        <v>0</v>
      </c>
      <c r="F13" s="454">
        <v>0</v>
      </c>
      <c r="G13" s="454">
        <v>0</v>
      </c>
      <c r="H13" s="454">
        <v>0</v>
      </c>
      <c r="I13" s="454">
        <v>0</v>
      </c>
      <c r="J13" s="454">
        <v>0</v>
      </c>
      <c r="K13" s="454">
        <v>0</v>
      </c>
      <c r="L13" s="454">
        <v>0</v>
      </c>
      <c r="M13" s="454">
        <v>0</v>
      </c>
      <c r="N13" s="454">
        <v>0</v>
      </c>
      <c r="O13" s="454">
        <v>0</v>
      </c>
      <c r="P13" s="468">
        <v>4</v>
      </c>
      <c r="Q13" s="47"/>
      <c r="R13" s="47"/>
      <c r="S13" s="47"/>
      <c r="T13" s="47"/>
      <c r="U13" s="451">
        <v>1</v>
      </c>
    </row>
    <row r="14" ht="13.65" customHeight="1">
      <c r="A14" s="466">
        <v>2</v>
      </c>
      <c r="B14" t="s" s="453">
        <f>A14&amp;6</f>
        <v>315</v>
      </c>
      <c r="C14" s="454">
        <v>0</v>
      </c>
      <c r="D14" s="454">
        <v>0</v>
      </c>
      <c r="E14" s="454">
        <v>0</v>
      </c>
      <c r="F14" s="454">
        <v>0</v>
      </c>
      <c r="G14" s="454">
        <v>0</v>
      </c>
      <c r="H14" s="454">
        <v>0</v>
      </c>
      <c r="I14" s="454">
        <v>0</v>
      </c>
      <c r="J14" s="454">
        <v>0</v>
      </c>
      <c r="K14" s="454">
        <v>0</v>
      </c>
      <c r="L14" s="454">
        <v>0</v>
      </c>
      <c r="M14" s="454">
        <v>0</v>
      </c>
      <c r="N14" s="454">
        <v>0</v>
      </c>
      <c r="O14" s="454">
        <v>0</v>
      </c>
      <c r="P14" s="468">
        <v>5</v>
      </c>
      <c r="Q14" s="47"/>
      <c r="R14" s="47"/>
      <c r="S14" s="47"/>
      <c r="T14" s="47"/>
      <c r="U14" s="451">
        <v>1</v>
      </c>
    </row>
    <row r="15" ht="15" customHeight="1">
      <c r="A15" s="469">
        <v>2</v>
      </c>
      <c r="B15" t="s" s="462">
        <f>A15&amp;7</f>
        <v>319</v>
      </c>
      <c r="C15" s="463">
        <v>0</v>
      </c>
      <c r="D15" s="463">
        <v>0</v>
      </c>
      <c r="E15" s="463">
        <v>0</v>
      </c>
      <c r="F15" s="463">
        <v>0</v>
      </c>
      <c r="G15" s="463">
        <v>0</v>
      </c>
      <c r="H15" s="463">
        <v>0</v>
      </c>
      <c r="I15" s="463">
        <v>0</v>
      </c>
      <c r="J15" s="463">
        <v>0</v>
      </c>
      <c r="K15" s="463">
        <v>0</v>
      </c>
      <c r="L15" s="463">
        <v>0</v>
      </c>
      <c r="M15" s="463">
        <v>0</v>
      </c>
      <c r="N15" s="463">
        <v>0</v>
      </c>
      <c r="O15" s="463">
        <v>0</v>
      </c>
      <c r="P15" s="109"/>
      <c r="Q15" s="47"/>
      <c r="R15" s="47"/>
      <c r="S15" s="47"/>
      <c r="T15" s="47"/>
      <c r="U15" s="451">
        <v>1</v>
      </c>
    </row>
    <row r="16" ht="14.15" customHeight="1">
      <c r="A16" s="446">
        <v>3</v>
      </c>
      <c r="B16" t="s" s="447">
        <f>A16&amp;1</f>
        <v>325</v>
      </c>
      <c r="C16" s="448">
        <v>0</v>
      </c>
      <c r="D16" s="448">
        <v>0</v>
      </c>
      <c r="E16" s="448">
        <v>0</v>
      </c>
      <c r="F16" s="448">
        <v>0</v>
      </c>
      <c r="G16" s="448">
        <v>0</v>
      </c>
      <c r="H16" s="448">
        <v>0</v>
      </c>
      <c r="I16" s="448">
        <v>0</v>
      </c>
      <c r="J16" s="448">
        <v>0</v>
      </c>
      <c r="K16" s="448">
        <v>0</v>
      </c>
      <c r="L16" s="448">
        <v>0</v>
      </c>
      <c r="M16" s="448">
        <v>0</v>
      </c>
      <c r="N16" s="448">
        <v>0</v>
      </c>
      <c r="O16" s="448">
        <v>0</v>
      </c>
      <c r="P16" s="109"/>
      <c r="Q16" s="47"/>
      <c r="R16" s="47"/>
      <c r="S16" s="47"/>
      <c r="T16" s="47"/>
      <c r="U16" s="451">
        <v>1</v>
      </c>
    </row>
    <row r="17" ht="13.55" customHeight="1">
      <c r="A17" s="452">
        <v>3</v>
      </c>
      <c r="B17" t="s" s="453">
        <f>A17&amp;2</f>
        <v>329</v>
      </c>
      <c r="C17" s="454">
        <v>0</v>
      </c>
      <c r="D17" s="454">
        <v>0</v>
      </c>
      <c r="E17" s="454">
        <v>0</v>
      </c>
      <c r="F17" s="454">
        <v>0</v>
      </c>
      <c r="G17" s="454">
        <v>0</v>
      </c>
      <c r="H17" s="454">
        <v>0</v>
      </c>
      <c r="I17" s="454">
        <v>0</v>
      </c>
      <c r="J17" s="454">
        <v>0</v>
      </c>
      <c r="K17" s="454">
        <v>0</v>
      </c>
      <c r="L17" s="454">
        <v>0</v>
      </c>
      <c r="M17" s="454">
        <v>0</v>
      </c>
      <c r="N17" s="454">
        <v>0</v>
      </c>
      <c r="O17" s="454">
        <v>0</v>
      </c>
      <c r="P17" s="109"/>
      <c r="Q17" s="47"/>
      <c r="R17" s="47"/>
      <c r="S17" s="47"/>
      <c r="T17" s="47"/>
      <c r="U17" s="451">
        <v>1</v>
      </c>
    </row>
    <row r="18" ht="13.55" customHeight="1">
      <c r="A18" s="452">
        <v>3</v>
      </c>
      <c r="B18" t="s" s="453">
        <f>A18&amp;3</f>
        <v>333</v>
      </c>
      <c r="C18" s="454">
        <v>0</v>
      </c>
      <c r="D18" s="454">
        <v>0</v>
      </c>
      <c r="E18" s="454">
        <v>0</v>
      </c>
      <c r="F18" s="454">
        <v>0</v>
      </c>
      <c r="G18" s="454">
        <v>0</v>
      </c>
      <c r="H18" s="454">
        <v>0</v>
      </c>
      <c r="I18" s="454">
        <v>0</v>
      </c>
      <c r="J18" s="454">
        <v>0</v>
      </c>
      <c r="K18" s="454">
        <v>0</v>
      </c>
      <c r="L18" s="454">
        <v>0</v>
      </c>
      <c r="M18" s="454">
        <v>0</v>
      </c>
      <c r="N18" s="454">
        <v>0</v>
      </c>
      <c r="O18" s="454">
        <v>0</v>
      </c>
      <c r="P18" s="109"/>
      <c r="Q18" s="47"/>
      <c r="R18" s="47"/>
      <c r="S18" s="47"/>
      <c r="T18" s="47"/>
      <c r="U18" s="451">
        <v>1</v>
      </c>
    </row>
    <row r="19" ht="13.55" customHeight="1">
      <c r="A19" s="452">
        <v>3</v>
      </c>
      <c r="B19" t="s" s="453">
        <f>A19&amp;4</f>
        <v>336</v>
      </c>
      <c r="C19" s="454">
        <v>0</v>
      </c>
      <c r="D19" s="454">
        <v>0</v>
      </c>
      <c r="E19" s="454">
        <v>0</v>
      </c>
      <c r="F19" s="454">
        <v>0</v>
      </c>
      <c r="G19" s="454">
        <v>0</v>
      </c>
      <c r="H19" s="454">
        <v>0</v>
      </c>
      <c r="I19" s="454">
        <v>0</v>
      </c>
      <c r="J19" s="454">
        <v>0</v>
      </c>
      <c r="K19" s="454">
        <v>0</v>
      </c>
      <c r="L19" s="454">
        <v>0</v>
      </c>
      <c r="M19" s="454">
        <v>0</v>
      </c>
      <c r="N19" s="454">
        <v>0</v>
      </c>
      <c r="O19" s="454">
        <v>0</v>
      </c>
      <c r="P19" s="109"/>
      <c r="Q19" s="47"/>
      <c r="R19" s="47"/>
      <c r="S19" s="47"/>
      <c r="T19" s="47"/>
      <c r="U19" s="451">
        <v>1</v>
      </c>
    </row>
    <row r="20" ht="13.55" customHeight="1">
      <c r="A20" s="452">
        <v>3</v>
      </c>
      <c r="B20" t="s" s="453">
        <f>A20&amp;5</f>
        <v>338</v>
      </c>
      <c r="C20" s="454">
        <v>0</v>
      </c>
      <c r="D20" s="454">
        <v>0</v>
      </c>
      <c r="E20" s="454">
        <v>0</v>
      </c>
      <c r="F20" s="454">
        <v>0</v>
      </c>
      <c r="G20" s="454">
        <v>0</v>
      </c>
      <c r="H20" s="454">
        <v>0</v>
      </c>
      <c r="I20" s="454">
        <v>0</v>
      </c>
      <c r="J20" s="454">
        <v>0</v>
      </c>
      <c r="K20" s="454">
        <v>0</v>
      </c>
      <c r="L20" s="454">
        <v>0</v>
      </c>
      <c r="M20" s="454">
        <v>0</v>
      </c>
      <c r="N20" s="454">
        <v>0</v>
      </c>
      <c r="O20" s="454">
        <v>0</v>
      </c>
      <c r="P20" s="109"/>
      <c r="Q20" s="47"/>
      <c r="R20" s="47"/>
      <c r="S20" s="47"/>
      <c r="T20" s="47"/>
      <c r="U20" s="451">
        <v>1</v>
      </c>
    </row>
    <row r="21" ht="13.55" customHeight="1">
      <c r="A21" s="452">
        <v>3</v>
      </c>
      <c r="B21" t="s" s="453">
        <f>A21&amp;6</f>
        <v>340</v>
      </c>
      <c r="C21" s="454">
        <v>0</v>
      </c>
      <c r="D21" s="454">
        <v>0</v>
      </c>
      <c r="E21" s="454">
        <v>0</v>
      </c>
      <c r="F21" s="454">
        <v>0</v>
      </c>
      <c r="G21" s="454">
        <v>0</v>
      </c>
      <c r="H21" s="454">
        <v>0</v>
      </c>
      <c r="I21" s="454">
        <v>0</v>
      </c>
      <c r="J21" s="454">
        <v>0</v>
      </c>
      <c r="K21" s="454">
        <v>0</v>
      </c>
      <c r="L21" s="454">
        <v>0</v>
      </c>
      <c r="M21" s="454">
        <v>0</v>
      </c>
      <c r="N21" s="454">
        <v>0</v>
      </c>
      <c r="O21" s="454">
        <v>0</v>
      </c>
      <c r="P21" s="109"/>
      <c r="Q21" s="47"/>
      <c r="R21" s="47"/>
      <c r="S21" s="47"/>
      <c r="T21" s="47"/>
      <c r="U21" s="451">
        <v>1</v>
      </c>
    </row>
    <row r="22" ht="15" customHeight="1">
      <c r="A22" s="461">
        <v>3</v>
      </c>
      <c r="B22" t="s" s="462">
        <f>A22&amp;7</f>
        <v>342</v>
      </c>
      <c r="C22" s="463">
        <v>0</v>
      </c>
      <c r="D22" s="463">
        <v>0</v>
      </c>
      <c r="E22" s="463">
        <v>0</v>
      </c>
      <c r="F22" s="463">
        <v>0</v>
      </c>
      <c r="G22" s="463">
        <v>0</v>
      </c>
      <c r="H22" s="463">
        <v>0</v>
      </c>
      <c r="I22" s="463">
        <v>0</v>
      </c>
      <c r="J22" s="463">
        <v>0</v>
      </c>
      <c r="K22" s="463">
        <v>0</v>
      </c>
      <c r="L22" s="463">
        <v>0</v>
      </c>
      <c r="M22" s="463">
        <v>0</v>
      </c>
      <c r="N22" s="463">
        <v>0</v>
      </c>
      <c r="O22" s="454">
        <v>0</v>
      </c>
      <c r="P22" s="109"/>
      <c r="Q22" s="47"/>
      <c r="R22" s="47"/>
      <c r="S22" s="47"/>
      <c r="T22" s="47"/>
      <c r="U22" s="451">
        <v>1</v>
      </c>
    </row>
    <row r="23" ht="15" customHeight="1">
      <c r="A23" s="446">
        <v>4</v>
      </c>
      <c r="B23" t="s" s="447">
        <f>A23&amp;1</f>
        <v>348</v>
      </c>
      <c r="C23" s="448">
        <v>0</v>
      </c>
      <c r="D23" s="448">
        <v>0</v>
      </c>
      <c r="E23" s="448">
        <v>0</v>
      </c>
      <c r="F23" s="448">
        <v>0</v>
      </c>
      <c r="G23" s="448">
        <v>0</v>
      </c>
      <c r="H23" s="448">
        <v>0</v>
      </c>
      <c r="I23" s="448">
        <v>0</v>
      </c>
      <c r="J23" s="448">
        <v>0</v>
      </c>
      <c r="K23" s="448">
        <v>0</v>
      </c>
      <c r="L23" s="448">
        <v>0</v>
      </c>
      <c r="M23" s="448">
        <v>0</v>
      </c>
      <c r="N23" s="448">
        <v>0</v>
      </c>
      <c r="O23" s="464">
        <v>0</v>
      </c>
      <c r="P23" s="465">
        <v>8</v>
      </c>
      <c r="Q23" s="47"/>
      <c r="R23" s="47"/>
      <c r="S23" s="47"/>
      <c r="T23" s="47"/>
      <c r="U23" s="451">
        <v>1</v>
      </c>
    </row>
    <row r="24" ht="14.15" customHeight="1">
      <c r="A24" s="466">
        <v>4</v>
      </c>
      <c r="B24" t="s" s="453">
        <f>A24&amp;2</f>
        <v>351</v>
      </c>
      <c r="C24" s="454">
        <v>0</v>
      </c>
      <c r="D24" s="454">
        <v>0</v>
      </c>
      <c r="E24" s="454">
        <v>0</v>
      </c>
      <c r="F24" s="454">
        <v>0</v>
      </c>
      <c r="G24" s="454">
        <v>0</v>
      </c>
      <c r="H24" s="454">
        <v>0</v>
      </c>
      <c r="I24" s="454">
        <v>0</v>
      </c>
      <c r="J24" s="454">
        <v>0</v>
      </c>
      <c r="K24" s="454">
        <v>0</v>
      </c>
      <c r="L24" s="454">
        <v>0</v>
      </c>
      <c r="M24" s="454">
        <v>0</v>
      </c>
      <c r="N24" s="454">
        <v>0</v>
      </c>
      <c r="O24" s="448">
        <v>0</v>
      </c>
      <c r="P24" s="467">
        <v>1</v>
      </c>
      <c r="Q24" s="47"/>
      <c r="R24" s="47"/>
      <c r="S24" s="47"/>
      <c r="T24" s="47"/>
      <c r="U24" s="451">
        <v>1</v>
      </c>
    </row>
    <row r="25" ht="13.65" customHeight="1">
      <c r="A25" s="466">
        <v>4</v>
      </c>
      <c r="B25" t="s" s="453">
        <f>A25&amp;3</f>
        <v>354</v>
      </c>
      <c r="C25" s="454">
        <v>0</v>
      </c>
      <c r="D25" s="454">
        <v>0</v>
      </c>
      <c r="E25" s="454">
        <v>0</v>
      </c>
      <c r="F25" s="454">
        <v>0</v>
      </c>
      <c r="G25" s="454">
        <v>0</v>
      </c>
      <c r="H25" s="454">
        <v>0</v>
      </c>
      <c r="I25" s="454">
        <v>0</v>
      </c>
      <c r="J25" s="454">
        <v>0</v>
      </c>
      <c r="K25" s="454">
        <v>0</v>
      </c>
      <c r="L25" s="454">
        <v>0</v>
      </c>
      <c r="M25" s="454">
        <v>0</v>
      </c>
      <c r="N25" s="454">
        <v>0</v>
      </c>
      <c r="O25" s="454">
        <v>0</v>
      </c>
      <c r="P25" s="468">
        <v>2</v>
      </c>
      <c r="Q25" s="47"/>
      <c r="R25" s="47"/>
      <c r="S25" s="47"/>
      <c r="T25" s="47"/>
      <c r="U25" s="451">
        <v>1</v>
      </c>
    </row>
    <row r="26" ht="13.65" customHeight="1">
      <c r="A26" s="466">
        <v>4</v>
      </c>
      <c r="B26" t="s" s="453">
        <f>A26&amp;4</f>
        <v>357</v>
      </c>
      <c r="C26" s="454">
        <v>0</v>
      </c>
      <c r="D26" s="454">
        <v>0</v>
      </c>
      <c r="E26" s="454">
        <v>0</v>
      </c>
      <c r="F26" s="454">
        <v>0</v>
      </c>
      <c r="G26" s="454">
        <v>0</v>
      </c>
      <c r="H26" s="454">
        <v>0</v>
      </c>
      <c r="I26" s="454">
        <v>0</v>
      </c>
      <c r="J26" s="454">
        <v>0</v>
      </c>
      <c r="K26" s="454">
        <v>0</v>
      </c>
      <c r="L26" s="454">
        <v>0</v>
      </c>
      <c r="M26" s="454">
        <v>0</v>
      </c>
      <c r="N26" s="454">
        <v>0</v>
      </c>
      <c r="O26" s="454">
        <v>0</v>
      </c>
      <c r="P26" s="468">
        <v>3</v>
      </c>
      <c r="Q26" s="47"/>
      <c r="R26" s="47"/>
      <c r="S26" s="47"/>
      <c r="T26" s="47"/>
      <c r="U26" s="451">
        <v>1</v>
      </c>
    </row>
    <row r="27" ht="13.65" customHeight="1">
      <c r="A27" s="466">
        <v>4</v>
      </c>
      <c r="B27" t="s" s="453">
        <f>A27&amp;5</f>
        <v>360</v>
      </c>
      <c r="C27" s="454">
        <v>0</v>
      </c>
      <c r="D27" s="454">
        <v>0</v>
      </c>
      <c r="E27" s="454">
        <v>0</v>
      </c>
      <c r="F27" s="454">
        <v>0</v>
      </c>
      <c r="G27" s="454">
        <v>0</v>
      </c>
      <c r="H27" s="454">
        <v>0</v>
      </c>
      <c r="I27" s="454">
        <v>0</v>
      </c>
      <c r="J27" s="454">
        <v>0</v>
      </c>
      <c r="K27" s="454">
        <v>0</v>
      </c>
      <c r="L27" s="454">
        <v>0</v>
      </c>
      <c r="M27" s="454">
        <v>0</v>
      </c>
      <c r="N27" s="454">
        <v>0</v>
      </c>
      <c r="O27" s="454">
        <v>0</v>
      </c>
      <c r="P27" s="468">
        <v>4</v>
      </c>
      <c r="Q27" s="47"/>
      <c r="R27" s="47"/>
      <c r="S27" s="47"/>
      <c r="T27" s="47"/>
      <c r="U27" s="451">
        <v>1</v>
      </c>
    </row>
    <row r="28" ht="13.65" customHeight="1">
      <c r="A28" s="466">
        <v>4</v>
      </c>
      <c r="B28" t="s" s="453">
        <f>A28&amp;6</f>
        <v>363</v>
      </c>
      <c r="C28" s="454">
        <v>0</v>
      </c>
      <c r="D28" s="454">
        <v>0</v>
      </c>
      <c r="E28" s="454">
        <v>0</v>
      </c>
      <c r="F28" s="454">
        <v>0</v>
      </c>
      <c r="G28" s="454">
        <v>0</v>
      </c>
      <c r="H28" s="454">
        <v>0</v>
      </c>
      <c r="I28" s="454">
        <v>0</v>
      </c>
      <c r="J28" s="454">
        <v>0</v>
      </c>
      <c r="K28" s="454">
        <v>0</v>
      </c>
      <c r="L28" s="454">
        <v>0</v>
      </c>
      <c r="M28" s="454">
        <v>0</v>
      </c>
      <c r="N28" s="454">
        <v>0</v>
      </c>
      <c r="O28" s="454">
        <v>0</v>
      </c>
      <c r="P28" s="468">
        <v>5</v>
      </c>
      <c r="Q28" s="47"/>
      <c r="R28" s="47"/>
      <c r="S28" s="47"/>
      <c r="T28" s="47"/>
      <c r="U28" s="451">
        <v>1</v>
      </c>
    </row>
    <row r="29" ht="15" customHeight="1">
      <c r="A29" s="469">
        <v>4</v>
      </c>
      <c r="B29" t="s" s="462">
        <f>A29&amp;7</f>
        <v>365</v>
      </c>
      <c r="C29" s="463">
        <v>0</v>
      </c>
      <c r="D29" s="463">
        <v>0</v>
      </c>
      <c r="E29" s="463">
        <v>0</v>
      </c>
      <c r="F29" s="463">
        <v>0</v>
      </c>
      <c r="G29" s="463">
        <v>0</v>
      </c>
      <c r="H29" s="463">
        <v>0</v>
      </c>
      <c r="I29" s="463">
        <v>0</v>
      </c>
      <c r="J29" s="463">
        <v>0</v>
      </c>
      <c r="K29" s="463">
        <v>0</v>
      </c>
      <c r="L29" s="463">
        <v>0</v>
      </c>
      <c r="M29" s="463">
        <v>0</v>
      </c>
      <c r="N29" s="463">
        <v>0</v>
      </c>
      <c r="O29" s="463">
        <v>0</v>
      </c>
      <c r="P29" s="109"/>
      <c r="Q29" s="47"/>
      <c r="R29" s="47"/>
      <c r="S29" s="47"/>
      <c r="T29" s="47"/>
      <c r="U29" s="451">
        <v>1</v>
      </c>
    </row>
    <row r="30" ht="14.15" customHeight="1">
      <c r="A30" s="446">
        <v>5</v>
      </c>
      <c r="B30" t="s" s="447">
        <f>A30&amp;1</f>
        <v>370</v>
      </c>
      <c r="C30" s="448">
        <v>0</v>
      </c>
      <c r="D30" s="448">
        <v>0</v>
      </c>
      <c r="E30" s="448">
        <v>0</v>
      </c>
      <c r="F30" s="448">
        <v>0</v>
      </c>
      <c r="G30" s="448">
        <v>0</v>
      </c>
      <c r="H30" s="448">
        <v>0</v>
      </c>
      <c r="I30" s="448">
        <v>0</v>
      </c>
      <c r="J30" s="448">
        <v>0</v>
      </c>
      <c r="K30" s="448">
        <v>0</v>
      </c>
      <c r="L30" s="448">
        <v>0</v>
      </c>
      <c r="M30" s="448">
        <v>0</v>
      </c>
      <c r="N30" s="448">
        <v>0</v>
      </c>
      <c r="O30" s="448">
        <v>0</v>
      </c>
      <c r="P30" s="109"/>
      <c r="Q30" s="47"/>
      <c r="R30" s="47"/>
      <c r="S30" s="47"/>
      <c r="T30" s="47"/>
      <c r="U30" s="451">
        <v>1</v>
      </c>
    </row>
    <row r="31" ht="13.55" customHeight="1">
      <c r="A31" s="452">
        <v>5</v>
      </c>
      <c r="B31" t="s" s="453">
        <f>A31&amp;2</f>
        <v>374</v>
      </c>
      <c r="C31" s="454">
        <v>0</v>
      </c>
      <c r="D31" s="454">
        <v>0</v>
      </c>
      <c r="E31" s="454">
        <v>0</v>
      </c>
      <c r="F31" s="454">
        <v>0</v>
      </c>
      <c r="G31" s="454">
        <v>0</v>
      </c>
      <c r="H31" s="454">
        <v>0</v>
      </c>
      <c r="I31" s="454">
        <v>0</v>
      </c>
      <c r="J31" s="454">
        <v>0</v>
      </c>
      <c r="K31" s="454">
        <v>0</v>
      </c>
      <c r="L31" s="454">
        <v>0</v>
      </c>
      <c r="M31" s="454">
        <v>0</v>
      </c>
      <c r="N31" s="454">
        <v>0</v>
      </c>
      <c r="O31" s="454">
        <v>0</v>
      </c>
      <c r="P31" s="109"/>
      <c r="Q31" s="47"/>
      <c r="R31" s="47"/>
      <c r="S31" s="47"/>
      <c r="T31" s="47"/>
      <c r="U31" s="451">
        <v>1</v>
      </c>
    </row>
    <row r="32" ht="13.55" customHeight="1">
      <c r="A32" s="452">
        <v>5</v>
      </c>
      <c r="B32" t="s" s="453">
        <f>A32&amp;3</f>
        <v>377</v>
      </c>
      <c r="C32" s="454">
        <v>0</v>
      </c>
      <c r="D32" s="454">
        <v>0</v>
      </c>
      <c r="E32" s="454">
        <v>0</v>
      </c>
      <c r="F32" s="454">
        <v>0</v>
      </c>
      <c r="G32" s="454">
        <v>0</v>
      </c>
      <c r="H32" s="454">
        <v>0</v>
      </c>
      <c r="I32" s="454">
        <v>0</v>
      </c>
      <c r="J32" s="454">
        <v>0</v>
      </c>
      <c r="K32" s="454">
        <v>0</v>
      </c>
      <c r="L32" s="454">
        <v>0</v>
      </c>
      <c r="M32" s="454">
        <v>0</v>
      </c>
      <c r="N32" s="454">
        <v>0</v>
      </c>
      <c r="O32" s="454">
        <v>0</v>
      </c>
      <c r="P32" s="109"/>
      <c r="Q32" s="47"/>
      <c r="R32" s="47"/>
      <c r="S32" s="47"/>
      <c r="T32" s="47"/>
      <c r="U32" s="451">
        <v>1</v>
      </c>
    </row>
    <row r="33" ht="13.55" customHeight="1">
      <c r="A33" s="452">
        <v>5</v>
      </c>
      <c r="B33" t="s" s="453">
        <f>A33&amp;4</f>
        <v>380</v>
      </c>
      <c r="C33" s="454">
        <v>0</v>
      </c>
      <c r="D33" s="454">
        <v>0</v>
      </c>
      <c r="E33" s="454">
        <v>0</v>
      </c>
      <c r="F33" s="454">
        <v>0</v>
      </c>
      <c r="G33" s="454">
        <v>0</v>
      </c>
      <c r="H33" s="454">
        <v>0</v>
      </c>
      <c r="I33" s="454">
        <v>0</v>
      </c>
      <c r="J33" s="454">
        <v>0</v>
      </c>
      <c r="K33" s="454">
        <v>0</v>
      </c>
      <c r="L33" s="454">
        <v>0</v>
      </c>
      <c r="M33" s="454">
        <v>0</v>
      </c>
      <c r="N33" s="454">
        <v>0</v>
      </c>
      <c r="O33" s="454">
        <v>0</v>
      </c>
      <c r="P33" s="109"/>
      <c r="Q33" s="47"/>
      <c r="R33" s="47"/>
      <c r="S33" s="47"/>
      <c r="T33" s="47"/>
      <c r="U33" s="451">
        <v>1</v>
      </c>
    </row>
    <row r="34" ht="13.55" customHeight="1">
      <c r="A34" s="452">
        <v>5</v>
      </c>
      <c r="B34" t="s" s="453">
        <f>A34&amp;5</f>
        <v>383</v>
      </c>
      <c r="C34" s="454">
        <v>0</v>
      </c>
      <c r="D34" s="454">
        <v>0</v>
      </c>
      <c r="E34" s="454">
        <v>0</v>
      </c>
      <c r="F34" s="454">
        <v>0</v>
      </c>
      <c r="G34" s="454">
        <v>0</v>
      </c>
      <c r="H34" s="454">
        <v>0</v>
      </c>
      <c r="I34" s="454">
        <v>0</v>
      </c>
      <c r="J34" s="454">
        <v>0</v>
      </c>
      <c r="K34" s="454">
        <v>0</v>
      </c>
      <c r="L34" s="454">
        <v>0</v>
      </c>
      <c r="M34" s="454">
        <v>0</v>
      </c>
      <c r="N34" s="454">
        <v>0</v>
      </c>
      <c r="O34" s="454">
        <v>0</v>
      </c>
      <c r="P34" s="109"/>
      <c r="Q34" s="47"/>
      <c r="R34" s="47"/>
      <c r="S34" s="47"/>
      <c r="T34" s="47"/>
      <c r="U34" s="451">
        <v>1</v>
      </c>
    </row>
    <row r="35" ht="13.55" customHeight="1">
      <c r="A35" s="452">
        <v>5</v>
      </c>
      <c r="B35" t="s" s="453">
        <f>A35&amp;6</f>
        <v>385</v>
      </c>
      <c r="C35" s="454">
        <v>0</v>
      </c>
      <c r="D35" s="454">
        <v>0</v>
      </c>
      <c r="E35" s="454">
        <v>0</v>
      </c>
      <c r="F35" s="454">
        <v>0</v>
      </c>
      <c r="G35" s="454">
        <v>0</v>
      </c>
      <c r="H35" s="454">
        <v>0</v>
      </c>
      <c r="I35" s="454">
        <v>0</v>
      </c>
      <c r="J35" s="454">
        <v>0</v>
      </c>
      <c r="K35" s="454">
        <v>0</v>
      </c>
      <c r="L35" s="454">
        <v>0</v>
      </c>
      <c r="M35" s="454">
        <v>0</v>
      </c>
      <c r="N35" s="454">
        <v>0</v>
      </c>
      <c r="O35" s="454">
        <v>0</v>
      </c>
      <c r="P35" s="109"/>
      <c r="Q35" s="47"/>
      <c r="R35" s="47"/>
      <c r="S35" s="47"/>
      <c r="T35" s="47"/>
      <c r="U35" s="451">
        <v>1</v>
      </c>
    </row>
    <row r="36" ht="15" customHeight="1">
      <c r="A36" s="461">
        <v>5</v>
      </c>
      <c r="B36" t="s" s="462">
        <f>A36&amp;7</f>
        <v>387</v>
      </c>
      <c r="C36" s="463">
        <v>0</v>
      </c>
      <c r="D36" s="463">
        <v>0</v>
      </c>
      <c r="E36" s="463">
        <v>0</v>
      </c>
      <c r="F36" s="463">
        <v>0</v>
      </c>
      <c r="G36" s="463">
        <v>0</v>
      </c>
      <c r="H36" s="463">
        <v>0</v>
      </c>
      <c r="I36" s="463">
        <v>0</v>
      </c>
      <c r="J36" s="463">
        <v>0</v>
      </c>
      <c r="K36" s="463">
        <v>0</v>
      </c>
      <c r="L36" s="463">
        <v>0</v>
      </c>
      <c r="M36" s="463">
        <v>0</v>
      </c>
      <c r="N36" s="463">
        <v>0</v>
      </c>
      <c r="O36" s="463">
        <v>0</v>
      </c>
      <c r="P36" s="109"/>
      <c r="Q36" s="47"/>
      <c r="R36" s="47"/>
      <c r="S36" s="47"/>
      <c r="T36" s="47"/>
      <c r="U36" s="451">
        <v>1</v>
      </c>
    </row>
    <row r="37" ht="14.15" customHeight="1">
      <c r="A37" s="446">
        <v>6</v>
      </c>
      <c r="B37" t="s" s="447">
        <f>A37&amp;1</f>
        <v>479</v>
      </c>
      <c r="C37" s="448">
        <v>0</v>
      </c>
      <c r="D37" s="448">
        <v>0</v>
      </c>
      <c r="E37" s="448">
        <v>0</v>
      </c>
      <c r="F37" s="448">
        <v>0</v>
      </c>
      <c r="G37" s="448">
        <v>0</v>
      </c>
      <c r="H37" s="448">
        <v>0</v>
      </c>
      <c r="I37" s="448">
        <v>0</v>
      </c>
      <c r="J37" s="448">
        <v>0</v>
      </c>
      <c r="K37" s="448">
        <v>0</v>
      </c>
      <c r="L37" s="448">
        <v>0</v>
      </c>
      <c r="M37" s="448">
        <v>0</v>
      </c>
      <c r="N37" s="448">
        <v>0</v>
      </c>
      <c r="O37" s="448">
        <v>0</v>
      </c>
      <c r="P37" s="109"/>
      <c r="Q37" s="47"/>
      <c r="R37" s="47"/>
      <c r="S37" s="47"/>
      <c r="T37" s="47"/>
      <c r="U37" s="451">
        <v>1</v>
      </c>
    </row>
    <row r="38" ht="13.65" customHeight="1">
      <c r="A38" s="466">
        <v>6</v>
      </c>
      <c r="B38" t="s" s="453">
        <f>A38&amp;2</f>
        <v>483</v>
      </c>
      <c r="C38" s="454">
        <v>0</v>
      </c>
      <c r="D38" s="454">
        <v>0</v>
      </c>
      <c r="E38" s="454">
        <v>0</v>
      </c>
      <c r="F38" s="454">
        <v>0</v>
      </c>
      <c r="G38" s="454">
        <v>0</v>
      </c>
      <c r="H38" s="454">
        <v>0</v>
      </c>
      <c r="I38" s="454">
        <v>0</v>
      </c>
      <c r="J38" s="454">
        <v>0</v>
      </c>
      <c r="K38" s="454">
        <v>0</v>
      </c>
      <c r="L38" s="454">
        <v>0</v>
      </c>
      <c r="M38" s="454">
        <v>0</v>
      </c>
      <c r="N38" s="454">
        <v>0</v>
      </c>
      <c r="O38" s="454">
        <v>0</v>
      </c>
      <c r="P38" s="109"/>
      <c r="Q38" s="47"/>
      <c r="R38" s="47"/>
      <c r="S38" s="47"/>
      <c r="T38" s="47"/>
      <c r="U38" s="451">
        <v>1</v>
      </c>
    </row>
    <row r="39" ht="13.65" customHeight="1">
      <c r="A39" s="466">
        <v>6</v>
      </c>
      <c r="B39" t="s" s="453">
        <f>A39&amp;3</f>
        <v>487</v>
      </c>
      <c r="C39" s="454">
        <v>0</v>
      </c>
      <c r="D39" s="454">
        <v>0</v>
      </c>
      <c r="E39" s="454">
        <v>0</v>
      </c>
      <c r="F39" s="454">
        <v>0</v>
      </c>
      <c r="G39" s="454">
        <v>0</v>
      </c>
      <c r="H39" s="454">
        <v>0</v>
      </c>
      <c r="I39" s="454">
        <v>0</v>
      </c>
      <c r="J39" s="454">
        <v>0</v>
      </c>
      <c r="K39" s="454">
        <v>0</v>
      </c>
      <c r="L39" s="454">
        <v>0</v>
      </c>
      <c r="M39" s="454">
        <v>0</v>
      </c>
      <c r="N39" s="454">
        <v>0</v>
      </c>
      <c r="O39" s="454">
        <v>0</v>
      </c>
      <c r="P39" s="109"/>
      <c r="Q39" s="47"/>
      <c r="R39" s="47"/>
      <c r="S39" s="47"/>
      <c r="T39" s="47"/>
      <c r="U39" s="451">
        <v>1</v>
      </c>
    </row>
    <row r="40" ht="13.65" customHeight="1">
      <c r="A40" s="466">
        <v>6</v>
      </c>
      <c r="B40" t="s" s="453">
        <f>A40&amp;4</f>
        <v>490</v>
      </c>
      <c r="C40" s="454">
        <v>0</v>
      </c>
      <c r="D40" s="454">
        <v>0</v>
      </c>
      <c r="E40" s="454">
        <v>0</v>
      </c>
      <c r="F40" s="454">
        <v>0</v>
      </c>
      <c r="G40" s="454">
        <v>0</v>
      </c>
      <c r="H40" s="454">
        <v>0</v>
      </c>
      <c r="I40" s="454">
        <v>0</v>
      </c>
      <c r="J40" s="454">
        <v>0</v>
      </c>
      <c r="K40" s="454">
        <v>0</v>
      </c>
      <c r="L40" s="454">
        <v>0</v>
      </c>
      <c r="M40" s="454">
        <v>0</v>
      </c>
      <c r="N40" s="454">
        <v>0</v>
      </c>
      <c r="O40" s="454">
        <v>0</v>
      </c>
      <c r="P40" s="109"/>
      <c r="Q40" s="47"/>
      <c r="R40" s="47"/>
      <c r="S40" s="47"/>
      <c r="T40" s="47"/>
      <c r="U40" s="451">
        <v>1</v>
      </c>
    </row>
    <row r="41" ht="13.65" customHeight="1">
      <c r="A41" s="466">
        <v>6</v>
      </c>
      <c r="B41" t="s" s="453">
        <f>A41&amp;5</f>
        <v>492</v>
      </c>
      <c r="C41" s="454">
        <v>0</v>
      </c>
      <c r="D41" s="454">
        <v>0</v>
      </c>
      <c r="E41" s="454">
        <v>0</v>
      </c>
      <c r="F41" s="454">
        <v>0</v>
      </c>
      <c r="G41" s="454">
        <v>0</v>
      </c>
      <c r="H41" s="454">
        <v>0</v>
      </c>
      <c r="I41" s="454">
        <v>0</v>
      </c>
      <c r="J41" s="454">
        <v>0</v>
      </c>
      <c r="K41" s="454">
        <v>0</v>
      </c>
      <c r="L41" s="454">
        <v>0</v>
      </c>
      <c r="M41" s="454">
        <v>0</v>
      </c>
      <c r="N41" s="454">
        <v>0</v>
      </c>
      <c r="O41" s="454">
        <v>0</v>
      </c>
      <c r="P41" s="109"/>
      <c r="Q41" s="47"/>
      <c r="R41" s="47"/>
      <c r="S41" s="47"/>
      <c r="T41" s="47"/>
      <c r="U41" s="451">
        <v>1</v>
      </c>
    </row>
    <row r="42" ht="13.65" customHeight="1">
      <c r="A42" s="466">
        <v>6</v>
      </c>
      <c r="B42" t="s" s="453">
        <f>A42&amp;6</f>
        <v>494</v>
      </c>
      <c r="C42" s="454">
        <v>0</v>
      </c>
      <c r="D42" s="454">
        <v>0</v>
      </c>
      <c r="E42" s="454">
        <v>0</v>
      </c>
      <c r="F42" s="454">
        <v>0</v>
      </c>
      <c r="G42" s="454">
        <v>0</v>
      </c>
      <c r="H42" s="454">
        <v>0</v>
      </c>
      <c r="I42" s="454">
        <v>0</v>
      </c>
      <c r="J42" s="454">
        <v>0</v>
      </c>
      <c r="K42" s="454">
        <v>0</v>
      </c>
      <c r="L42" s="454">
        <v>0</v>
      </c>
      <c r="M42" s="454">
        <v>0</v>
      </c>
      <c r="N42" s="454">
        <v>0</v>
      </c>
      <c r="O42" s="454">
        <v>0</v>
      </c>
      <c r="P42" s="109"/>
      <c r="Q42" s="47"/>
      <c r="R42" s="47"/>
      <c r="S42" s="47"/>
      <c r="T42" s="47"/>
      <c r="U42" s="451">
        <v>1</v>
      </c>
    </row>
    <row r="43" ht="15" customHeight="1">
      <c r="A43" s="469">
        <v>6</v>
      </c>
      <c r="B43" t="s" s="462">
        <f>A43&amp;7</f>
        <v>496</v>
      </c>
      <c r="C43" s="463">
        <v>0</v>
      </c>
      <c r="D43" s="463">
        <v>0</v>
      </c>
      <c r="E43" s="463">
        <v>0</v>
      </c>
      <c r="F43" s="463">
        <v>0</v>
      </c>
      <c r="G43" s="463">
        <v>0</v>
      </c>
      <c r="H43" s="463">
        <v>0</v>
      </c>
      <c r="I43" s="463">
        <v>0</v>
      </c>
      <c r="J43" s="463">
        <v>0</v>
      </c>
      <c r="K43" s="463">
        <v>0</v>
      </c>
      <c r="L43" s="463">
        <v>0</v>
      </c>
      <c r="M43" s="463">
        <v>0</v>
      </c>
      <c r="N43" s="463">
        <v>0</v>
      </c>
      <c r="O43" s="463">
        <v>0</v>
      </c>
      <c r="P43" s="109"/>
      <c r="Q43" s="47"/>
      <c r="R43" s="47"/>
      <c r="S43" s="47"/>
      <c r="T43" s="47"/>
      <c r="U43" s="451">
        <v>1</v>
      </c>
    </row>
    <row r="44" ht="14.15" customHeight="1">
      <c r="A44" s="446">
        <v>7</v>
      </c>
      <c r="B44" t="s" s="447">
        <f>A44&amp;1</f>
        <v>623</v>
      </c>
      <c r="C44" s="448">
        <v>0</v>
      </c>
      <c r="D44" s="448">
        <v>0</v>
      </c>
      <c r="E44" s="448">
        <v>0</v>
      </c>
      <c r="F44" s="448">
        <v>0</v>
      </c>
      <c r="G44" s="448">
        <v>0</v>
      </c>
      <c r="H44" s="448">
        <v>0</v>
      </c>
      <c r="I44" s="448">
        <v>0</v>
      </c>
      <c r="J44" s="448">
        <v>0</v>
      </c>
      <c r="K44" s="448">
        <v>0</v>
      </c>
      <c r="L44" s="448">
        <v>0</v>
      </c>
      <c r="M44" s="448">
        <v>0</v>
      </c>
      <c r="N44" s="448">
        <v>0</v>
      </c>
      <c r="O44" s="448">
        <v>0</v>
      </c>
      <c r="P44" s="109"/>
      <c r="Q44" s="47"/>
      <c r="R44" s="47"/>
      <c r="S44" s="47"/>
      <c r="T44" s="47"/>
      <c r="U44" s="451">
        <v>1</v>
      </c>
    </row>
    <row r="45" ht="13.55" customHeight="1">
      <c r="A45" s="452">
        <v>7</v>
      </c>
      <c r="B45" t="s" s="453">
        <f>A45&amp;2</f>
        <v>627</v>
      </c>
      <c r="C45" s="454">
        <v>0</v>
      </c>
      <c r="D45" s="454">
        <v>0</v>
      </c>
      <c r="E45" s="454">
        <v>0</v>
      </c>
      <c r="F45" s="454">
        <v>0</v>
      </c>
      <c r="G45" s="454">
        <v>0</v>
      </c>
      <c r="H45" s="454">
        <v>0</v>
      </c>
      <c r="I45" s="454">
        <v>0</v>
      </c>
      <c r="J45" s="454">
        <v>0</v>
      </c>
      <c r="K45" s="454">
        <v>0</v>
      </c>
      <c r="L45" s="454">
        <v>0</v>
      </c>
      <c r="M45" s="454">
        <v>0</v>
      </c>
      <c r="N45" s="454">
        <v>0</v>
      </c>
      <c r="O45" s="454">
        <v>0</v>
      </c>
      <c r="P45" s="109"/>
      <c r="Q45" s="47"/>
      <c r="R45" s="47"/>
      <c r="S45" s="47"/>
      <c r="T45" s="47"/>
      <c r="U45" s="451">
        <v>1</v>
      </c>
    </row>
    <row r="46" ht="13.55" customHeight="1">
      <c r="A46" s="452">
        <v>7</v>
      </c>
      <c r="B46" t="s" s="453">
        <f>A46&amp;3</f>
        <v>630</v>
      </c>
      <c r="C46" s="454">
        <v>0</v>
      </c>
      <c r="D46" s="454">
        <v>0</v>
      </c>
      <c r="E46" s="454">
        <v>0</v>
      </c>
      <c r="F46" s="454">
        <v>0</v>
      </c>
      <c r="G46" s="454">
        <v>0</v>
      </c>
      <c r="H46" s="454">
        <v>0</v>
      </c>
      <c r="I46" s="454">
        <v>0</v>
      </c>
      <c r="J46" s="454">
        <v>0</v>
      </c>
      <c r="K46" s="454">
        <v>0</v>
      </c>
      <c r="L46" s="454">
        <v>0</v>
      </c>
      <c r="M46" s="454">
        <v>0</v>
      </c>
      <c r="N46" s="454">
        <v>0</v>
      </c>
      <c r="O46" s="454">
        <v>0</v>
      </c>
      <c r="P46" s="109"/>
      <c r="Q46" s="47"/>
      <c r="R46" s="47"/>
      <c r="S46" s="47"/>
      <c r="T46" s="47"/>
      <c r="U46" s="451">
        <v>1</v>
      </c>
    </row>
    <row r="47" ht="13.55" customHeight="1">
      <c r="A47" s="452">
        <v>7</v>
      </c>
      <c r="B47" t="s" s="453">
        <f>A47&amp;4</f>
        <v>634</v>
      </c>
      <c r="C47" s="454">
        <v>0</v>
      </c>
      <c r="D47" s="454">
        <v>0</v>
      </c>
      <c r="E47" s="454">
        <v>0</v>
      </c>
      <c r="F47" s="454">
        <v>0</v>
      </c>
      <c r="G47" s="454">
        <v>0</v>
      </c>
      <c r="H47" s="454">
        <v>0</v>
      </c>
      <c r="I47" s="454">
        <v>0</v>
      </c>
      <c r="J47" s="454">
        <v>0</v>
      </c>
      <c r="K47" s="454">
        <v>0</v>
      </c>
      <c r="L47" s="454">
        <v>0</v>
      </c>
      <c r="M47" s="454">
        <v>0</v>
      </c>
      <c r="N47" s="454">
        <v>0</v>
      </c>
      <c r="O47" s="454">
        <v>0</v>
      </c>
      <c r="P47" s="109"/>
      <c r="Q47" s="47"/>
      <c r="R47" s="47"/>
      <c r="S47" s="47"/>
      <c r="T47" s="47"/>
      <c r="U47" s="451">
        <v>1</v>
      </c>
    </row>
    <row r="48" ht="13.55" customHeight="1">
      <c r="A48" s="452">
        <v>7</v>
      </c>
      <c r="B48" t="s" s="453">
        <f>A48&amp;5</f>
        <v>637</v>
      </c>
      <c r="C48" s="454">
        <v>0</v>
      </c>
      <c r="D48" s="454">
        <v>0</v>
      </c>
      <c r="E48" s="454">
        <v>0</v>
      </c>
      <c r="F48" s="454">
        <v>0</v>
      </c>
      <c r="G48" s="454">
        <v>0</v>
      </c>
      <c r="H48" s="454">
        <v>0</v>
      </c>
      <c r="I48" s="454">
        <v>0</v>
      </c>
      <c r="J48" s="454">
        <v>0</v>
      </c>
      <c r="K48" s="454">
        <v>0</v>
      </c>
      <c r="L48" s="454">
        <v>0</v>
      </c>
      <c r="M48" s="454">
        <v>0</v>
      </c>
      <c r="N48" s="454">
        <v>0</v>
      </c>
      <c r="O48" s="454">
        <v>0</v>
      </c>
      <c r="P48" s="109"/>
      <c r="Q48" s="47"/>
      <c r="R48" s="47"/>
      <c r="S48" s="47"/>
      <c r="T48" s="47"/>
      <c r="U48" s="451">
        <v>1</v>
      </c>
    </row>
    <row r="49" ht="13.55" customHeight="1">
      <c r="A49" s="452">
        <v>7</v>
      </c>
      <c r="B49" t="s" s="453">
        <f>A49&amp;6</f>
        <v>639</v>
      </c>
      <c r="C49" s="454">
        <v>0</v>
      </c>
      <c r="D49" s="454">
        <v>0</v>
      </c>
      <c r="E49" s="454">
        <v>0</v>
      </c>
      <c r="F49" s="454">
        <v>0</v>
      </c>
      <c r="G49" s="454">
        <v>0</v>
      </c>
      <c r="H49" s="454">
        <v>0</v>
      </c>
      <c r="I49" s="454">
        <v>0</v>
      </c>
      <c r="J49" s="454">
        <v>0</v>
      </c>
      <c r="K49" s="454">
        <v>0</v>
      </c>
      <c r="L49" s="454">
        <v>0</v>
      </c>
      <c r="M49" s="454">
        <v>0</v>
      </c>
      <c r="N49" s="454">
        <v>0</v>
      </c>
      <c r="O49" s="454">
        <v>0</v>
      </c>
      <c r="P49" s="109"/>
      <c r="Q49" s="47"/>
      <c r="R49" s="47"/>
      <c r="S49" s="47"/>
      <c r="T49" s="47"/>
      <c r="U49" s="451">
        <v>1</v>
      </c>
    </row>
    <row r="50" ht="15" customHeight="1">
      <c r="A50" s="461">
        <v>7</v>
      </c>
      <c r="B50" t="s" s="462">
        <f>A50&amp;7</f>
        <v>641</v>
      </c>
      <c r="C50" s="463">
        <v>0</v>
      </c>
      <c r="D50" s="463">
        <v>0</v>
      </c>
      <c r="E50" s="463">
        <v>0</v>
      </c>
      <c r="F50" s="463">
        <v>0</v>
      </c>
      <c r="G50" s="463">
        <v>0</v>
      </c>
      <c r="H50" s="463">
        <v>0</v>
      </c>
      <c r="I50" s="463">
        <v>0</v>
      </c>
      <c r="J50" s="463">
        <v>0</v>
      </c>
      <c r="K50" s="463">
        <v>0</v>
      </c>
      <c r="L50" s="463">
        <v>0</v>
      </c>
      <c r="M50" s="463">
        <v>0</v>
      </c>
      <c r="N50" s="463">
        <v>0</v>
      </c>
      <c r="O50" s="463">
        <v>0</v>
      </c>
      <c r="P50" s="109"/>
      <c r="Q50" s="47"/>
      <c r="R50" s="47"/>
      <c r="S50" s="47"/>
      <c r="T50" s="47"/>
      <c r="U50" s="451">
        <v>1</v>
      </c>
    </row>
    <row r="51" ht="14.15" customHeight="1">
      <c r="A51" s="446">
        <v>8</v>
      </c>
      <c r="B51" t="s" s="447">
        <f>A51&amp;1</f>
        <v>647</v>
      </c>
      <c r="C51" s="448">
        <v>0</v>
      </c>
      <c r="D51" s="448">
        <v>0</v>
      </c>
      <c r="E51" s="448">
        <v>0</v>
      </c>
      <c r="F51" s="448">
        <v>0</v>
      </c>
      <c r="G51" s="448">
        <v>0</v>
      </c>
      <c r="H51" s="448">
        <v>0</v>
      </c>
      <c r="I51" s="448">
        <v>0</v>
      </c>
      <c r="J51" s="448">
        <v>0</v>
      </c>
      <c r="K51" s="448">
        <v>0</v>
      </c>
      <c r="L51" s="448">
        <v>0</v>
      </c>
      <c r="M51" s="448">
        <v>0</v>
      </c>
      <c r="N51" s="448">
        <v>0</v>
      </c>
      <c r="O51" s="448">
        <v>0</v>
      </c>
      <c r="P51" s="109"/>
      <c r="Q51" s="47"/>
      <c r="R51" s="47"/>
      <c r="S51" s="47"/>
      <c r="T51" s="47"/>
      <c r="U51" s="253"/>
    </row>
    <row r="52" ht="13.65" customHeight="1">
      <c r="A52" s="466">
        <v>8</v>
      </c>
      <c r="B52" t="s" s="453">
        <f>A52&amp;2</f>
        <v>651</v>
      </c>
      <c r="C52" s="454">
        <v>0</v>
      </c>
      <c r="D52" s="454">
        <v>0</v>
      </c>
      <c r="E52" s="454">
        <v>0</v>
      </c>
      <c r="F52" s="454">
        <v>0</v>
      </c>
      <c r="G52" s="454">
        <v>0</v>
      </c>
      <c r="H52" s="454">
        <v>0</v>
      </c>
      <c r="I52" s="454">
        <v>0</v>
      </c>
      <c r="J52" s="454">
        <v>0</v>
      </c>
      <c r="K52" s="454">
        <v>0</v>
      </c>
      <c r="L52" s="454">
        <v>0</v>
      </c>
      <c r="M52" s="454">
        <v>0</v>
      </c>
      <c r="N52" s="454">
        <v>0</v>
      </c>
      <c r="O52" s="454">
        <v>0</v>
      </c>
      <c r="P52" s="109"/>
      <c r="Q52" s="47"/>
      <c r="R52" s="47"/>
      <c r="S52" s="47"/>
      <c r="T52" s="47"/>
      <c r="U52" s="253"/>
    </row>
    <row r="53" ht="13.65" customHeight="1">
      <c r="A53" s="466">
        <v>8</v>
      </c>
      <c r="B53" t="s" s="453">
        <f>A53&amp;3</f>
        <v>655</v>
      </c>
      <c r="C53" s="454">
        <v>0</v>
      </c>
      <c r="D53" s="454">
        <v>0</v>
      </c>
      <c r="E53" s="454">
        <v>0</v>
      </c>
      <c r="F53" s="454">
        <v>0</v>
      </c>
      <c r="G53" s="454">
        <v>0</v>
      </c>
      <c r="H53" s="454">
        <v>0</v>
      </c>
      <c r="I53" s="454">
        <v>0</v>
      </c>
      <c r="J53" s="454">
        <v>0</v>
      </c>
      <c r="K53" s="454">
        <v>0</v>
      </c>
      <c r="L53" s="454">
        <v>0</v>
      </c>
      <c r="M53" s="454">
        <v>0</v>
      </c>
      <c r="N53" s="454">
        <v>0</v>
      </c>
      <c r="O53" s="454">
        <v>0</v>
      </c>
      <c r="P53" s="109"/>
      <c r="Q53" s="47"/>
      <c r="R53" s="47"/>
      <c r="S53" s="47"/>
      <c r="T53" s="47"/>
      <c r="U53" s="253"/>
    </row>
    <row r="54" ht="13.65" customHeight="1">
      <c r="A54" s="466">
        <v>8</v>
      </c>
      <c r="B54" t="s" s="453">
        <f>A54&amp;4</f>
        <v>659</v>
      </c>
      <c r="C54" s="454">
        <v>0</v>
      </c>
      <c r="D54" s="454">
        <v>0</v>
      </c>
      <c r="E54" s="454">
        <v>0</v>
      </c>
      <c r="F54" s="454">
        <v>0</v>
      </c>
      <c r="G54" s="454">
        <v>0</v>
      </c>
      <c r="H54" s="454">
        <v>0</v>
      </c>
      <c r="I54" s="454">
        <v>0</v>
      </c>
      <c r="J54" s="454">
        <v>0</v>
      </c>
      <c r="K54" s="454">
        <v>0</v>
      </c>
      <c r="L54" s="454">
        <v>0</v>
      </c>
      <c r="M54" s="454">
        <v>0</v>
      </c>
      <c r="N54" s="454">
        <v>0</v>
      </c>
      <c r="O54" s="454">
        <v>0</v>
      </c>
      <c r="P54" s="109"/>
      <c r="Q54" s="47"/>
      <c r="R54" s="47"/>
      <c r="S54" s="47"/>
      <c r="T54" s="47"/>
      <c r="U54" s="253"/>
    </row>
    <row r="55" ht="13.65" customHeight="1">
      <c r="A55" s="466">
        <v>8</v>
      </c>
      <c r="B55" t="s" s="453">
        <f>A55&amp;5</f>
        <v>662</v>
      </c>
      <c r="C55" s="454">
        <v>0</v>
      </c>
      <c r="D55" s="454">
        <v>0</v>
      </c>
      <c r="E55" s="454">
        <v>0</v>
      </c>
      <c r="F55" s="454">
        <v>0</v>
      </c>
      <c r="G55" s="454">
        <v>0</v>
      </c>
      <c r="H55" s="454">
        <v>0</v>
      </c>
      <c r="I55" s="454">
        <v>0</v>
      </c>
      <c r="J55" s="454">
        <v>0</v>
      </c>
      <c r="K55" s="454">
        <v>0</v>
      </c>
      <c r="L55" s="454">
        <v>0</v>
      </c>
      <c r="M55" s="454">
        <v>0</v>
      </c>
      <c r="N55" s="454">
        <v>0</v>
      </c>
      <c r="O55" s="454">
        <v>0</v>
      </c>
      <c r="P55" s="109"/>
      <c r="Q55" s="47"/>
      <c r="R55" s="47"/>
      <c r="S55" s="47"/>
      <c r="T55" s="47"/>
      <c r="U55" s="253"/>
    </row>
    <row r="56" ht="13.65" customHeight="1">
      <c r="A56" s="466">
        <v>8</v>
      </c>
      <c r="B56" t="s" s="453">
        <f>A56&amp;6</f>
        <v>666</v>
      </c>
      <c r="C56" s="454">
        <v>0</v>
      </c>
      <c r="D56" s="454">
        <v>0</v>
      </c>
      <c r="E56" s="454">
        <v>0</v>
      </c>
      <c r="F56" s="454">
        <v>0</v>
      </c>
      <c r="G56" s="454">
        <v>0</v>
      </c>
      <c r="H56" s="454">
        <v>0</v>
      </c>
      <c r="I56" s="454">
        <v>0</v>
      </c>
      <c r="J56" s="454">
        <v>0</v>
      </c>
      <c r="K56" s="454">
        <v>0</v>
      </c>
      <c r="L56" s="454">
        <v>0</v>
      </c>
      <c r="M56" s="454">
        <v>0</v>
      </c>
      <c r="N56" s="454">
        <v>0</v>
      </c>
      <c r="O56" s="454">
        <v>0</v>
      </c>
      <c r="P56" s="109"/>
      <c r="Q56" s="47"/>
      <c r="R56" s="47"/>
      <c r="S56" s="47"/>
      <c r="T56" s="47"/>
      <c r="U56" s="253"/>
    </row>
    <row r="57" ht="15" customHeight="1">
      <c r="A57" s="469">
        <v>8</v>
      </c>
      <c r="B57" t="s" s="462">
        <f>A57&amp;7</f>
        <v>670</v>
      </c>
      <c r="C57" s="454">
        <v>0</v>
      </c>
      <c r="D57" s="454">
        <v>0</v>
      </c>
      <c r="E57" s="454">
        <v>0</v>
      </c>
      <c r="F57" s="454">
        <v>0</v>
      </c>
      <c r="G57" s="454">
        <v>0</v>
      </c>
      <c r="H57" s="454">
        <v>0</v>
      </c>
      <c r="I57" s="454">
        <v>0</v>
      </c>
      <c r="J57" s="454">
        <v>0</v>
      </c>
      <c r="K57" s="454">
        <v>0</v>
      </c>
      <c r="L57" s="454">
        <v>0</v>
      </c>
      <c r="M57" s="454">
        <v>0</v>
      </c>
      <c r="N57" s="454">
        <v>0</v>
      </c>
      <c r="O57" s="454">
        <v>0</v>
      </c>
      <c r="P57" s="109"/>
      <c r="Q57" s="47"/>
      <c r="R57" s="47"/>
      <c r="S57" s="47"/>
      <c r="T57" s="47"/>
      <c r="U57" s="253"/>
    </row>
    <row r="58" ht="14.05" customHeight="1">
      <c r="A58" s="470"/>
      <c r="B58" s="241"/>
      <c r="C58" s="47"/>
      <c r="D58" s="47"/>
      <c r="E58" s="47"/>
      <c r="F58" s="47"/>
      <c r="G58" s="47"/>
      <c r="H58" s="47"/>
      <c r="I58" s="47"/>
      <c r="J58" s="47"/>
      <c r="K58" s="47"/>
      <c r="L58" s="47"/>
      <c r="M58" s="47"/>
      <c r="N58" s="47"/>
      <c r="O58" s="47"/>
      <c r="P58" s="47"/>
      <c r="Q58" s="47"/>
      <c r="R58" s="47"/>
      <c r="S58" s="47"/>
      <c r="T58" s="47"/>
      <c r="U58" s="253"/>
    </row>
    <row r="59" ht="13.55" customHeight="1">
      <c r="A59" s="471"/>
      <c r="B59" s="47"/>
      <c r="C59" s="47"/>
      <c r="D59" s="47"/>
      <c r="E59" s="47"/>
      <c r="F59" s="47"/>
      <c r="G59" s="47"/>
      <c r="H59" s="47"/>
      <c r="I59" s="47"/>
      <c r="J59" s="47"/>
      <c r="K59" s="47"/>
      <c r="L59" s="47"/>
      <c r="M59" s="47"/>
      <c r="N59" s="47"/>
      <c r="O59" s="47"/>
      <c r="P59" s="47"/>
      <c r="Q59" s="47"/>
      <c r="R59" s="47"/>
      <c r="S59" s="47"/>
      <c r="T59" s="47"/>
      <c r="U59" s="253"/>
    </row>
    <row r="60" ht="13.55" customHeight="1">
      <c r="A60" t="s" s="472">
        <v>1749</v>
      </c>
      <c r="B60" s="47"/>
      <c r="C60" s="47"/>
      <c r="D60" s="47"/>
      <c r="E60" s="47"/>
      <c r="F60" s="47"/>
      <c r="G60" s="47"/>
      <c r="H60" s="47"/>
      <c r="I60" s="47"/>
      <c r="J60" s="47"/>
      <c r="K60" s="47"/>
      <c r="L60" s="47"/>
      <c r="M60" s="47"/>
      <c r="N60" s="47"/>
      <c r="O60" s="47"/>
      <c r="P60" s="47"/>
      <c r="Q60" s="47"/>
      <c r="R60" s="47"/>
      <c r="S60" s="47"/>
      <c r="T60" s="47"/>
      <c r="U60" s="253"/>
    </row>
    <row r="61" ht="13.55" customHeight="1">
      <c r="A61" t="s" s="472">
        <v>1750</v>
      </c>
      <c r="B61" s="47"/>
      <c r="C61" s="47"/>
      <c r="D61" s="47"/>
      <c r="E61" s="47"/>
      <c r="F61" s="47"/>
      <c r="G61" s="47"/>
      <c r="H61" s="47"/>
      <c r="I61" s="47"/>
      <c r="J61" s="47"/>
      <c r="K61" s="47"/>
      <c r="L61" s="47"/>
      <c r="M61" s="47"/>
      <c r="N61" s="47"/>
      <c r="O61" s="47"/>
      <c r="P61" s="47"/>
      <c r="Q61" s="47"/>
      <c r="R61" s="47"/>
      <c r="S61" s="47"/>
      <c r="T61" s="47"/>
      <c r="U61" s="253"/>
    </row>
    <row r="62" ht="13.55" customHeight="1">
      <c r="A62" s="471"/>
      <c r="B62" s="47"/>
      <c r="C62" s="47"/>
      <c r="D62" s="47"/>
      <c r="E62" s="47"/>
      <c r="F62" s="47"/>
      <c r="G62" s="47"/>
      <c r="H62" s="47"/>
      <c r="I62" s="47"/>
      <c r="J62" s="47"/>
      <c r="K62" s="47"/>
      <c r="L62" s="47"/>
      <c r="M62" s="47"/>
      <c r="N62" s="47"/>
      <c r="O62" s="47"/>
      <c r="P62" s="47"/>
      <c r="Q62" s="47"/>
      <c r="R62" s="47"/>
      <c r="S62" s="47"/>
      <c r="T62" s="47"/>
      <c r="U62" s="253"/>
    </row>
    <row r="63" ht="15" customHeight="1">
      <c r="A63" s="473"/>
      <c r="B63" s="474"/>
      <c r="C63" s="47"/>
      <c r="D63" s="475"/>
      <c r="E63" s="474"/>
      <c r="F63" s="474"/>
      <c r="G63" s="474"/>
      <c r="H63" s="47"/>
      <c r="I63" s="47"/>
      <c r="J63" s="47"/>
      <c r="K63" s="47"/>
      <c r="L63" s="47"/>
      <c r="M63" s="47"/>
      <c r="N63" s="47"/>
      <c r="O63" s="47"/>
      <c r="P63" s="47"/>
      <c r="Q63" s="47"/>
      <c r="R63" s="47"/>
      <c r="S63" s="47"/>
      <c r="T63" s="47"/>
      <c r="U63" s="253"/>
    </row>
    <row r="64" ht="14.05" customHeight="1">
      <c r="A64" t="s" s="447">
        <v>33</v>
      </c>
      <c r="B64" s="448">
        <v>1</v>
      </c>
      <c r="C64" s="106"/>
      <c r="D64" s="448">
        <v>0</v>
      </c>
      <c r="E64" t="s" s="476">
        <v>1751</v>
      </c>
      <c r="F64" s="241"/>
      <c r="G64" s="477"/>
      <c r="H64" s="109"/>
      <c r="I64" s="47"/>
      <c r="J64" s="47"/>
      <c r="K64" s="47"/>
      <c r="L64" s="47"/>
      <c r="M64" s="47"/>
      <c r="N64" s="47"/>
      <c r="O64" s="47"/>
      <c r="P64" s="47"/>
      <c r="Q64" s="47"/>
      <c r="R64" s="47"/>
      <c r="S64" s="47"/>
      <c r="T64" s="47"/>
      <c r="U64" s="253"/>
    </row>
    <row r="65" ht="13.65" customHeight="1">
      <c r="A65" t="s" s="453">
        <v>46</v>
      </c>
      <c r="B65" s="454">
        <v>1</v>
      </c>
      <c r="C65" s="106"/>
      <c r="D65" s="454">
        <v>1</v>
      </c>
      <c r="E65" t="s" s="478">
        <v>1752</v>
      </c>
      <c r="F65" s="47"/>
      <c r="G65" s="103"/>
      <c r="H65" s="109"/>
      <c r="I65" s="47"/>
      <c r="J65" s="47"/>
      <c r="K65" s="47"/>
      <c r="L65" s="47"/>
      <c r="M65" s="47"/>
      <c r="N65" s="47"/>
      <c r="O65" s="47"/>
      <c r="P65" s="47"/>
      <c r="Q65" s="47"/>
      <c r="R65" s="47"/>
      <c r="S65" s="47"/>
      <c r="T65" s="47"/>
      <c r="U65" s="253"/>
    </row>
    <row r="66" ht="13.55" customHeight="1">
      <c r="A66" t="s" s="453">
        <v>63</v>
      </c>
      <c r="B66" s="454">
        <v>1</v>
      </c>
      <c r="C66" s="106"/>
      <c r="D66" s="454">
        <v>2</v>
      </c>
      <c r="E66" t="s" s="479">
        <v>1753</v>
      </c>
      <c r="F66" s="47"/>
      <c r="G66" s="103"/>
      <c r="H66" s="109"/>
      <c r="I66" s="47"/>
      <c r="J66" s="47"/>
      <c r="K66" s="47"/>
      <c r="L66" s="47"/>
      <c r="M66" s="47"/>
      <c r="N66" s="47"/>
      <c r="O66" s="47"/>
      <c r="P66" s="47"/>
      <c r="Q66" s="47"/>
      <c r="R66" s="47"/>
      <c r="S66" s="47"/>
      <c r="T66" s="47"/>
      <c r="U66" s="253"/>
    </row>
    <row r="67" ht="13.65" customHeight="1">
      <c r="A67" t="s" s="453">
        <v>80</v>
      </c>
      <c r="B67" s="454">
        <v>1</v>
      </c>
      <c r="C67" s="106"/>
      <c r="D67" s="454">
        <v>3</v>
      </c>
      <c r="E67" t="s" s="478">
        <v>1754</v>
      </c>
      <c r="F67" s="47"/>
      <c r="G67" s="103"/>
      <c r="H67" s="109"/>
      <c r="I67" s="47"/>
      <c r="J67" s="47"/>
      <c r="K67" s="47"/>
      <c r="L67" s="47"/>
      <c r="M67" s="47"/>
      <c r="N67" s="47"/>
      <c r="O67" s="47"/>
      <c r="P67" s="47"/>
      <c r="Q67" s="47"/>
      <c r="R67" s="47"/>
      <c r="S67" s="47"/>
      <c r="T67" s="47"/>
      <c r="U67" s="253"/>
    </row>
    <row r="68" ht="15" customHeight="1">
      <c r="A68" t="s" s="453">
        <v>94</v>
      </c>
      <c r="B68" s="454">
        <v>1</v>
      </c>
      <c r="C68" s="106"/>
      <c r="D68" s="463">
        <v>4</v>
      </c>
      <c r="E68" t="s" s="480">
        <v>1755</v>
      </c>
      <c r="F68" s="474"/>
      <c r="G68" s="481"/>
      <c r="H68" s="109"/>
      <c r="I68" s="47"/>
      <c r="J68" s="47"/>
      <c r="K68" s="47"/>
      <c r="L68" s="47"/>
      <c r="M68" s="47"/>
      <c r="N68" s="47"/>
      <c r="O68" s="47"/>
      <c r="P68" s="47"/>
      <c r="Q68" s="47"/>
      <c r="R68" s="47"/>
      <c r="S68" s="47"/>
      <c r="T68" s="47"/>
      <c r="U68" s="253"/>
    </row>
    <row r="69" ht="14.15" customHeight="1">
      <c r="A69" t="s" s="453">
        <v>108</v>
      </c>
      <c r="B69" s="454">
        <v>1</v>
      </c>
      <c r="C69" s="109"/>
      <c r="D69" s="241"/>
      <c r="E69" t="s" s="482">
        <v>28</v>
      </c>
      <c r="F69" s="241"/>
      <c r="G69" s="241"/>
      <c r="H69" s="47"/>
      <c r="I69" s="47"/>
      <c r="J69" s="47"/>
      <c r="K69" s="47"/>
      <c r="L69" s="47"/>
      <c r="M69" s="47"/>
      <c r="N69" s="47"/>
      <c r="O69" s="47"/>
      <c r="P69" s="47"/>
      <c r="Q69" s="47"/>
      <c r="R69" s="47"/>
      <c r="S69" s="47"/>
      <c r="T69" s="47"/>
      <c r="U69" s="253"/>
    </row>
    <row r="70" ht="13.55" customHeight="1">
      <c r="A70" t="s" s="453">
        <v>123</v>
      </c>
      <c r="B70" s="454">
        <v>1</v>
      </c>
      <c r="C70" s="109"/>
      <c r="D70" s="47"/>
      <c r="E70" s="47"/>
      <c r="F70" s="47"/>
      <c r="G70" s="47"/>
      <c r="H70" s="47"/>
      <c r="I70" s="47"/>
      <c r="J70" s="47"/>
      <c r="K70" s="47"/>
      <c r="L70" s="47"/>
      <c r="M70" s="47"/>
      <c r="N70" s="47"/>
      <c r="O70" s="47"/>
      <c r="P70" s="47"/>
      <c r="Q70" s="47"/>
      <c r="R70" s="47"/>
      <c r="S70" s="47"/>
      <c r="T70" s="47"/>
      <c r="U70" s="253"/>
    </row>
    <row r="71" ht="13.55" customHeight="1">
      <c r="A71" t="s" s="453">
        <v>140</v>
      </c>
      <c r="B71" s="454">
        <v>1</v>
      </c>
      <c r="C71" s="109"/>
      <c r="D71" s="47"/>
      <c r="E71" s="47"/>
      <c r="F71" s="47"/>
      <c r="G71" s="47"/>
      <c r="H71" s="47"/>
      <c r="I71" s="47"/>
      <c r="J71" s="47"/>
      <c r="K71" s="47"/>
      <c r="L71" s="47"/>
      <c r="M71" s="47"/>
      <c r="N71" s="47"/>
      <c r="O71" s="47"/>
      <c r="P71" s="47"/>
      <c r="Q71" s="47"/>
      <c r="R71" s="47"/>
      <c r="S71" s="47"/>
      <c r="T71" s="47"/>
      <c r="U71" s="253"/>
    </row>
    <row r="72" ht="13.55" customHeight="1">
      <c r="A72" t="s" s="453">
        <v>153</v>
      </c>
      <c r="B72" s="454">
        <v>1</v>
      </c>
      <c r="C72" s="109"/>
      <c r="D72" s="47"/>
      <c r="E72" s="47"/>
      <c r="F72" s="47"/>
      <c r="G72" s="47"/>
      <c r="H72" s="47"/>
      <c r="I72" s="47"/>
      <c r="J72" s="47"/>
      <c r="K72" s="47"/>
      <c r="L72" s="47"/>
      <c r="M72" s="47"/>
      <c r="N72" s="47"/>
      <c r="O72" s="47"/>
      <c r="P72" s="47"/>
      <c r="Q72" s="47"/>
      <c r="R72" s="47"/>
      <c r="S72" s="47"/>
      <c r="T72" s="47"/>
      <c r="U72" s="253"/>
    </row>
    <row r="73" ht="13.55" customHeight="1">
      <c r="A73" t="s" s="453">
        <v>169</v>
      </c>
      <c r="B73" s="454">
        <v>1</v>
      </c>
      <c r="C73" s="109"/>
      <c r="D73" s="47"/>
      <c r="E73" s="47"/>
      <c r="F73" s="47"/>
      <c r="G73" s="47"/>
      <c r="H73" s="47"/>
      <c r="I73" s="47"/>
      <c r="J73" s="47"/>
      <c r="K73" s="47"/>
      <c r="L73" s="47"/>
      <c r="M73" s="47"/>
      <c r="N73" s="47"/>
      <c r="O73" s="47"/>
      <c r="P73" s="47"/>
      <c r="Q73" s="47"/>
      <c r="R73" s="47"/>
      <c r="S73" s="47"/>
      <c r="T73" s="47"/>
      <c r="U73" s="253"/>
    </row>
    <row r="74" ht="13.55" customHeight="1">
      <c r="A74" t="s" s="453">
        <v>185</v>
      </c>
      <c r="B74" s="454">
        <v>1</v>
      </c>
      <c r="C74" s="109"/>
      <c r="D74" s="47"/>
      <c r="E74" s="47"/>
      <c r="F74" s="47"/>
      <c r="G74" s="47"/>
      <c r="H74" s="47"/>
      <c r="I74" s="47"/>
      <c r="J74" s="47"/>
      <c r="K74" s="47"/>
      <c r="L74" s="47"/>
      <c r="M74" s="47"/>
      <c r="N74" s="47"/>
      <c r="O74" s="47"/>
      <c r="P74" s="47"/>
      <c r="Q74" s="47"/>
      <c r="R74" s="47"/>
      <c r="S74" s="47"/>
      <c r="T74" s="47"/>
      <c r="U74" s="253"/>
    </row>
    <row r="75" ht="15" customHeight="1">
      <c r="A75" t="s" s="483">
        <v>202</v>
      </c>
      <c r="B75" s="463">
        <v>1</v>
      </c>
      <c r="C75" s="109"/>
      <c r="D75" s="47"/>
      <c r="E75" s="47"/>
      <c r="F75" s="47"/>
      <c r="G75" s="47"/>
      <c r="H75" s="47"/>
      <c r="I75" s="47"/>
      <c r="J75" s="47"/>
      <c r="K75" s="47"/>
      <c r="L75" s="47"/>
      <c r="M75" s="47"/>
      <c r="N75" s="47"/>
      <c r="O75" s="47"/>
      <c r="P75" s="47"/>
      <c r="Q75" s="47"/>
      <c r="R75" s="47"/>
      <c r="S75" s="47"/>
      <c r="T75" s="47"/>
      <c r="U75" s="253"/>
    </row>
    <row r="76" ht="14.05" customHeight="1">
      <c r="A76" s="470"/>
      <c r="B76" s="241"/>
      <c r="C76" s="47"/>
      <c r="D76" s="47"/>
      <c r="E76" s="47"/>
      <c r="F76" s="47"/>
      <c r="G76" s="47"/>
      <c r="H76" s="47"/>
      <c r="I76" s="47"/>
      <c r="J76" s="47"/>
      <c r="K76" s="47"/>
      <c r="L76" s="47"/>
      <c r="M76" s="47"/>
      <c r="N76" s="47"/>
      <c r="O76" s="47"/>
      <c r="P76" s="47"/>
      <c r="Q76" s="47"/>
      <c r="R76" s="47"/>
      <c r="S76" s="47"/>
      <c r="T76" s="47"/>
      <c r="U76" s="253"/>
    </row>
    <row r="77" ht="13.55" customHeight="1">
      <c r="A77" s="471"/>
      <c r="B77" s="47"/>
      <c r="C77" s="47"/>
      <c r="D77" s="47"/>
      <c r="E77" s="47"/>
      <c r="F77" s="47"/>
      <c r="G77" s="47"/>
      <c r="H77" s="47"/>
      <c r="I77" s="47"/>
      <c r="J77" s="47"/>
      <c r="K77" s="47"/>
      <c r="L77" s="47"/>
      <c r="M77" s="47"/>
      <c r="N77" s="47"/>
      <c r="O77" s="47"/>
      <c r="P77" s="47"/>
      <c r="Q77" s="47"/>
      <c r="R77" s="47"/>
      <c r="S77" s="47"/>
      <c r="T77" s="47"/>
      <c r="U77" s="253"/>
    </row>
    <row r="78" ht="13.65" customHeight="1">
      <c r="A78" t="s" s="484">
        <v>27</v>
      </c>
      <c r="B78" s="47"/>
      <c r="C78" s="47"/>
      <c r="D78" s="47"/>
      <c r="E78" s="47"/>
      <c r="F78" s="47"/>
      <c r="G78" s="47"/>
      <c r="H78" s="47"/>
      <c r="I78" s="47"/>
      <c r="J78" s="47"/>
      <c r="K78" s="47"/>
      <c r="L78" s="47"/>
      <c r="M78" s="47"/>
      <c r="N78" s="47"/>
      <c r="O78" s="47"/>
      <c r="P78" s="47"/>
      <c r="Q78" s="47"/>
      <c r="R78" s="47"/>
      <c r="S78" s="47"/>
      <c r="T78" s="47"/>
      <c r="U78" s="253"/>
    </row>
    <row r="79" ht="13.65" customHeight="1">
      <c r="A79" s="485"/>
      <c r="B79" s="47"/>
      <c r="C79" s="47"/>
      <c r="D79" s="47"/>
      <c r="E79" s="47"/>
      <c r="F79" s="47"/>
      <c r="G79" s="47"/>
      <c r="H79" s="47"/>
      <c r="I79" s="47"/>
      <c r="J79" s="47"/>
      <c r="K79" s="47"/>
      <c r="L79" s="47"/>
      <c r="M79" s="47"/>
      <c r="N79" s="47"/>
      <c r="O79" s="47"/>
      <c r="P79" s="47"/>
      <c r="Q79" s="47"/>
      <c r="R79" s="47"/>
      <c r="S79" s="47"/>
      <c r="T79" s="47"/>
      <c r="U79" s="253"/>
    </row>
    <row r="80" ht="13.65" customHeight="1">
      <c r="A80" s="486"/>
      <c r="B80" s="47"/>
      <c r="C80" s="47"/>
      <c r="D80" s="47"/>
      <c r="E80" s="47"/>
      <c r="F80" s="47"/>
      <c r="G80" s="47"/>
      <c r="H80" s="47"/>
      <c r="I80" s="47"/>
      <c r="J80" s="47"/>
      <c r="K80" s="47"/>
      <c r="L80" s="47"/>
      <c r="M80" s="47"/>
      <c r="N80" s="47"/>
      <c r="O80" s="47"/>
      <c r="P80" s="47"/>
      <c r="Q80" s="47"/>
      <c r="R80" s="47"/>
      <c r="S80" s="47"/>
      <c r="T80" s="47"/>
      <c r="U80" s="253"/>
    </row>
    <row r="81" ht="13.65" customHeight="1">
      <c r="A81" s="487"/>
      <c r="B81" s="47"/>
      <c r="C81" s="47"/>
      <c r="D81" s="47"/>
      <c r="E81" s="47"/>
      <c r="F81" s="47"/>
      <c r="G81" s="47"/>
      <c r="H81" s="47"/>
      <c r="I81" s="47"/>
      <c r="J81" s="47"/>
      <c r="K81" s="47"/>
      <c r="L81" s="47"/>
      <c r="M81" s="47"/>
      <c r="N81" s="47"/>
      <c r="O81" s="47"/>
      <c r="P81" s="47"/>
      <c r="Q81" s="47"/>
      <c r="R81" s="47"/>
      <c r="S81" s="47"/>
      <c r="T81" s="47"/>
      <c r="U81" s="253"/>
    </row>
    <row r="82" ht="13.65" customHeight="1">
      <c r="A82" s="488"/>
      <c r="B82" s="47"/>
      <c r="C82" s="47"/>
      <c r="D82" s="47"/>
      <c r="E82" s="47"/>
      <c r="F82" s="47"/>
      <c r="G82" s="47"/>
      <c r="H82" s="47"/>
      <c r="I82" s="47"/>
      <c r="J82" s="47"/>
      <c r="K82" s="47"/>
      <c r="L82" s="47"/>
      <c r="M82" s="47"/>
      <c r="N82" s="47"/>
      <c r="O82" s="47"/>
      <c r="P82" s="47"/>
      <c r="Q82" s="47"/>
      <c r="R82" s="47"/>
      <c r="S82" s="47"/>
      <c r="T82" s="47"/>
      <c r="U82" s="253"/>
    </row>
    <row r="83" ht="13.55" customHeight="1">
      <c r="A83" t="s" s="489">
        <v>28</v>
      </c>
      <c r="B83" s="47"/>
      <c r="C83" s="47"/>
      <c r="D83" s="47"/>
      <c r="E83" s="47"/>
      <c r="F83" s="47"/>
      <c r="G83" s="47"/>
      <c r="H83" s="47"/>
      <c r="I83" s="47"/>
      <c r="J83" s="47"/>
      <c r="K83" s="47"/>
      <c r="L83" s="47"/>
      <c r="M83" s="47"/>
      <c r="N83" s="47"/>
      <c r="O83" s="47"/>
      <c r="P83" s="47"/>
      <c r="Q83" s="47"/>
      <c r="R83" s="47"/>
      <c r="S83" s="47"/>
      <c r="T83" s="47"/>
      <c r="U83" s="253"/>
    </row>
    <row r="84" ht="13.55" customHeight="1">
      <c r="A84" s="490"/>
      <c r="B84" s="47"/>
      <c r="C84" s="47"/>
      <c r="D84" s="47"/>
      <c r="E84" s="47"/>
      <c r="F84" s="47"/>
      <c r="G84" s="47"/>
      <c r="H84" s="47"/>
      <c r="I84" s="47"/>
      <c r="J84" s="47"/>
      <c r="K84" s="47"/>
      <c r="L84" s="47"/>
      <c r="M84" s="47"/>
      <c r="N84" s="47"/>
      <c r="O84" s="47"/>
      <c r="P84" s="47"/>
      <c r="Q84" s="47"/>
      <c r="R84" s="47"/>
      <c r="S84" s="47"/>
      <c r="T84" s="47"/>
      <c r="U84" s="253"/>
    </row>
    <row r="85" ht="13.55" customHeight="1">
      <c r="A85" s="471"/>
      <c r="B85" s="47"/>
      <c r="C85" s="47"/>
      <c r="D85" s="47"/>
      <c r="E85" s="47"/>
      <c r="F85" s="47"/>
      <c r="G85" s="47"/>
      <c r="H85" s="47"/>
      <c r="I85" s="47"/>
      <c r="J85" s="47"/>
      <c r="K85" s="47"/>
      <c r="L85" s="47"/>
      <c r="M85" s="47"/>
      <c r="N85" s="47"/>
      <c r="O85" s="47"/>
      <c r="P85" s="47"/>
      <c r="Q85" s="47"/>
      <c r="R85" s="47"/>
      <c r="S85" s="47"/>
      <c r="T85" s="47"/>
      <c r="U85" s="253"/>
    </row>
    <row r="86" ht="13.55" customHeight="1">
      <c r="A86" s="471"/>
      <c r="B86" s="47"/>
      <c r="C86" s="47"/>
      <c r="D86" s="47"/>
      <c r="E86" s="47"/>
      <c r="F86" s="47"/>
      <c r="G86" s="47"/>
      <c r="H86" s="47"/>
      <c r="I86" s="47"/>
      <c r="J86" s="47"/>
      <c r="K86" s="47"/>
      <c r="L86" s="47"/>
      <c r="M86" s="47"/>
      <c r="N86" s="47"/>
      <c r="O86" s="47"/>
      <c r="P86" s="47"/>
      <c r="Q86" s="47"/>
      <c r="R86" s="47"/>
      <c r="S86" s="47"/>
      <c r="T86" s="47"/>
      <c r="U86" s="253"/>
    </row>
    <row r="87" ht="13.65" customHeight="1">
      <c r="A87" t="s" s="491">
        <v>1756</v>
      </c>
      <c r="B87" s="47"/>
      <c r="C87" s="47"/>
      <c r="D87" s="47"/>
      <c r="E87" s="47"/>
      <c r="F87" s="47"/>
      <c r="G87" s="47"/>
      <c r="H87" s="47"/>
      <c r="I87" s="47"/>
      <c r="J87" s="47"/>
      <c r="K87" s="47"/>
      <c r="L87" s="47"/>
      <c r="M87" s="47"/>
      <c r="N87" s="47"/>
      <c r="O87" s="47"/>
      <c r="P87" s="47"/>
      <c r="Q87" s="47"/>
      <c r="R87" s="47"/>
      <c r="S87" s="47"/>
      <c r="T87" s="47"/>
      <c r="U87" s="253"/>
    </row>
    <row r="88" ht="13.65" customHeight="1">
      <c r="A88" t="s" s="492">
        <v>1757</v>
      </c>
      <c r="B88" s="47"/>
      <c r="C88" s="47"/>
      <c r="D88" s="47"/>
      <c r="E88" s="47"/>
      <c r="F88" s="47"/>
      <c r="G88" s="47"/>
      <c r="H88" s="47"/>
      <c r="I88" s="47"/>
      <c r="J88" s="47"/>
      <c r="K88" s="47"/>
      <c r="L88" s="47"/>
      <c r="M88" s="47"/>
      <c r="N88" s="47"/>
      <c r="O88" s="47"/>
      <c r="P88" s="47"/>
      <c r="Q88" s="47"/>
      <c r="R88" s="47"/>
      <c r="S88" s="47"/>
      <c r="T88" s="47"/>
      <c r="U88" s="253"/>
    </row>
    <row r="89" ht="13.65" customHeight="1">
      <c r="A89" t="s" s="493">
        <v>1758</v>
      </c>
      <c r="B89" s="47"/>
      <c r="C89" s="47"/>
      <c r="D89" s="47"/>
      <c r="E89" s="47"/>
      <c r="F89" s="47"/>
      <c r="G89" s="47"/>
      <c r="H89" s="47"/>
      <c r="I89" s="47"/>
      <c r="J89" s="47"/>
      <c r="K89" s="47"/>
      <c r="L89" s="47"/>
      <c r="M89" s="47"/>
      <c r="N89" s="47"/>
      <c r="O89" s="47"/>
      <c r="P89" s="47"/>
      <c r="Q89" s="47"/>
      <c r="R89" s="47"/>
      <c r="S89" s="47"/>
      <c r="T89" s="47"/>
      <c r="U89" s="253"/>
    </row>
    <row r="90" ht="13.65" customHeight="1">
      <c r="A90" t="s" s="494">
        <v>1759</v>
      </c>
      <c r="B90" s="47"/>
      <c r="C90" s="47"/>
      <c r="D90" s="47"/>
      <c r="E90" s="47"/>
      <c r="F90" s="47"/>
      <c r="G90" s="47"/>
      <c r="H90" s="47"/>
      <c r="I90" s="47"/>
      <c r="J90" s="47"/>
      <c r="K90" s="47"/>
      <c r="L90" s="47"/>
      <c r="M90" s="47"/>
      <c r="N90" s="47"/>
      <c r="O90" s="47"/>
      <c r="P90" s="47"/>
      <c r="Q90" s="47"/>
      <c r="R90" s="47"/>
      <c r="S90" s="47"/>
      <c r="T90" s="47"/>
      <c r="U90" s="253"/>
    </row>
    <row r="91" ht="13.55" customHeight="1">
      <c r="A91" t="s" s="489">
        <v>28</v>
      </c>
      <c r="B91" s="47"/>
      <c r="C91" s="47"/>
      <c r="D91" s="47"/>
      <c r="E91" s="47"/>
      <c r="F91" s="47"/>
      <c r="G91" s="47"/>
      <c r="H91" s="47"/>
      <c r="I91" s="47"/>
      <c r="J91" s="47"/>
      <c r="K91" s="47"/>
      <c r="L91" s="47"/>
      <c r="M91" s="47"/>
      <c r="N91" s="47"/>
      <c r="O91" s="47"/>
      <c r="P91" s="47"/>
      <c r="Q91" s="47"/>
      <c r="R91" s="47"/>
      <c r="S91" s="47"/>
      <c r="T91" s="47"/>
      <c r="U91" s="253"/>
    </row>
    <row r="92" ht="13.55" customHeight="1">
      <c r="A92" s="471"/>
      <c r="B92" s="47"/>
      <c r="C92" s="47"/>
      <c r="D92" s="47"/>
      <c r="E92" s="47"/>
      <c r="F92" s="47"/>
      <c r="G92" s="47"/>
      <c r="H92" s="47"/>
      <c r="I92" s="47"/>
      <c r="J92" s="47"/>
      <c r="K92" s="47"/>
      <c r="L92" s="47"/>
      <c r="M92" s="47"/>
      <c r="N92" s="47"/>
      <c r="O92" s="47"/>
      <c r="P92" s="47"/>
      <c r="Q92" s="47"/>
      <c r="R92" s="47"/>
      <c r="S92" s="47"/>
      <c r="T92" s="47"/>
      <c r="U92" s="253"/>
    </row>
    <row r="93" ht="13.55" customHeight="1">
      <c r="A93" s="471"/>
      <c r="B93" s="47"/>
      <c r="C93" s="47"/>
      <c r="D93" s="47"/>
      <c r="E93" s="47"/>
      <c r="F93" s="47"/>
      <c r="G93" s="47"/>
      <c r="H93" s="47"/>
      <c r="I93" s="47"/>
      <c r="J93" s="47"/>
      <c r="K93" s="47"/>
      <c r="L93" s="47"/>
      <c r="M93" s="47"/>
      <c r="N93" s="47"/>
      <c r="O93" s="47"/>
      <c r="P93" s="47"/>
      <c r="Q93" s="47"/>
      <c r="R93" s="47"/>
      <c r="S93" s="47"/>
      <c r="T93" s="47"/>
      <c r="U93" s="253"/>
    </row>
    <row r="94" ht="13.55" customHeight="1">
      <c r="A94" s="471"/>
      <c r="B94" s="47"/>
      <c r="C94" s="47"/>
      <c r="D94" s="47"/>
      <c r="E94" s="47"/>
      <c r="F94" s="47"/>
      <c r="G94" s="47"/>
      <c r="H94" s="47"/>
      <c r="I94" s="47"/>
      <c r="J94" s="47"/>
      <c r="K94" s="47"/>
      <c r="L94" s="47"/>
      <c r="M94" s="47"/>
      <c r="N94" s="47"/>
      <c r="O94" s="47"/>
      <c r="P94" s="47"/>
      <c r="Q94" s="47"/>
      <c r="R94" s="47"/>
      <c r="S94" s="47"/>
      <c r="T94" s="47"/>
      <c r="U94" s="253"/>
    </row>
    <row r="95" ht="13.55" customHeight="1">
      <c r="A95" s="471"/>
      <c r="B95" s="47"/>
      <c r="C95" s="47"/>
      <c r="D95" s="47"/>
      <c r="E95" s="47"/>
      <c r="F95" s="47"/>
      <c r="G95" s="47"/>
      <c r="H95" s="47"/>
      <c r="I95" s="47"/>
      <c r="J95" s="47"/>
      <c r="K95" s="47"/>
      <c r="L95" s="47"/>
      <c r="M95" s="47"/>
      <c r="N95" s="47"/>
      <c r="O95" s="47"/>
      <c r="P95" s="47"/>
      <c r="Q95" s="47"/>
      <c r="R95" s="47"/>
      <c r="S95" s="47"/>
      <c r="T95" s="47"/>
      <c r="U95" s="253"/>
    </row>
    <row r="96" ht="13.55" customHeight="1">
      <c r="A96" s="495"/>
      <c r="B96" s="273"/>
      <c r="C96" s="273"/>
      <c r="D96" s="273"/>
      <c r="E96" s="273"/>
      <c r="F96" s="273"/>
      <c r="G96" s="273"/>
      <c r="H96" s="273"/>
      <c r="I96" s="273"/>
      <c r="J96" s="273"/>
      <c r="K96" s="273"/>
      <c r="L96" s="273"/>
      <c r="M96" s="273"/>
      <c r="N96" s="273"/>
      <c r="O96" s="273"/>
      <c r="P96" s="273"/>
      <c r="Q96" s="273"/>
      <c r="R96" s="273"/>
      <c r="S96" s="273"/>
      <c r="T96" s="273"/>
      <c r="U96" s="274"/>
    </row>
  </sheetData>
  <pageMargins left="0.7" right="0.7" top="0.75" bottom="0.75" header="0.3" footer="0.3"/>
  <pageSetup firstPageNumber="1" fitToHeight="1" fitToWidth="1" scale="100" useFirstPageNumber="0" orientation="portrait" pageOrder="downThenOver"/>
  <headerFooter>
    <oddFooter>&amp;C&amp;"Helvetica Neue,Regular"&amp;12&amp;K000000&amp;P</oddFooter>
  </headerFooter>
</worksheet>
</file>

<file path=xl/worksheets/sheet8.xml><?xml version="1.0" encoding="utf-8"?>
<worksheet xmlns:r="http://schemas.openxmlformats.org/officeDocument/2006/relationships" xmlns="http://schemas.openxmlformats.org/spreadsheetml/2006/main">
  <dimension ref="A1:P84"/>
  <sheetViews>
    <sheetView workbookViewId="0" showGridLines="0" defaultGridColor="1"/>
  </sheetViews>
  <sheetFormatPr defaultColWidth="10.8333" defaultRowHeight="14.4" customHeight="1" outlineLevelRow="0" outlineLevelCol="0"/>
  <cols>
    <col min="1" max="1" width="2.85156" style="496" customWidth="1"/>
    <col min="2" max="2" width="4" style="496" customWidth="1"/>
    <col min="3" max="5" hidden="1" width="10.8333" style="496" customWidth="1"/>
    <col min="6" max="6" width="10.8516" style="496" customWidth="1"/>
    <col min="7" max="7" width="36.1719" style="496" customWidth="1"/>
    <col min="8" max="8" width="28.5" style="496" customWidth="1"/>
    <col min="9" max="9" width="17.6719" style="496" customWidth="1"/>
    <col min="10" max="10" width="66.8516" style="496" customWidth="1"/>
    <col min="11" max="11" width="80.8516" style="496" customWidth="1"/>
    <col min="12" max="12" width="10.8516" style="496" customWidth="1"/>
    <col min="13" max="13" width="28" style="496" customWidth="1"/>
    <col min="14" max="14" width="16.5" style="496" customWidth="1"/>
    <col min="15" max="16" width="4" style="496" customWidth="1"/>
    <col min="17" max="16384" width="10.8516" style="496" customWidth="1"/>
  </cols>
  <sheetData>
    <row r="1" ht="45" customHeight="1">
      <c r="A1" s="497"/>
      <c r="B1" t="s" s="498">
        <v>1760</v>
      </c>
      <c r="C1" s="499"/>
      <c r="D1" s="499"/>
      <c r="E1" s="499"/>
      <c r="F1" s="499"/>
      <c r="G1" s="500"/>
      <c r="H1" s="501"/>
      <c r="I1" s="501"/>
      <c r="J1" t="s" s="502">
        <f>VLOOKUP($E$12,'BDD'!$A$2:$N$567,3,FALSE)</f>
        <v>224</v>
      </c>
      <c r="K1" s="501"/>
      <c r="L1" s="500"/>
      <c r="M1" s="500"/>
      <c r="N1" s="500"/>
      <c r="O1" s="500"/>
      <c r="P1" s="503"/>
    </row>
    <row r="2" ht="45" customHeight="1">
      <c r="A2" s="504"/>
      <c r="B2" s="505"/>
      <c r="C2" s="505"/>
      <c r="D2" s="505"/>
      <c r="E2" s="505"/>
      <c r="F2" s="505"/>
      <c r="G2" s="505"/>
      <c r="H2" s="505"/>
      <c r="I2" s="505"/>
      <c r="J2" t="s" s="506">
        <f>VLOOKUP($E$12,'BDD'!$A$2:$N$567,4,FALSE)</f>
        <v>251</v>
      </c>
      <c r="K2" s="505"/>
      <c r="L2" s="505"/>
      <c r="M2" s="505"/>
      <c r="N2" s="505"/>
      <c r="O2" s="505"/>
      <c r="P2" s="507"/>
    </row>
    <row r="3" ht="18" customHeight="1">
      <c r="A3" s="504"/>
      <c r="B3" s="61"/>
      <c r="C3" s="61"/>
      <c r="D3" s="61"/>
      <c r="E3" s="61"/>
      <c r="F3" s="61"/>
      <c r="G3" t="s" s="508">
        <f>IF('Suppl'!B64=2,"Le vecteur n'est pas utilisé","")</f>
      </c>
      <c r="H3" s="509"/>
      <c r="I3" s="509"/>
      <c r="J3" s="509"/>
      <c r="K3" s="509"/>
      <c r="L3" s="510"/>
      <c r="M3" s="61"/>
      <c r="N3" s="61"/>
      <c r="O3" s="61"/>
      <c r="P3" s="507"/>
    </row>
    <row r="4" ht="14.4" customHeight="1">
      <c r="A4" s="504"/>
      <c r="B4" s="61"/>
      <c r="C4" s="61"/>
      <c r="D4" s="61"/>
      <c r="E4" s="61"/>
      <c r="F4" s="61"/>
      <c r="G4" s="61"/>
      <c r="H4" s="61"/>
      <c r="I4" s="61"/>
      <c r="J4" s="61"/>
      <c r="K4" s="61"/>
      <c r="L4" s="61"/>
      <c r="M4" s="61"/>
      <c r="N4" s="61"/>
      <c r="O4" s="61"/>
      <c r="P4" s="507"/>
    </row>
    <row r="5" ht="25.8" customHeight="1">
      <c r="A5" s="511"/>
      <c r="B5" s="512"/>
      <c r="C5" t="s" s="513">
        <f>IF(LEFT(RIGHT($B$1,2),1)=" ",RIGHT($B$1,1),RIGHT($B$1,2))</f>
        <v>1761</v>
      </c>
      <c r="D5" s="514">
        <f>IF(LEFT(F5,14)="Bonne pratique",D4+1,D4)</f>
        <v>1</v>
      </c>
      <c r="E5" s="515"/>
      <c r="F5" t="s" s="516">
        <v>1762</v>
      </c>
      <c r="G5" s="517"/>
      <c r="H5" s="518"/>
      <c r="I5" s="519"/>
      <c r="J5" t="s" s="520">
        <f>VLOOKUP(E12,'BDD'!$A$2:$N$567,6,FALSE)</f>
        <v>252</v>
      </c>
      <c r="K5" s="521"/>
      <c r="L5" s="517"/>
      <c r="M5" s="517"/>
      <c r="N5" s="517"/>
      <c r="O5" s="512"/>
      <c r="P5" s="522"/>
    </row>
    <row r="6" ht="14.4" customHeight="1">
      <c r="A6" s="504"/>
      <c r="B6" s="61"/>
      <c r="C6" t="s" s="513">
        <f>IF(LEFT(RIGHT($B$1,2),1)=" ",RIGHT($B$1,1),RIGHT($B$1,2))</f>
        <v>1761</v>
      </c>
      <c r="D6" s="514">
        <f>IF(LEFT(F6,14)="Bonne pratique",D5+1,D5)</f>
        <v>1</v>
      </c>
      <c r="E6" s="61"/>
      <c r="F6" s="61"/>
      <c r="G6" s="61"/>
      <c r="H6" s="61"/>
      <c r="I6" s="61"/>
      <c r="J6" s="61"/>
      <c r="K6" s="61"/>
      <c r="L6" s="61"/>
      <c r="M6" s="61"/>
      <c r="N6" s="61"/>
      <c r="O6" s="61"/>
      <c r="P6" s="507"/>
    </row>
    <row r="7" ht="23.4" customHeight="1">
      <c r="A7" s="523"/>
      <c r="B7" s="524"/>
      <c r="C7" t="s" s="513">
        <f>IF(LEFT(RIGHT($B$1,2),1)=" ",RIGHT($B$1,1),RIGHT($B$1,2))</f>
        <v>1761</v>
      </c>
      <c r="D7" s="514">
        <f>IF(LEFT(F7,14)="Bonne pratique",D6+1,D6)</f>
        <v>1</v>
      </c>
      <c r="E7" s="524"/>
      <c r="F7" s="524"/>
      <c r="G7" s="524"/>
      <c r="H7" s="524"/>
      <c r="I7" s="525"/>
      <c r="J7" t="s" s="526">
        <v>253</v>
      </c>
      <c r="K7" s="525"/>
      <c r="L7" s="524"/>
      <c r="M7" s="524"/>
      <c r="N7" s="524"/>
      <c r="O7" s="524"/>
      <c r="P7" s="527"/>
    </row>
    <row r="8" ht="18" customHeight="1">
      <c r="A8" s="504"/>
      <c r="B8" s="61"/>
      <c r="C8" t="s" s="513">
        <f>IF(LEFT(RIGHT($B$1,2),1)=" ",RIGHT($B$1,1),RIGHT($B$1,2))</f>
        <v>1761</v>
      </c>
      <c r="D8" s="514">
        <f>IF(LEFT(F8,14)="Bonne pratique",D7+1,D7)</f>
        <v>1</v>
      </c>
      <c r="E8" s="61"/>
      <c r="F8" s="61"/>
      <c r="G8" s="61"/>
      <c r="H8" s="61"/>
      <c r="I8" s="61"/>
      <c r="J8" s="528"/>
      <c r="K8" s="61"/>
      <c r="L8" s="61"/>
      <c r="M8" s="529"/>
      <c r="N8" s="529"/>
      <c r="O8" s="61"/>
      <c r="P8" s="507"/>
    </row>
    <row r="9" ht="14.4" customHeight="1">
      <c r="A9" s="504"/>
      <c r="B9" s="61"/>
      <c r="C9" t="s" s="513">
        <f>IF(LEFT(RIGHT($B$1,2),1)=" ",RIGHT($B$1,1),RIGHT($B$1,2))</f>
        <v>1761</v>
      </c>
      <c r="D9" s="514">
        <f>IF(LEFT(F9,14)="Bonne pratique",D8+1,D8)</f>
        <v>1</v>
      </c>
      <c r="E9" s="61"/>
      <c r="F9" s="61"/>
      <c r="G9" s="530"/>
      <c r="H9" s="530"/>
      <c r="I9" s="530"/>
      <c r="J9" s="530"/>
      <c r="K9" s="530"/>
      <c r="L9" s="531"/>
      <c r="M9" t="s" s="532">
        <v>1763</v>
      </c>
      <c r="N9" s="533"/>
      <c r="O9" s="534"/>
      <c r="P9" s="507"/>
    </row>
    <row r="10" ht="33" customHeight="1">
      <c r="A10" s="504"/>
      <c r="B10" s="61"/>
      <c r="C10" t="s" s="513">
        <f>IF(LEFT(RIGHT($B$1,2),1)=" ",RIGHT($B$1,1),RIGHT($B$1,2))</f>
        <v>1761</v>
      </c>
      <c r="D10" s="514">
        <f>IF(LEFT(F10,14)="Bonne pratique",D9+1,D9)</f>
        <v>1</v>
      </c>
      <c r="E10" s="61"/>
      <c r="F10" s="535"/>
      <c r="G10" t="s" s="536">
        <v>244</v>
      </c>
      <c r="H10" t="s" s="536">
        <v>1764</v>
      </c>
      <c r="I10" t="s" s="537">
        <v>245</v>
      </c>
      <c r="J10" t="s" s="536">
        <v>1765</v>
      </c>
      <c r="K10" t="s" s="536">
        <v>246</v>
      </c>
      <c r="L10" s="538"/>
      <c r="M10" t="s" s="539">
        <v>1766</v>
      </c>
      <c r="N10" t="s" s="540">
        <v>1767</v>
      </c>
      <c r="O10" s="534"/>
      <c r="P10" s="507"/>
    </row>
    <row r="11" ht="14.4" customHeight="1">
      <c r="A11" s="504"/>
      <c r="B11" s="61"/>
      <c r="C11" t="s" s="513">
        <f>IF(LEFT(RIGHT($B$1,2),1)=" ",RIGHT($B$1,1),RIGHT($B$1,2))</f>
        <v>1761</v>
      </c>
      <c r="D11" s="514">
        <f>IF(LEFT(F11,14)="Bonne pratique",D10+1,D10)</f>
        <v>1</v>
      </c>
      <c r="E11" s="61"/>
      <c r="F11" s="529"/>
      <c r="G11" s="541"/>
      <c r="H11" s="541"/>
      <c r="I11" s="541"/>
      <c r="J11" s="541"/>
      <c r="K11" s="541"/>
      <c r="L11" s="61"/>
      <c r="M11" s="541"/>
      <c r="N11" s="541"/>
      <c r="O11" s="61"/>
      <c r="P11" s="507"/>
    </row>
    <row r="12" ht="130.05" customHeight="1">
      <c r="A12" s="504"/>
      <c r="B12" s="542"/>
      <c r="C12" t="s" s="543">
        <f>IF(LEFT(RIGHT($B$1,2),1)=" ",RIGHT($B$1,1),RIGHT($B$1,2))</f>
        <v>1761</v>
      </c>
      <c r="D12" s="544">
        <f>IF(LEFT(F12,14)="Bonne pratique",D11+1,D11)</f>
        <v>1</v>
      </c>
      <c r="E12" t="s" s="545">
        <f>C12&amp;D12&amp;RIGHT(F12,1)</f>
        <v>1768</v>
      </c>
      <c r="F12" t="s" s="546">
        <v>1769</v>
      </c>
      <c r="G12" t="s" s="547">
        <f>_xlfn.IFERROR(IF(VLOOKUP($E12,'BDD'!$A$1:$S$567,MATCH(G$10,'BDD'!$A$1:$P$1,0),FALSE)=0,"",VLOOKUP($E12,'BDD'!$A$1:$S$567,MATCH(G$10,'BDD'!$A$1:$P$1,0),FALSE)),"")</f>
        <v>255</v>
      </c>
      <c r="H12" t="s" s="548">
        <f>IF(VLOOKUP(E12,'BDD'!$A$1:$S$567,15,FALSE)=0,"Critère non évalué","")</f>
        <v>1770</v>
      </c>
      <c r="I12" t="s" s="546">
        <f>_xlfn.IFERROR(IF(VLOOKUP($E12,'BDD'!$A$1:$S$567,MATCH(I$10,'BDD'!$A$1:$P$1,0),FALSE)=0,"",VLOOKUP($E12,'BDD'!$A$1:$S$567,MATCH(I$10,'BDD'!$A$1:$P$1,0),FALSE)),"")</f>
        <v>256</v>
      </c>
      <c r="J12" s="549"/>
      <c r="K12" t="s" s="547">
        <f>_xlfn.IFERROR(IF(VLOOKUP($E12,'BDD'!$A$1:$S$567,MATCH(K$10,'BDD'!$A$1:$P$1,0),FALSE)=0,"",VLOOKUP($E12,'BDD'!$A$1:$S$567,MATCH(K$10,'BDD'!$A$1:$P$1,0),FALSE)),"")</f>
        <v>257</v>
      </c>
      <c r="L12" s="550"/>
      <c r="M12" s="551"/>
      <c r="N12" s="551"/>
      <c r="O12" s="534"/>
      <c r="P12" s="507"/>
    </row>
    <row r="13" ht="130.05" customHeight="1">
      <c r="A13" s="504"/>
      <c r="B13" s="542"/>
      <c r="C13" t="s" s="543">
        <f>IF(LEFT(RIGHT($B$1,2),1)=" ",RIGHT($B$1,1),RIGHT($B$1,2))</f>
        <v>1761</v>
      </c>
      <c r="D13" s="544">
        <f>IF(LEFT(F13,14)="Bonne pratique",D12+1,D12)</f>
        <v>1</v>
      </c>
      <c r="E13" t="s" s="545">
        <f>C13&amp;D13&amp;RIGHT(F13,1)</f>
        <v>1771</v>
      </c>
      <c r="F13" t="s" s="552">
        <v>1772</v>
      </c>
      <c r="G13" t="s" s="540">
        <f>_xlfn.IFERROR(IF(VLOOKUP($E13,'BDD'!$A$1:$S$567,MATCH(G$10,'BDD'!$A$1:$P$1,0),FALSE)=0,"",VLOOKUP($E13,'BDD'!$A$1:$S$567,MATCH(G$10,'BDD'!$A$1:$P$1,0),FALSE)),"")</f>
        <v>262</v>
      </c>
      <c r="H13" t="s" s="553">
        <f>IF(VLOOKUP(E13,'BDD'!$A$1:$S$567,15,FALSE)=0,"Critère non évalué","")</f>
        <v>1770</v>
      </c>
      <c r="I13" t="s" s="552">
        <f>_xlfn.IFERROR(IF(VLOOKUP($E13,'BDD'!$A$1:$S$567,MATCH(I$10,'BDD'!$A$1:$P$1,0),FALSE)=0,"",VLOOKUP($E13,'BDD'!$A$1:$S$567,MATCH(I$10,'BDD'!$A$1:$P$1,0),FALSE)),"")</f>
        <v>263</v>
      </c>
      <c r="J13" s="554"/>
      <c r="K13" t="s" s="540">
        <f>_xlfn.IFERROR(IF(VLOOKUP($E13,'BDD'!$A$1:$S$567,MATCH(K$10,'BDD'!$A$1:$P$1,0),FALSE)=0,"",VLOOKUP($E13,'BDD'!$A$1:$S$567,MATCH(K$10,'BDD'!$A$1:$P$1,0),FALSE)),"")</f>
        <v>264</v>
      </c>
      <c r="L13" s="550"/>
      <c r="M13" s="555"/>
      <c r="N13" s="555"/>
      <c r="O13" s="534"/>
      <c r="P13" s="507"/>
    </row>
    <row r="14" ht="130.05" customHeight="1">
      <c r="A14" s="504"/>
      <c r="B14" s="542"/>
      <c r="C14" t="s" s="543">
        <f>IF(LEFT(RIGHT($B$1,2),1)=" ",RIGHT($B$1,1),RIGHT($B$1,2))</f>
        <v>1761</v>
      </c>
      <c r="D14" s="544">
        <f>IF(LEFT(F14,14)="Bonne pratique",D13+1,D13)</f>
        <v>1</v>
      </c>
      <c r="E14" t="s" s="545">
        <f>C14&amp;D14&amp;RIGHT(F14,1)</f>
        <v>1773</v>
      </c>
      <c r="F14" t="s" s="546">
        <v>1774</v>
      </c>
      <c r="G14" t="s" s="547">
        <f>_xlfn.IFERROR(IF(VLOOKUP($E14,'BDD'!$A$1:$S$567,MATCH(G$10,'BDD'!$A$1:$P$1,0),FALSE)=0,"",VLOOKUP($E14,'BDD'!$A$1:$S$567,MATCH(G$10,'BDD'!$A$1:$P$1,0),FALSE)),"")</f>
        <v>270</v>
      </c>
      <c r="H14" t="s" s="548">
        <f>IF(VLOOKUP(E14,'BDD'!$A$1:$S$567,15,FALSE)=0,"Critère non évalué","")</f>
        <v>1770</v>
      </c>
      <c r="I14" t="s" s="546">
        <f>_xlfn.IFERROR(IF(VLOOKUP($E14,'BDD'!$A$1:$S$567,MATCH(I$10,'BDD'!$A$1:$P$1,0),FALSE)=0,"",VLOOKUP($E14,'BDD'!$A$1:$S$567,MATCH(I$10,'BDD'!$A$1:$P$1,0),FALSE)),"")</f>
        <v>271</v>
      </c>
      <c r="J14" s="549"/>
      <c r="K14" t="s" s="547">
        <f>_xlfn.IFERROR(IF(VLOOKUP($E14,'BDD'!$A$1:$S$567,MATCH(K$10,'BDD'!$A$1:$P$1,0),FALSE)=0,"",VLOOKUP($E14,'BDD'!$A$1:$S$567,MATCH(K$10,'BDD'!$A$1:$P$1,0),FALSE)),"")</f>
        <v>272</v>
      </c>
      <c r="L14" s="550"/>
      <c r="M14" s="551"/>
      <c r="N14" s="551"/>
      <c r="O14" s="534"/>
      <c r="P14" s="507"/>
    </row>
    <row r="15" ht="141.6" customHeight="1">
      <c r="A15" s="504"/>
      <c r="B15" s="542"/>
      <c r="C15" t="s" s="543">
        <f>IF(LEFT(RIGHT($B$1,2),1)=" ",RIGHT($B$1,1),RIGHT($B$1,2))</f>
        <v>1761</v>
      </c>
      <c r="D15" s="544">
        <f>IF(LEFT(F15,14)="Bonne pratique",D14+1,D14)</f>
        <v>1</v>
      </c>
      <c r="E15" t="s" s="545">
        <f>C15&amp;D15&amp;RIGHT(F15,1)</f>
        <v>1775</v>
      </c>
      <c r="F15" t="s" s="552">
        <v>1776</v>
      </c>
      <c r="G15" t="s" s="540">
        <f>_xlfn.IFERROR(IF(VLOOKUP($E15,'BDD'!$A$1:$S$567,MATCH(G$10,'BDD'!$A$1:$P$1,0),FALSE)=0,"",VLOOKUP($E15,'BDD'!$A$1:$S$567,MATCH(G$10,'BDD'!$A$1:$P$1,0),FALSE)),"")</f>
        <v>277</v>
      </c>
      <c r="H15" t="s" s="553">
        <f>IF(VLOOKUP(E15,'BDD'!$A$1:$S$567,15,FALSE)=0,"Critère non évalué","")</f>
        <v>1770</v>
      </c>
      <c r="I15" t="s" s="552">
        <f>_xlfn.IFERROR(IF(VLOOKUP($E15,'BDD'!$A$1:$S$567,MATCH(I$10,'BDD'!$A$1:$P$1,0),FALSE)=0,"",VLOOKUP($E15,'BDD'!$A$1:$S$567,MATCH(I$10,'BDD'!$A$1:$P$1,0),FALSE)),"")</f>
        <v>271</v>
      </c>
      <c r="J15" s="556"/>
      <c r="K15" t="s" s="540">
        <f>_xlfn.IFERROR(IF(VLOOKUP($E15,'BDD'!$A$1:$S$567,MATCH(K$10,'BDD'!$A$1:$P$1,0),FALSE)=0,"",VLOOKUP($E15,'BDD'!$A$1:$S$567,MATCH(K$10,'BDD'!$A$1:$P$1,0),FALSE)),"")</f>
        <v>278</v>
      </c>
      <c r="L15" s="550"/>
      <c r="M15" s="555"/>
      <c r="N15" s="555"/>
      <c r="O15" s="534"/>
      <c r="P15" s="507"/>
    </row>
    <row r="16" ht="130.05" customHeight="1">
      <c r="A16" s="504"/>
      <c r="B16" s="542"/>
      <c r="C16" t="s" s="543">
        <f>IF(LEFT(RIGHT($B$1,2),1)=" ",RIGHT($B$1,1),RIGHT($B$1,2))</f>
        <v>1761</v>
      </c>
      <c r="D16" s="544">
        <f>IF(LEFT(F16,14)="Bonne pratique",D15+1,D15)</f>
        <v>1</v>
      </c>
      <c r="E16" t="s" s="545">
        <f>C16&amp;D16&amp;RIGHT(F16,1)</f>
        <v>1777</v>
      </c>
      <c r="F16" t="s" s="546">
        <v>1778</v>
      </c>
      <c r="G16" t="s" s="547">
        <f>_xlfn.IFERROR(IF(VLOOKUP($E16,'BDD'!$A$1:$S$567,MATCH(G$10,'BDD'!$A$1:$P$1,0),FALSE)=0,"",VLOOKUP($E16,'BDD'!$A$1:$S$567,MATCH(G$10,'BDD'!$A$1:$P$1,0),FALSE)),"")</f>
        <v>282</v>
      </c>
      <c r="H16" t="s" s="548">
        <f>IF(VLOOKUP(E16,'BDD'!$A$1:$S$567,15,FALSE)=0,"Critère non évalué","")</f>
        <v>1770</v>
      </c>
      <c r="I16" t="s" s="546">
        <f>_xlfn.IFERROR(IF(VLOOKUP($E16,'BDD'!$A$1:$S$567,MATCH(I$10,'BDD'!$A$1:$P$1,0),FALSE)=0,"",VLOOKUP($E16,'BDD'!$A$1:$S$567,MATCH(I$10,'BDD'!$A$1:$P$1,0),FALSE)),"")</f>
        <v>283</v>
      </c>
      <c r="J16" s="549"/>
      <c r="K16" t="s" s="547">
        <f>_xlfn.IFERROR(IF(VLOOKUP($E16,'BDD'!$A$1:$S$567,MATCH(K$10,'BDD'!$A$1:$P$1,0),FALSE)=0,"",VLOOKUP($E16,'BDD'!$A$1:$S$567,MATCH(K$10,'BDD'!$A$1:$P$1,0),FALSE)),"")</f>
      </c>
      <c r="L16" s="550"/>
      <c r="M16" s="557"/>
      <c r="N16" s="557"/>
      <c r="O16" s="534"/>
      <c r="P16" s="507"/>
    </row>
    <row r="17" ht="130.05" customHeight="1">
      <c r="A17" s="504"/>
      <c r="B17" s="542"/>
      <c r="C17" t="s" s="543">
        <f>IF(LEFT(RIGHT($B$1,2),1)=" ",RIGHT($B$1,1),RIGHT($B$1,2))</f>
        <v>1761</v>
      </c>
      <c r="D17" s="544">
        <f>IF(LEFT(F17,14)="Bonne pratique",D16+1,D16)</f>
        <v>1</v>
      </c>
      <c r="E17" t="s" s="545">
        <f>C17&amp;D17&amp;RIGHT(F17,1)</f>
        <v>1779</v>
      </c>
      <c r="F17" t="s" s="552">
        <v>1780</v>
      </c>
      <c r="G17" t="s" s="540">
        <f>_xlfn.IFERROR(IF(VLOOKUP($E17,'BDD'!$A$1:$S$567,MATCH(G$10,'BDD'!$A$1:$P$1,0),FALSE)=0,"",VLOOKUP($E17,'BDD'!$A$1:$S$567,MATCH(G$10,'BDD'!$A$1:$P$1,0),FALSE)),"")</f>
        <v>286</v>
      </c>
      <c r="H17" t="s" s="553">
        <f>IF(VLOOKUP(E17,'BDD'!$A$1:$S$567,15,FALSE)=0,"Critère non évalué","")</f>
        <v>1770</v>
      </c>
      <c r="I17" t="s" s="552">
        <f>_xlfn.IFERROR(IF(VLOOKUP($E17,'BDD'!$A$1:$S$567,MATCH(I$10,'BDD'!$A$1:$P$1,0),FALSE)=0,"",VLOOKUP($E17,'BDD'!$A$1:$S$567,MATCH(I$10,'BDD'!$A$1:$P$1,0),FALSE)),"")</f>
        <v>271</v>
      </c>
      <c r="J17" s="554"/>
      <c r="K17" t="s" s="540">
        <f>_xlfn.IFERROR(IF(VLOOKUP($E17,'BDD'!$A$1:$S$567,MATCH(K$10,'BDD'!$A$1:$P$1,0),FALSE)=0,"",VLOOKUP($E17,'BDD'!$A$1:$S$567,MATCH(K$10,'BDD'!$A$1:$P$1,0),FALSE)),"")</f>
        <v>287</v>
      </c>
      <c r="L17" s="550"/>
      <c r="M17" s="555"/>
      <c r="N17" s="555"/>
      <c r="O17" s="534"/>
      <c r="P17" s="507"/>
    </row>
    <row r="18" ht="130.05" customHeight="1">
      <c r="A18" s="504"/>
      <c r="B18" s="542"/>
      <c r="C18" t="s" s="543">
        <f>IF(LEFT(RIGHT($B$1,2),1)=" ",RIGHT($B$1,1),RIGHT($B$1,2))</f>
        <v>1761</v>
      </c>
      <c r="D18" s="544">
        <f>IF(LEFT(F18,14)="Bonne pratique",D17+1,D17)</f>
        <v>1</v>
      </c>
      <c r="E18" t="s" s="545">
        <f>C18&amp;D18&amp;RIGHT(F18,1)</f>
        <v>1781</v>
      </c>
      <c r="F18" t="s" s="546">
        <v>1782</v>
      </c>
      <c r="G18" t="s" s="547">
        <f>_xlfn.IFERROR(IF(VLOOKUP($E18,'BDD'!$A$1:$S$567,MATCH(G$10,'BDD'!$A$1:$P$1,0),FALSE)=0,"",VLOOKUP($E18,'BDD'!$A$1:$S$567,MATCH(G$10,'BDD'!$A$1:$P$1,0),FALSE)),"")</f>
        <v>290</v>
      </c>
      <c r="H18" t="s" s="548">
        <f>IF(VLOOKUP(E18,'BDD'!$A$1:$S$567,15,FALSE)=0,"Critère non évalué","")</f>
        <v>1770</v>
      </c>
      <c r="I18" t="s" s="546">
        <f>_xlfn.IFERROR(IF(VLOOKUP($E18,'BDD'!$A$1:$S$567,MATCH(I$10,'BDD'!$A$1:$P$1,0),FALSE)=0,"",VLOOKUP($E18,'BDD'!$A$1:$S$567,MATCH(I$10,'BDD'!$A$1:$P$1,0),FALSE)),"")</f>
        <v>291</v>
      </c>
      <c r="J18" s="549"/>
      <c r="K18" t="s" s="547">
        <f>_xlfn.IFERROR(IF(VLOOKUP($E18,'BDD'!$A$1:$S$567,MATCH(K$10,'BDD'!$A$1:$P$1,0),FALSE)=0,"",VLOOKUP($E18,'BDD'!$A$1:$S$567,MATCH(K$10,'BDD'!$A$1:$P$1,0),FALSE)),"")</f>
      </c>
      <c r="L18" s="550"/>
      <c r="M18" s="557"/>
      <c r="N18" s="557"/>
      <c r="O18" s="534"/>
      <c r="P18" s="507"/>
    </row>
    <row r="19" ht="18" customHeight="1">
      <c r="A19" s="504"/>
      <c r="B19" s="61"/>
      <c r="C19" t="s" s="513">
        <f>IF(LEFT(RIGHT($B$1,2),1)=" ",RIGHT($B$1,1),RIGHT($B$1,2))</f>
        <v>1761</v>
      </c>
      <c r="D19" s="514">
        <f>IF(LEFT(F19,14)="Bonne pratique",D18+1,D18)</f>
        <v>1</v>
      </c>
      <c r="E19" t="s" s="558">
        <f>C19&amp;D19&amp;RIGHT(F19,1)</f>
        <v>1783</v>
      </c>
      <c r="F19" s="559"/>
      <c r="G19" t="s" s="560">
        <f>IF('Suppl'!B80=2,"Le vecteur n'est pas utilisé","")</f>
      </c>
      <c r="H19" s="561"/>
      <c r="I19" s="561"/>
      <c r="J19" s="561"/>
      <c r="K19" s="561"/>
      <c r="L19" s="510"/>
      <c r="M19" s="559"/>
      <c r="N19" s="559"/>
      <c r="O19" s="61"/>
      <c r="P19" s="507"/>
    </row>
    <row r="20" ht="15" customHeight="1">
      <c r="A20" s="504"/>
      <c r="B20" s="61"/>
      <c r="C20" t="s" s="513">
        <f>IF(LEFT(RIGHT($B$1,2),1)=" ",RIGHT($B$1,1),RIGHT($B$1,2))</f>
        <v>1761</v>
      </c>
      <c r="D20" s="514">
        <f>IF(LEFT(F20,14)="Bonne pratique",D19+1,D19)</f>
        <v>1</v>
      </c>
      <c r="E20" t="s" s="558">
        <f>C20&amp;D20&amp;RIGHT(F20,1)</f>
        <v>1783</v>
      </c>
      <c r="F20" s="61"/>
      <c r="G20" s="61"/>
      <c r="H20" s="61"/>
      <c r="I20" s="61"/>
      <c r="J20" s="61"/>
      <c r="K20" s="61"/>
      <c r="L20" s="61"/>
      <c r="M20" s="61"/>
      <c r="N20" s="61"/>
      <c r="O20" s="61"/>
      <c r="P20" s="507"/>
    </row>
    <row r="21" ht="25.8" customHeight="1">
      <c r="A21" s="511"/>
      <c r="B21" s="512"/>
      <c r="C21" t="s" s="513">
        <f>IF(LEFT(RIGHT($B$1,2),1)=" ",RIGHT($B$1,1),RIGHT($B$1,2))</f>
        <v>1761</v>
      </c>
      <c r="D21" s="514">
        <f>IF(LEFT(F21,14)="Bonne pratique",D20+1,D20)</f>
        <v>2</v>
      </c>
      <c r="E21" t="s" s="558">
        <f>C21&amp;D21&amp;RIGHT(F21,1)</f>
        <v>1784</v>
      </c>
      <c r="F21" t="s" s="516">
        <v>1785</v>
      </c>
      <c r="G21" s="517"/>
      <c r="H21" s="518"/>
      <c r="I21" s="519"/>
      <c r="J21" t="s" s="520">
        <f>VLOOKUP(E28,'BDD'!$A$2:$N$567,6,FALSE)</f>
        <v>293</v>
      </c>
      <c r="K21" s="521"/>
      <c r="L21" s="517"/>
      <c r="M21" s="517"/>
      <c r="N21" s="517"/>
      <c r="O21" s="512"/>
      <c r="P21" s="522"/>
    </row>
    <row r="22" ht="15" customHeight="1">
      <c r="A22" s="504"/>
      <c r="B22" s="61"/>
      <c r="C22" t="s" s="513">
        <f>IF(LEFT(RIGHT($B$1,2),1)=" ",RIGHT($B$1,1),RIGHT($B$1,2))</f>
        <v>1761</v>
      </c>
      <c r="D22" s="514">
        <f>IF(LEFT(F22,14)="Bonne pratique",D21+1,D21)</f>
        <v>2</v>
      </c>
      <c r="E22" t="s" s="558">
        <f>C22&amp;D22&amp;RIGHT(F22,1)</f>
        <v>1786</v>
      </c>
      <c r="F22" s="61"/>
      <c r="G22" s="61"/>
      <c r="H22" s="61"/>
      <c r="I22" s="61"/>
      <c r="J22" s="61"/>
      <c r="K22" s="61"/>
      <c r="L22" s="61"/>
      <c r="M22" s="61"/>
      <c r="N22" s="61"/>
      <c r="O22" s="61"/>
      <c r="P22" s="507"/>
    </row>
    <row r="23" ht="18" customHeight="1">
      <c r="A23" s="523"/>
      <c r="B23" s="524"/>
      <c r="C23" t="s" s="513">
        <f>IF(LEFT(RIGHT($B$1,2),1)=" ",RIGHT($B$1,1),RIGHT($B$1,2))</f>
        <v>1761</v>
      </c>
      <c r="D23" s="514">
        <f>IF(LEFT(F23,14)="Bonne pratique",D22+1,D22)</f>
        <v>2</v>
      </c>
      <c r="E23" t="s" s="558">
        <f>C23&amp;D23&amp;RIGHT(F23,1)</f>
        <v>1786</v>
      </c>
      <c r="F23" s="524"/>
      <c r="G23" s="524"/>
      <c r="H23" s="524"/>
      <c r="I23" s="525"/>
      <c r="J23" t="s" s="526">
        <v>294</v>
      </c>
      <c r="K23" s="525"/>
      <c r="L23" s="524"/>
      <c r="M23" s="524"/>
      <c r="N23" s="524"/>
      <c r="O23" s="524"/>
      <c r="P23" s="527"/>
    </row>
    <row r="24" ht="18" customHeight="1">
      <c r="A24" s="504"/>
      <c r="B24" s="61"/>
      <c r="C24" t="s" s="513">
        <f>IF(LEFT(RIGHT($B$1,2),1)=" ",RIGHT($B$1,1),RIGHT($B$1,2))</f>
        <v>1761</v>
      </c>
      <c r="D24" s="514">
        <f>IF(LEFT(F24,14)="Bonne pratique",D23+1,D23)</f>
        <v>2</v>
      </c>
      <c r="E24" t="s" s="558">
        <f>C24&amp;D24&amp;RIGHT(F24,1)</f>
        <v>1786</v>
      </c>
      <c r="F24" s="61"/>
      <c r="G24" s="61"/>
      <c r="H24" s="61"/>
      <c r="I24" s="61"/>
      <c r="J24" s="528"/>
      <c r="K24" s="61"/>
      <c r="L24" s="61"/>
      <c r="M24" s="529"/>
      <c r="N24" s="529"/>
      <c r="O24" s="61"/>
      <c r="P24" s="507"/>
    </row>
    <row r="25" ht="15" customHeight="1">
      <c r="A25" s="504"/>
      <c r="B25" s="61"/>
      <c r="C25" t="s" s="513">
        <f>IF(LEFT(RIGHT($B$1,2),1)=" ",RIGHT($B$1,1),RIGHT($B$1,2))</f>
        <v>1761</v>
      </c>
      <c r="D25" s="514">
        <f>IF(LEFT(F25,14)="Bonne pratique",D24+1,D24)</f>
        <v>2</v>
      </c>
      <c r="E25" t="s" s="558">
        <f>C25&amp;D25&amp;RIGHT(F25,1)</f>
        <v>1786</v>
      </c>
      <c r="F25" s="61"/>
      <c r="G25" s="529"/>
      <c r="H25" s="529"/>
      <c r="I25" s="529"/>
      <c r="J25" s="530"/>
      <c r="K25" s="529"/>
      <c r="L25" s="542"/>
      <c r="M25" t="s" s="562">
        <v>1763</v>
      </c>
      <c r="N25" s="563"/>
      <c r="O25" s="534"/>
      <c r="P25" s="507"/>
    </row>
    <row r="26" ht="33" customHeight="1">
      <c r="A26" s="504"/>
      <c r="B26" s="61"/>
      <c r="C26" t="s" s="513">
        <f>IF(LEFT(RIGHT($B$1,2),1)=" ",RIGHT($B$1,1),RIGHT($B$1,2))</f>
        <v>1761</v>
      </c>
      <c r="D26" s="514">
        <f>IF(LEFT(F26,14)="Bonne pratique",D25+1,D25)</f>
        <v>2</v>
      </c>
      <c r="E26" t="s" s="558">
        <f>C26&amp;D26&amp;RIGHT(F26,1)</f>
        <v>1786</v>
      </c>
      <c r="F26" s="564"/>
      <c r="G26" t="s" s="536">
        <v>244</v>
      </c>
      <c r="H26" t="s" s="536">
        <v>1764</v>
      </c>
      <c r="I26" t="s" s="536">
        <v>1787</v>
      </c>
      <c r="J26" t="s" s="536">
        <v>1765</v>
      </c>
      <c r="K26" t="s" s="536">
        <v>1788</v>
      </c>
      <c r="L26" s="538"/>
      <c r="M26" t="s" s="539">
        <v>1766</v>
      </c>
      <c r="N26" t="s" s="540">
        <v>1767</v>
      </c>
      <c r="O26" s="534"/>
      <c r="P26" s="507"/>
    </row>
    <row r="27" ht="15" customHeight="1">
      <c r="A27" s="504"/>
      <c r="B27" s="61"/>
      <c r="C27" t="s" s="513">
        <f>IF(LEFT(RIGHT($B$1,2),1)=" ",RIGHT($B$1,1),RIGHT($B$1,2))</f>
        <v>1761</v>
      </c>
      <c r="D27" s="514">
        <f>IF(LEFT(F27,14)="Bonne pratique",D26+1,D26)</f>
        <v>2</v>
      </c>
      <c r="E27" t="s" s="558">
        <f>C27&amp;D27&amp;RIGHT(F27,1)</f>
        <v>1786</v>
      </c>
      <c r="F27" s="529"/>
      <c r="G27" s="541"/>
      <c r="H27" s="541"/>
      <c r="I27" s="541"/>
      <c r="J27" s="541"/>
      <c r="K27" s="541"/>
      <c r="L27" s="61"/>
      <c r="M27" s="541"/>
      <c r="N27" s="541"/>
      <c r="O27" s="61"/>
      <c r="P27" s="507"/>
    </row>
    <row r="28" ht="130.05" customHeight="1">
      <c r="A28" s="504"/>
      <c r="B28" s="542"/>
      <c r="C28" t="s" s="543">
        <f>IF(LEFT(RIGHT($B$1,2),1)=" ",RIGHT($B$1,1),RIGHT($B$1,2))</f>
        <v>1761</v>
      </c>
      <c r="D28" s="544">
        <f>IF(LEFT(F28,14)="Bonne pratique",D27+1,D27)</f>
        <v>2</v>
      </c>
      <c r="E28" t="s" s="545">
        <f>C28&amp;D28&amp;RIGHT(F28,1)</f>
        <v>1789</v>
      </c>
      <c r="F28" t="s" s="546">
        <v>1769</v>
      </c>
      <c r="G28" t="s" s="547">
        <f>_xlfn.IFERROR(IF(VLOOKUP($E28,'BDD'!$A$1:$S$567,MATCH(G$10,'BDD'!$A$1:$P$1,0),FALSE)=0,"",VLOOKUP($E28,'BDD'!$A$1:$S$567,MATCH(G$10,'BDD'!$A$1:$P$1,0),FALSE)),"")</f>
        <v>296</v>
      </c>
      <c r="H28" t="s" s="548">
        <f>IF(VLOOKUP(E28,'BDD'!$A$1:$S$567,15,FALSE)=0,"Critère non évalué","")</f>
        <v>1770</v>
      </c>
      <c r="I28" t="s" s="546">
        <f>_xlfn.IFERROR(IF(VLOOKUP($E28,'BDD'!$A$1:$S$567,MATCH(I$10,'BDD'!$A$1:$P$1,0),FALSE)=0,"",VLOOKUP($E28,'BDD'!$A$1:$S$567,MATCH(I$10,'BDD'!$A$1:$P$1,0),FALSE)),"")</f>
        <v>271</v>
      </c>
      <c r="J28" s="549"/>
      <c r="K28" t="s" s="547">
        <f>_xlfn.IFERROR(IF(VLOOKUP($E28,'BDD'!$A$1:$S$567,MATCH(K$10,'BDD'!$A$1:$P$1,0),FALSE)=0,"",VLOOKUP($E28,'BDD'!$A$1:$S$567,MATCH(K$10,'BDD'!$A$1:$P$1,0),FALSE)),"")</f>
      </c>
      <c r="L28" s="550"/>
      <c r="M28" s="551"/>
      <c r="N28" s="551"/>
      <c r="O28" s="534"/>
      <c r="P28" s="507"/>
    </row>
    <row r="29" ht="130.05" customHeight="1">
      <c r="A29" s="504"/>
      <c r="B29" s="542"/>
      <c r="C29" t="s" s="543">
        <f>IF(LEFT(RIGHT($B$1,2),1)=" ",RIGHT($B$1,1),RIGHT($B$1,2))</f>
        <v>1761</v>
      </c>
      <c r="D29" s="544">
        <f>IF(LEFT(F29,14)="Bonne pratique",D28+1,D28)</f>
        <v>2</v>
      </c>
      <c r="E29" t="s" s="545">
        <f>C29&amp;D29&amp;RIGHT(F29,1)</f>
        <v>1784</v>
      </c>
      <c r="F29" t="s" s="552">
        <v>1772</v>
      </c>
      <c r="G29" t="s" s="540">
        <f>_xlfn.IFERROR(IF(VLOOKUP($E29,'BDD'!$A$1:$S$567,MATCH(G$10,'BDD'!$A$1:$P$1,0),FALSE)=0,"",VLOOKUP($E29,'BDD'!$A$1:$S$567,MATCH(G$10,'BDD'!$A$1:$P$1,0),FALSE)),"")</f>
        <v>299</v>
      </c>
      <c r="H29" t="s" s="553">
        <f>IF(VLOOKUP(E29,'BDD'!$A$1:$S$567,15,FALSE)=0,"Critère non évalué","")</f>
        <v>1770</v>
      </c>
      <c r="I29" t="s" s="552">
        <f>_xlfn.IFERROR(IF(VLOOKUP($E29,'BDD'!$A$1:$S$567,MATCH(I$10,'BDD'!$A$1:$P$1,0),FALSE)=0,"",VLOOKUP($E29,'BDD'!$A$1:$S$567,MATCH(I$10,'BDD'!$A$1:$P$1,0),FALSE)),"")</f>
        <v>263</v>
      </c>
      <c r="J29" s="554"/>
      <c r="K29" t="s" s="540">
        <f>_xlfn.IFERROR(IF(VLOOKUP($E29,'BDD'!$A$1:$S$567,MATCH(K$10,'BDD'!$A$1:$P$1,0),FALSE)=0,"",VLOOKUP($E29,'BDD'!$A$1:$S$567,MATCH(K$10,'BDD'!$A$1:$P$1,0),FALSE)),"")</f>
      </c>
      <c r="L29" s="550"/>
      <c r="M29" s="555"/>
      <c r="N29" s="555"/>
      <c r="O29" s="534"/>
      <c r="P29" s="507"/>
    </row>
    <row r="30" ht="130.05" customHeight="1">
      <c r="A30" s="504"/>
      <c r="B30" s="542"/>
      <c r="C30" t="s" s="543">
        <f>IF(LEFT(RIGHT($B$1,2),1)=" ",RIGHT($B$1,1),RIGHT($B$1,2))</f>
        <v>1761</v>
      </c>
      <c r="D30" s="544">
        <f>IF(LEFT(F30,14)="Bonne pratique",D29+1,D29)</f>
        <v>2</v>
      </c>
      <c r="E30" t="s" s="545">
        <f>C30&amp;D30&amp;RIGHT(F30,1)</f>
        <v>1790</v>
      </c>
      <c r="F30" t="s" s="546">
        <v>1774</v>
      </c>
      <c r="G30" t="s" s="547">
        <f>_xlfn.IFERROR(IF(VLOOKUP($E30,'BDD'!$A$1:$S$567,MATCH(G$10,'BDD'!$A$1:$P$1,0),FALSE)=0,"",VLOOKUP($E30,'BDD'!$A$1:$S$567,MATCH(G$10,'BDD'!$A$1:$P$1,0),FALSE)),"")</f>
        <v>302</v>
      </c>
      <c r="H30" t="s" s="548">
        <f>IF(VLOOKUP(E30,'BDD'!$A$1:$S$567,15,FALSE)=0,"Critère non évalué","")</f>
        <v>1770</v>
      </c>
      <c r="I30" t="s" s="546">
        <f>_xlfn.IFERROR(IF(VLOOKUP($E30,'BDD'!$A$1:$S$567,MATCH(I$10,'BDD'!$A$1:$P$1,0),FALSE)=0,"",VLOOKUP($E30,'BDD'!$A$1:$S$567,MATCH(I$10,'BDD'!$A$1:$P$1,0),FALSE)),"")</f>
        <v>283</v>
      </c>
      <c r="J30" s="549"/>
      <c r="K30" t="s" s="547">
        <f>_xlfn.IFERROR(IF(VLOOKUP($E30,'BDD'!$A$1:$S$567,MATCH(K$10,'BDD'!$A$1:$P$1,0),FALSE)=0,"",VLOOKUP($E30,'BDD'!$A$1:$S$567,MATCH(K$10,'BDD'!$A$1:$P$1,0),FALSE)),"")</f>
      </c>
      <c r="L30" s="550"/>
      <c r="M30" s="551"/>
      <c r="N30" s="551"/>
      <c r="O30" s="534"/>
      <c r="P30" s="507"/>
    </row>
    <row r="31" ht="130.05" customHeight="1">
      <c r="A31" s="504"/>
      <c r="B31" s="542"/>
      <c r="C31" t="s" s="543">
        <f>IF(LEFT(RIGHT($B$1,2),1)=" ",RIGHT($B$1,1),RIGHT($B$1,2))</f>
        <v>1761</v>
      </c>
      <c r="D31" s="544">
        <f>IF(LEFT(F31,14)="Bonne pratique",D30+1,D30)</f>
        <v>2</v>
      </c>
      <c r="E31" t="s" s="545">
        <f>C31&amp;D31&amp;RIGHT(F31,1)</f>
        <v>1791</v>
      </c>
      <c r="F31" t="s" s="552">
        <v>1776</v>
      </c>
      <c r="G31" t="s" s="540">
        <f>_xlfn.IFERROR(IF(VLOOKUP($E31,'BDD'!$A$1:$S$567,MATCH(G$10,'BDD'!$A$1:$P$1,0),FALSE)=0,"",VLOOKUP($E31,'BDD'!$A$1:$S$567,MATCH(G$10,'BDD'!$A$1:$P$1,0),FALSE)),"")</f>
        <v>305</v>
      </c>
      <c r="H31" t="s" s="553">
        <f>IF(VLOOKUP(E31,'BDD'!$A$1:$S$567,15,FALSE)=0,"Critère non évalué","")</f>
        <v>1770</v>
      </c>
      <c r="I31" t="s" s="552">
        <f>_xlfn.IFERROR(IF(VLOOKUP($E31,'BDD'!$A$1:$S$567,MATCH(I$10,'BDD'!$A$1:$P$1,0),FALSE)=0,"",VLOOKUP($E31,'BDD'!$A$1:$S$567,MATCH(I$10,'BDD'!$A$1:$P$1,0),FALSE)),"")</f>
        <v>291</v>
      </c>
      <c r="J31" s="556"/>
      <c r="K31" t="s" s="540">
        <f>_xlfn.IFERROR(IF(VLOOKUP($E31,'BDD'!$A$1:$S$567,MATCH(K$10,'BDD'!$A$1:$P$1,0),FALSE)=0,"",VLOOKUP($E31,'BDD'!$A$1:$S$567,MATCH(K$10,'BDD'!$A$1:$P$1,0),FALSE)),"")</f>
        <v>306</v>
      </c>
      <c r="L31" s="550"/>
      <c r="M31" s="555"/>
      <c r="N31" s="555"/>
      <c r="O31" s="534"/>
      <c r="P31" s="507"/>
    </row>
    <row r="32" ht="129.6" customHeight="1">
      <c r="A32" s="504"/>
      <c r="B32" s="542"/>
      <c r="C32" t="s" s="543">
        <f>IF(LEFT(RIGHT($B$1,2),1)=" ",RIGHT($B$1,1),RIGHT($B$1,2))</f>
        <v>1761</v>
      </c>
      <c r="D32" s="544">
        <f>IF(LEFT(F32,14)="Bonne pratique",D31+1,D31)</f>
        <v>2</v>
      </c>
      <c r="E32" t="s" s="545">
        <f>C32&amp;D32&amp;RIGHT(F32,1)</f>
        <v>1792</v>
      </c>
      <c r="F32" t="s" s="546">
        <v>1778</v>
      </c>
      <c r="G32" t="s" s="547">
        <f>_xlfn.IFERROR(IF(VLOOKUP($E32,'BDD'!$A$1:$S$567,MATCH(G$10,'BDD'!$A$1:$P$1,0),FALSE)=0,"",VLOOKUP($E32,'BDD'!$A$1:$S$567,MATCH(G$10,'BDD'!$A$1:$P$1,0),FALSE)),"")</f>
        <v>309</v>
      </c>
      <c r="H32" t="s" s="548">
        <f>IF(VLOOKUP(E32,'BDD'!$A$1:$S$567,15,FALSE)=0,"Critère non évalué","")</f>
        <v>1770</v>
      </c>
      <c r="I32" t="s" s="546">
        <f>_xlfn.IFERROR(IF(VLOOKUP($E32,'BDD'!$A$1:$S$567,MATCH(I$10,'BDD'!$A$1:$P$1,0),FALSE)=0,"",VLOOKUP($E32,'BDD'!$A$1:$S$567,MATCH(I$10,'BDD'!$A$1:$P$1,0),FALSE)),"")</f>
        <v>271</v>
      </c>
      <c r="J32" s="549"/>
      <c r="K32" t="s" s="547">
        <f>_xlfn.IFERROR(IF(VLOOKUP($E32,'BDD'!$A$1:$S$567,MATCH(K$10,'BDD'!$A$1:$P$1,0),FALSE)=0,"",VLOOKUP($E32,'BDD'!$A$1:$S$567,MATCH(K$10,'BDD'!$A$1:$P$1,0),FALSE)),"")</f>
        <v>310</v>
      </c>
      <c r="L32" s="550"/>
      <c r="M32" s="557"/>
      <c r="N32" s="557"/>
      <c r="O32" s="534"/>
      <c r="P32" s="507"/>
    </row>
    <row r="33" ht="130.05" customHeight="1">
      <c r="A33" s="504"/>
      <c r="B33" s="542"/>
      <c r="C33" t="s" s="543">
        <f>IF(LEFT(RIGHT($B$1,2),1)=" ",RIGHT($B$1,1),RIGHT($B$1,2))</f>
        <v>1761</v>
      </c>
      <c r="D33" s="544">
        <f>IF(LEFT(F33,14)="Bonne pratique",D32+1,D32)</f>
        <v>2</v>
      </c>
      <c r="E33" t="s" s="545">
        <f>C33&amp;D33&amp;RIGHT(F33,1)</f>
        <v>1793</v>
      </c>
      <c r="F33" t="s" s="552">
        <v>1780</v>
      </c>
      <c r="G33" t="s" s="540">
        <f>_xlfn.IFERROR(IF(VLOOKUP($E33,'BDD'!$A$1:$S$567,MATCH(G$10,'BDD'!$A$1:$P$1,0),FALSE)=0,"",VLOOKUP($E33,'BDD'!$A$1:$S$567,MATCH(G$10,'BDD'!$A$1:$P$1,0),FALSE)),"")</f>
        <v>313</v>
      </c>
      <c r="H33" t="s" s="553">
        <f>IF(VLOOKUP(E33,'BDD'!$A$1:$S$567,15,FALSE)=0,"Critère non évalué","")</f>
        <v>1770</v>
      </c>
      <c r="I33" t="s" s="552">
        <f>_xlfn.IFERROR(IF(VLOOKUP($E33,'BDD'!$A$1:$S$567,MATCH(I$10,'BDD'!$A$1:$P$1,0),FALSE)=0,"",VLOOKUP($E33,'BDD'!$A$1:$S$567,MATCH(I$10,'BDD'!$A$1:$P$1,0),FALSE)),"")</f>
        <v>291</v>
      </c>
      <c r="J33" s="554"/>
      <c r="K33" t="s" s="540">
        <f>_xlfn.IFERROR(IF(VLOOKUP($E33,'BDD'!$A$1:$S$567,MATCH(K$10,'BDD'!$A$1:$P$1,0),FALSE)=0,"",VLOOKUP($E33,'BDD'!$A$1:$S$567,MATCH(K$10,'BDD'!$A$1:$P$1,0),FALSE)),"")</f>
        <v>314</v>
      </c>
      <c r="L33" s="550"/>
      <c r="M33" s="555"/>
      <c r="N33" s="555"/>
      <c r="O33" s="534"/>
      <c r="P33" s="507"/>
    </row>
    <row r="34" ht="130.05" customHeight="1">
      <c r="A34" s="504"/>
      <c r="B34" s="542"/>
      <c r="C34" t="s" s="543">
        <f>IF(LEFT(RIGHT($B$1,2),1)=" ",RIGHT($B$1,1),RIGHT($B$1,2))</f>
        <v>1761</v>
      </c>
      <c r="D34" s="544">
        <f>IF(LEFT(F34,14)="Bonne pratique",D33+1,D33)</f>
        <v>2</v>
      </c>
      <c r="E34" t="s" s="545">
        <f>C34&amp;D34&amp;RIGHT(F34,1)</f>
        <v>1794</v>
      </c>
      <c r="F34" t="s" s="546">
        <v>1782</v>
      </c>
      <c r="G34" t="s" s="547">
        <f>_xlfn.IFERROR(IF(VLOOKUP($E34,'BDD'!$A$1:$S$567,MATCH(G$10,'BDD'!$A$1:$P$1,0),FALSE)=0,"",VLOOKUP($E34,'BDD'!$A$1:$S$567,MATCH(G$10,'BDD'!$A$1:$P$1,0),FALSE)),"")</f>
        <v>317</v>
      </c>
      <c r="H34" t="s" s="548">
        <f>IF(VLOOKUP(E34,'BDD'!$A$1:$S$567,15,FALSE)=0,"Critère non évalué","")</f>
        <v>1770</v>
      </c>
      <c r="I34" t="s" s="546">
        <f>_xlfn.IFERROR(IF(VLOOKUP($E34,'BDD'!$A$1:$S$567,MATCH(I$10,'BDD'!$A$1:$P$1,0),FALSE)=0,"",VLOOKUP($E34,'BDD'!$A$1:$S$567,MATCH(I$10,'BDD'!$A$1:$P$1,0),FALSE)),"")</f>
        <v>291</v>
      </c>
      <c r="J34" s="549"/>
      <c r="K34" t="s" s="547">
        <f>_xlfn.IFERROR(IF(VLOOKUP($E34,'BDD'!$A$1:$S$567,MATCH(K$10,'BDD'!$A$1:$P$1,0),FALSE)=0,"",VLOOKUP($E34,'BDD'!$A$1:$S$567,MATCH(K$10,'BDD'!$A$1:$P$1,0),FALSE)),"")</f>
        <v>1795</v>
      </c>
      <c r="L34" s="550"/>
      <c r="M34" s="557"/>
      <c r="N34" s="557"/>
      <c r="O34" s="534"/>
      <c r="P34" s="507"/>
    </row>
    <row r="35" ht="18" customHeight="1">
      <c r="A35" s="504"/>
      <c r="B35" s="61"/>
      <c r="C35" t="s" s="513">
        <f>IF(LEFT(RIGHT($B$1,2),1)=" ",RIGHT($B$1,1),RIGHT($B$1,2))</f>
        <v>1761</v>
      </c>
      <c r="D35" s="514">
        <f>IF(LEFT(F35,14)="Bonne pratique",D34+1,D34)</f>
        <v>2</v>
      </c>
      <c r="E35" t="s" s="558">
        <f>C35&amp;D35&amp;RIGHT(F35,1)</f>
        <v>1786</v>
      </c>
      <c r="F35" s="559"/>
      <c r="G35" t="s" s="560">
        <f>IF('Suppl'!B96=2,"Le vecteur n'est pas utilisé","")</f>
      </c>
      <c r="H35" s="561"/>
      <c r="I35" s="559"/>
      <c r="J35" s="561"/>
      <c r="K35" s="561"/>
      <c r="L35" s="510"/>
      <c r="M35" s="559"/>
      <c r="N35" s="559"/>
      <c r="O35" s="61"/>
      <c r="P35" s="507"/>
    </row>
    <row r="36" ht="15" customHeight="1">
      <c r="A36" s="504"/>
      <c r="B36" s="61"/>
      <c r="C36" t="s" s="513">
        <f>IF(LEFT(RIGHT($B$1,2),1)=" ",RIGHT($B$1,1),RIGHT($B$1,2))</f>
        <v>1761</v>
      </c>
      <c r="D36" s="514">
        <f>IF(LEFT(F36,14)="Bonne pratique",D35+1,D35)</f>
        <v>2</v>
      </c>
      <c r="E36" t="s" s="558">
        <f>C36&amp;D36&amp;RIGHT(F36,1)</f>
        <v>1786</v>
      </c>
      <c r="F36" s="61"/>
      <c r="G36" s="61"/>
      <c r="H36" s="61"/>
      <c r="I36" s="61"/>
      <c r="J36" s="61"/>
      <c r="K36" s="61"/>
      <c r="L36" s="61"/>
      <c r="M36" s="61"/>
      <c r="N36" s="61"/>
      <c r="O36" s="61"/>
      <c r="P36" s="507"/>
    </row>
    <row r="37" ht="25.8" customHeight="1">
      <c r="A37" s="511"/>
      <c r="B37" s="512"/>
      <c r="C37" t="s" s="513">
        <f>IF(LEFT(RIGHT($B$1,2),1)=" ",RIGHT($B$1,1),RIGHT($B$1,2))</f>
        <v>1761</v>
      </c>
      <c r="D37" s="514">
        <f>IF(LEFT(F37,14)="Bonne pratique",D36+1,D36)</f>
        <v>3</v>
      </c>
      <c r="E37" t="s" s="558">
        <f>C37&amp;D37&amp;RIGHT(F37,1)</f>
        <v>1796</v>
      </c>
      <c r="F37" t="s" s="516">
        <v>1797</v>
      </c>
      <c r="G37" s="517"/>
      <c r="H37" s="518"/>
      <c r="I37" s="519"/>
      <c r="J37" t="s" s="520">
        <f>VLOOKUP(E44,'BDD'!$A$2:$N$567,6,FALSE)</f>
        <v>320</v>
      </c>
      <c r="K37" s="521"/>
      <c r="L37" s="517"/>
      <c r="M37" s="517"/>
      <c r="N37" s="517"/>
      <c r="O37" s="512"/>
      <c r="P37" s="522"/>
    </row>
    <row r="38" ht="15" customHeight="1">
      <c r="A38" s="504"/>
      <c r="B38" s="61"/>
      <c r="C38" t="s" s="513">
        <f>IF(LEFT(RIGHT($B$1,2),1)=" ",RIGHT($B$1,1),RIGHT($B$1,2))</f>
        <v>1761</v>
      </c>
      <c r="D38" s="514">
        <f>IF(LEFT(F38,14)="Bonne pratique",D37+1,D37)</f>
        <v>3</v>
      </c>
      <c r="E38" t="s" s="558">
        <f>C38&amp;D38&amp;RIGHT(F38,1)</f>
        <v>1798</v>
      </c>
      <c r="F38" s="61"/>
      <c r="G38" s="61"/>
      <c r="H38" s="61"/>
      <c r="I38" s="61"/>
      <c r="J38" s="61"/>
      <c r="K38" s="61"/>
      <c r="L38" s="61"/>
      <c r="M38" s="61"/>
      <c r="N38" s="61"/>
      <c r="O38" s="61"/>
      <c r="P38" s="507"/>
    </row>
    <row r="39" ht="18" customHeight="1">
      <c r="A39" s="523"/>
      <c r="B39" s="524"/>
      <c r="C39" t="s" s="513">
        <f>IF(LEFT(RIGHT($B$1,2),1)=" ",RIGHT($B$1,1),RIGHT($B$1,2))</f>
        <v>1761</v>
      </c>
      <c r="D39" s="514">
        <f>IF(LEFT(F39,14)="Bonne pratique",D38+1,D38)</f>
        <v>3</v>
      </c>
      <c r="E39" t="s" s="558">
        <f>C39&amp;D39&amp;RIGHT(F39,1)</f>
        <v>1798</v>
      </c>
      <c r="F39" s="524"/>
      <c r="G39" s="524"/>
      <c r="H39" s="524"/>
      <c r="I39" s="525"/>
      <c r="J39" t="s" s="526">
        <v>321</v>
      </c>
      <c r="K39" s="525"/>
      <c r="L39" s="524"/>
      <c r="M39" s="524"/>
      <c r="N39" s="524"/>
      <c r="O39" s="524"/>
      <c r="P39" s="527"/>
    </row>
    <row r="40" ht="18" customHeight="1">
      <c r="A40" s="504"/>
      <c r="B40" s="61"/>
      <c r="C40" t="s" s="513">
        <f>IF(LEFT(RIGHT($B$1,2),1)=" ",RIGHT($B$1,1),RIGHT($B$1,2))</f>
        <v>1761</v>
      </c>
      <c r="D40" s="514">
        <f>IF(LEFT(F40,14)="Bonne pratique",D39+1,D39)</f>
        <v>3</v>
      </c>
      <c r="E40" t="s" s="558">
        <f>C40&amp;D40&amp;RIGHT(F40,1)</f>
        <v>1798</v>
      </c>
      <c r="F40" s="61"/>
      <c r="G40" s="61"/>
      <c r="H40" s="61"/>
      <c r="I40" s="61"/>
      <c r="J40" s="528"/>
      <c r="K40" s="61"/>
      <c r="L40" s="61"/>
      <c r="M40" s="529"/>
      <c r="N40" s="529"/>
      <c r="O40" s="61"/>
      <c r="P40" s="507"/>
    </row>
    <row r="41" ht="15" customHeight="1">
      <c r="A41" s="504"/>
      <c r="B41" s="61"/>
      <c r="C41" t="s" s="513">
        <f>IF(LEFT(RIGHT($B$1,2),1)=" ",RIGHT($B$1,1),RIGHT($B$1,2))</f>
        <v>1761</v>
      </c>
      <c r="D41" s="514">
        <f>IF(LEFT(F41,14)="Bonne pratique",D40+1,D40)</f>
        <v>3</v>
      </c>
      <c r="E41" t="s" s="558">
        <f>C41&amp;D41&amp;RIGHT(F41,1)</f>
        <v>1798</v>
      </c>
      <c r="F41" s="61"/>
      <c r="G41" s="529"/>
      <c r="H41" s="529"/>
      <c r="I41" s="529"/>
      <c r="J41" s="530"/>
      <c r="K41" s="529"/>
      <c r="L41" s="542"/>
      <c r="M41" t="s" s="562">
        <v>1763</v>
      </c>
      <c r="N41" s="563"/>
      <c r="O41" s="534"/>
      <c r="P41" s="507"/>
    </row>
    <row r="42" ht="33" customHeight="1">
      <c r="A42" s="504"/>
      <c r="B42" s="61"/>
      <c r="C42" t="s" s="513">
        <f>IF(LEFT(RIGHT($B$1,2),1)=" ",RIGHT($B$1,1),RIGHT($B$1,2))</f>
        <v>1761</v>
      </c>
      <c r="D42" s="514">
        <f>IF(LEFT(F42,14)="Bonne pratique",D41+1,D41)</f>
        <v>3</v>
      </c>
      <c r="E42" t="s" s="558">
        <f>C42&amp;D42&amp;RIGHT(F42,1)</f>
        <v>1798</v>
      </c>
      <c r="F42" s="535"/>
      <c r="G42" t="s" s="536">
        <v>244</v>
      </c>
      <c r="H42" t="s" s="536">
        <v>1764</v>
      </c>
      <c r="I42" t="s" s="536">
        <v>1787</v>
      </c>
      <c r="J42" t="s" s="536">
        <v>1765</v>
      </c>
      <c r="K42" t="s" s="536">
        <v>1788</v>
      </c>
      <c r="L42" s="538"/>
      <c r="M42" t="s" s="539">
        <v>1766</v>
      </c>
      <c r="N42" t="s" s="540">
        <v>1767</v>
      </c>
      <c r="O42" s="534"/>
      <c r="P42" s="507"/>
    </row>
    <row r="43" ht="15" customHeight="1">
      <c r="A43" s="504"/>
      <c r="B43" s="61"/>
      <c r="C43" t="s" s="513">
        <f>IF(LEFT(RIGHT($B$1,2),1)=" ",RIGHT($B$1,1),RIGHT($B$1,2))</f>
        <v>1761</v>
      </c>
      <c r="D43" s="514">
        <f>IF(LEFT(F43,14)="Bonne pratique",D42+1,D42)</f>
        <v>3</v>
      </c>
      <c r="E43" t="s" s="558">
        <f>C43&amp;D43&amp;RIGHT(F43,1)</f>
        <v>1798</v>
      </c>
      <c r="F43" s="529"/>
      <c r="G43" s="541"/>
      <c r="H43" s="541"/>
      <c r="I43" s="541"/>
      <c r="J43" s="541"/>
      <c r="K43" s="541"/>
      <c r="L43" s="61"/>
      <c r="M43" s="541"/>
      <c r="N43" s="541"/>
      <c r="O43" s="61"/>
      <c r="P43" s="507"/>
    </row>
    <row r="44" ht="130.05" customHeight="1">
      <c r="A44" s="504"/>
      <c r="B44" s="542"/>
      <c r="C44" t="s" s="543">
        <f>IF(LEFT(RIGHT($B$1,2),1)=" ",RIGHT($B$1,1),RIGHT($B$1,2))</f>
        <v>1761</v>
      </c>
      <c r="D44" s="544">
        <f>IF(LEFT(F44,14)="Bonne pratique",D43+1,D43)</f>
        <v>3</v>
      </c>
      <c r="E44" t="s" s="545">
        <f>C44&amp;D44&amp;RIGHT(F44,1)</f>
        <v>1799</v>
      </c>
      <c r="F44" t="s" s="546">
        <v>1769</v>
      </c>
      <c r="G44" t="s" s="547">
        <f>_xlfn.IFERROR(IF(VLOOKUP($E44,'BDD'!$A$1:$S$567,MATCH(G$10,'BDD'!$A$1:$P$1,0),FALSE)=0,"",VLOOKUP($E44,'BDD'!$A$1:$S$567,MATCH(G$10,'BDD'!$A$1:$P$1,0),FALSE)),"")</f>
        <v>323</v>
      </c>
      <c r="H44" t="s" s="548">
        <f>IF(VLOOKUP(E44,'BDD'!$A$1:$S$567,15,FALSE)=0,"Critère non évalué","")</f>
        <v>1770</v>
      </c>
      <c r="I44" t="s" s="546">
        <f>_xlfn.IFERROR(IF(VLOOKUP($E44,'BDD'!$A$1:$S$567,MATCH(I$10,'BDD'!$A$1:$P$1,0),FALSE)=0,"",VLOOKUP($E44,'BDD'!$A$1:$S$567,MATCH(I$10,'BDD'!$A$1:$P$1,0),FALSE)),"")</f>
        <v>271</v>
      </c>
      <c r="J44" s="549"/>
      <c r="K44" t="s" s="547">
        <f>_xlfn.IFERROR(IF(VLOOKUP($E44,'BDD'!$A$1:$S$567,MATCH(K$10,'BDD'!$A$1:$P$1,0),FALSE)=0,"",VLOOKUP($E44,'BDD'!$A$1:$S$567,MATCH(K$10,'BDD'!$A$1:$P$1,0),FALSE)),"")</f>
        <v>324</v>
      </c>
      <c r="L44" s="550"/>
      <c r="M44" s="551"/>
      <c r="N44" s="551"/>
      <c r="O44" s="534"/>
      <c r="P44" s="507"/>
    </row>
    <row r="45" ht="150" customHeight="1">
      <c r="A45" s="504"/>
      <c r="B45" s="542"/>
      <c r="C45" t="s" s="543">
        <f>IF(LEFT(RIGHT($B$1,2),1)=" ",RIGHT($B$1,1),RIGHT($B$1,2))</f>
        <v>1761</v>
      </c>
      <c r="D45" s="544">
        <f>IF(LEFT(F45,14)="Bonne pratique",D44+1,D44)</f>
        <v>3</v>
      </c>
      <c r="E45" t="s" s="545">
        <f>C45&amp;D45&amp;RIGHT(F45,1)</f>
        <v>1800</v>
      </c>
      <c r="F45" t="s" s="552">
        <v>1772</v>
      </c>
      <c r="G45" t="s" s="540">
        <f>_xlfn.IFERROR(IF(VLOOKUP($E45,'BDD'!$A$1:$S$567,MATCH(G$10,'BDD'!$A$1:$P$1,0),FALSE)=0,"",VLOOKUP($E45,'BDD'!$A$1:$S$567,MATCH(G$10,'BDD'!$A$1:$P$1,0),FALSE)),"")</f>
        <v>327</v>
      </c>
      <c r="H45" t="s" s="553">
        <f>IF(VLOOKUP(E45,'BDD'!$A$1:$S$567,15,FALSE)=0,"Critère non évalué","")</f>
        <v>1770</v>
      </c>
      <c r="I45" t="s" s="552">
        <f>_xlfn.IFERROR(IF(VLOOKUP($E45,'BDD'!$A$1:$S$567,MATCH(I$10,'BDD'!$A$1:$P$1,0),FALSE)=0,"",VLOOKUP($E45,'BDD'!$A$1:$S$567,MATCH(I$10,'BDD'!$A$1:$P$1,0),FALSE)),"")</f>
        <v>271</v>
      </c>
      <c r="J45" s="554"/>
      <c r="K45" t="s" s="540">
        <f>_xlfn.IFERROR(IF(VLOOKUP($E45,'BDD'!$A$1:$S$567,MATCH(K$10,'BDD'!$A$1:$P$1,0),FALSE)=0,"",VLOOKUP($E45,'BDD'!$A$1:$S$567,MATCH(K$10,'BDD'!$A$1:$P$1,0),FALSE)),"")</f>
        <v>328</v>
      </c>
      <c r="L45" s="550"/>
      <c r="M45" s="555"/>
      <c r="N45" s="555"/>
      <c r="O45" s="534"/>
      <c r="P45" s="507"/>
    </row>
    <row r="46" ht="130.05" customHeight="1">
      <c r="A46" s="504"/>
      <c r="B46" s="542"/>
      <c r="C46" t="s" s="543">
        <f>IF(LEFT(RIGHT($B$1,2),1)=" ",RIGHT($B$1,1),RIGHT($B$1,2))</f>
        <v>1761</v>
      </c>
      <c r="D46" s="544">
        <f>IF(LEFT(F46,14)="Bonne pratique",D45+1,D45)</f>
        <v>3</v>
      </c>
      <c r="E46" t="s" s="545">
        <f>C46&amp;D46&amp;RIGHT(F46,1)</f>
        <v>1796</v>
      </c>
      <c r="F46" t="s" s="546">
        <v>1774</v>
      </c>
      <c r="G46" t="s" s="547">
        <f>_xlfn.IFERROR(IF(VLOOKUP($E46,'BDD'!$A$1:$S$567,MATCH(G$10,'BDD'!$A$1:$P$1,0),FALSE)=0,"",VLOOKUP($E46,'BDD'!$A$1:$S$567,MATCH(G$10,'BDD'!$A$1:$P$1,0),FALSE)),"")</f>
        <v>331</v>
      </c>
      <c r="H46" t="s" s="548">
        <f>IF(VLOOKUP(E46,'BDD'!$A$1:$S$567,15,FALSE)=0,"Critère non évalué","")</f>
        <v>1770</v>
      </c>
      <c r="I46" t="s" s="546">
        <v>283</v>
      </c>
      <c r="J46" s="549"/>
      <c r="K46" t="s" s="547">
        <f>_xlfn.IFERROR(IF(VLOOKUP($E46,'BDD'!$A$1:$S$567,MATCH(K$10,'BDD'!$A$1:$P$1,0),FALSE)=0,"",VLOOKUP($E46,'BDD'!$A$1:$S$567,MATCH(K$10,'BDD'!$A$1:$P$1,0),FALSE)),"")</f>
        <v>332</v>
      </c>
      <c r="L46" s="550"/>
      <c r="M46" s="551"/>
      <c r="N46" s="551"/>
      <c r="O46" s="534"/>
      <c r="P46" s="507"/>
    </row>
    <row r="47" ht="120" customHeight="1">
      <c r="A47" s="504"/>
      <c r="B47" s="542"/>
      <c r="C47" t="s" s="543">
        <f>IF(LEFT(RIGHT($B$1,2),1)=" ",RIGHT($B$1,1),RIGHT($B$1,2))</f>
        <v>1761</v>
      </c>
      <c r="D47" s="544">
        <f>IF(LEFT(F47,14)="Bonne pratique",D46+1,D46)</f>
        <v>3</v>
      </c>
      <c r="E47" t="s" s="545">
        <f>C47&amp;D47&amp;RIGHT(F47,1)</f>
        <v>1801</v>
      </c>
      <c r="F47" t="s" s="552">
        <v>1776</v>
      </c>
      <c r="G47" t="s" s="540">
        <f>_xlfn.IFERROR(IF(VLOOKUP($E47,'BDD'!$A$1:$S$567,MATCH(G$10,'BDD'!$A$1:$P$1,0),FALSE)=0,"",VLOOKUP($E47,'BDD'!$A$1:$S$567,MATCH(G$10,'BDD'!$A$1:$P$1,0),FALSE)),"")</f>
        <v>335</v>
      </c>
      <c r="H47" t="s" s="553">
        <f>IF(VLOOKUP(E47,'BDD'!$A$1:$S$567,15,FALSE)=0,"Critère non évalué","")</f>
        <v>1770</v>
      </c>
      <c r="I47" t="s" s="552">
        <v>256</v>
      </c>
      <c r="J47" s="556"/>
      <c r="K47" t="s" s="540">
        <f>_xlfn.IFERROR(IF(VLOOKUP($E47,'BDD'!$A$1:$S$567,MATCH(K$10,'BDD'!$A$1:$P$1,0),FALSE)=0,"",VLOOKUP($E47,'BDD'!$A$1:$S$567,MATCH(K$10,'BDD'!$A$1:$P$1,0),FALSE)),"")</f>
      </c>
      <c r="L47" s="550"/>
      <c r="M47" s="555"/>
      <c r="N47" s="555"/>
      <c r="O47" s="534"/>
      <c r="P47" s="507"/>
    </row>
    <row r="48" ht="130.05" customHeight="1" hidden="1">
      <c r="A48" s="504"/>
      <c r="B48" s="542"/>
      <c r="C48" t="s" s="543">
        <f>IF(LEFT(RIGHT($B$1,2),1)=" ",RIGHT($B$1,1),RIGHT($B$1,2))</f>
        <v>1761</v>
      </c>
      <c r="D48" s="544">
        <f>IF(LEFT(F48,14)="Bonne pratique",D47+1,D47)</f>
        <v>3</v>
      </c>
      <c r="E48" t="s" s="545">
        <f>C48&amp;D48&amp;RIGHT(F48,1)</f>
        <v>1802</v>
      </c>
      <c r="F48" t="s" s="546">
        <v>1778</v>
      </c>
      <c r="G48" t="s" s="547">
        <f>_xlfn.IFERROR(IF(VLOOKUP($E48,'BDD'!$A$1:$S$567,MATCH(G$10,'BDD'!$A$1:$P$1,0),FALSE)=0,"",VLOOKUP($E48,'BDD'!$A$1:$S$567,MATCH(G$10,'BDD'!$A$1:$P$1,0),FALSE)),"")</f>
      </c>
      <c r="H48" t="s" s="548">
        <f>IF(VLOOKUP(E48,'BDD'!$A$1:$S$567,15,FALSE)=0,"Critère non évalué","")</f>
        <v>1770</v>
      </c>
      <c r="I48" t="s" s="546">
        <v>283</v>
      </c>
      <c r="J48" s="549"/>
      <c r="K48" t="s" s="547">
        <f>_xlfn.IFERROR(IF(VLOOKUP($E48,'BDD'!$A$1:$S$567,MATCH(K$10,'BDD'!$A$1:$P$1,0),FALSE)=0,"",VLOOKUP($E48,'BDD'!$A$1:$S$567,MATCH(K$10,'BDD'!$A$1:$P$1,0),FALSE)),"")</f>
      </c>
      <c r="L48" s="550"/>
      <c r="M48" s="551"/>
      <c r="N48" s="551"/>
      <c r="O48" s="534"/>
      <c r="P48" s="507"/>
    </row>
    <row r="49" ht="120" customHeight="1" hidden="1">
      <c r="A49" s="504"/>
      <c r="B49" s="542"/>
      <c r="C49" t="s" s="543">
        <f>IF(LEFT(RIGHT($B$1,2),1)=" ",RIGHT($B$1,1),RIGHT($B$1,2))</f>
        <v>1761</v>
      </c>
      <c r="D49" s="544">
        <f>IF(LEFT(F49,14)="Bonne pratique",D48+1,D48)</f>
        <v>3</v>
      </c>
      <c r="E49" t="s" s="545">
        <f>C49&amp;D49&amp;RIGHT(F49,1)</f>
        <v>1803</v>
      </c>
      <c r="F49" t="s" s="552">
        <v>1780</v>
      </c>
      <c r="G49" t="s" s="540">
        <f>_xlfn.IFERROR(IF(VLOOKUP($E49,'BDD'!$A$1:$S$567,MATCH(G$10,'BDD'!$A$1:$P$1,0),FALSE)=0,"",VLOOKUP($E49,'BDD'!$A$1:$S$567,MATCH(G$10,'BDD'!$A$1:$P$1,0),FALSE)),"")</f>
      </c>
      <c r="H49" t="s" s="553">
        <f>IF(VLOOKUP(E49,'BDD'!$A$1:$S$567,15,FALSE)=0,"Critère non évalué","")</f>
        <v>1770</v>
      </c>
      <c r="I49" t="s" s="552">
        <v>256</v>
      </c>
      <c r="J49" s="556"/>
      <c r="K49" t="s" s="540">
        <f>_xlfn.IFERROR(IF(VLOOKUP($E49,'BDD'!$A$1:$S$567,MATCH(K$10,'BDD'!$A$1:$P$1,0),FALSE)=0,"",VLOOKUP($E49,'BDD'!$A$1:$S$567,MATCH(K$10,'BDD'!$A$1:$P$1,0),FALSE)),"")</f>
      </c>
      <c r="L49" s="550"/>
      <c r="M49" s="555"/>
      <c r="N49" s="555"/>
      <c r="O49" s="534"/>
      <c r="P49" s="507"/>
    </row>
    <row r="50" ht="130.05" customHeight="1" hidden="1">
      <c r="A50" s="504"/>
      <c r="B50" s="542"/>
      <c r="C50" t="s" s="543">
        <f>IF(LEFT(RIGHT($B$1,2),1)=" ",RIGHT($B$1,1),RIGHT($B$1,2))</f>
        <v>1761</v>
      </c>
      <c r="D50" s="544">
        <f>IF(LEFT(F50,14)="Bonne pratique",D49+1,D49)</f>
        <v>3</v>
      </c>
      <c r="E50" t="s" s="545">
        <f>C50&amp;D50&amp;RIGHT(F50,1)</f>
        <v>1804</v>
      </c>
      <c r="F50" t="s" s="546">
        <v>1782</v>
      </c>
      <c r="G50" t="s" s="547">
        <f>_xlfn.IFERROR(IF(VLOOKUP($E50,'BDD'!$A$1:$S$567,MATCH(G$10,'BDD'!$A$1:$P$1,0),FALSE)=0,"",VLOOKUP($E50,'BDD'!$A$1:$S$567,MATCH(G$10,'BDD'!$A$1:$P$1,0),FALSE)),"")</f>
      </c>
      <c r="H50" t="s" s="548">
        <f>IF(VLOOKUP(E50,'BDD'!$A$1:$S$567,15,FALSE)=0,"Critère non évalué","")</f>
        <v>1770</v>
      </c>
      <c r="I50" t="s" s="546">
        <v>283</v>
      </c>
      <c r="J50" s="549"/>
      <c r="K50" t="s" s="547">
        <f>_xlfn.IFERROR(IF(VLOOKUP($E50,'BDD'!$A$1:$S$567,MATCH(K$10,'BDD'!$A$1:$P$1,0),FALSE)=0,"",VLOOKUP($E50,'BDD'!$A$1:$S$567,MATCH(K$10,'BDD'!$A$1:$P$1,0),FALSE)),"")</f>
      </c>
      <c r="L50" s="550"/>
      <c r="M50" s="551"/>
      <c r="N50" s="551"/>
      <c r="O50" s="534"/>
      <c r="P50" s="507"/>
    </row>
    <row r="51" ht="18" customHeight="1">
      <c r="A51" s="504"/>
      <c r="B51" s="61"/>
      <c r="C51" t="s" s="513">
        <f>IF(LEFT(RIGHT($B$1,2),1)=" ",RIGHT($B$1,1),RIGHT($B$1,2))</f>
        <v>1761</v>
      </c>
      <c r="D51" s="61"/>
      <c r="E51" s="565"/>
      <c r="F51" s="559"/>
      <c r="G51" s="561"/>
      <c r="H51" s="561"/>
      <c r="I51" s="561"/>
      <c r="J51" s="561"/>
      <c r="K51" s="561"/>
      <c r="L51" s="510"/>
      <c r="M51" s="559"/>
      <c r="N51" s="559"/>
      <c r="O51" s="61"/>
      <c r="P51" s="507"/>
    </row>
    <row r="52" ht="15" customHeight="1">
      <c r="A52" s="504"/>
      <c r="B52" s="61"/>
      <c r="C52" t="s" s="513">
        <f>IF(LEFT(RIGHT($B$1,2),1)=" ",RIGHT($B$1,1),RIGHT($B$1,2))</f>
        <v>1761</v>
      </c>
      <c r="D52" s="514">
        <f>IF(LEFT(F52,14)="Bonne pratique",D48+1,D48)</f>
        <v>3</v>
      </c>
      <c r="E52" t="s" s="558">
        <f>C52&amp;D52&amp;RIGHT(F52,1)</f>
        <v>1798</v>
      </c>
      <c r="F52" s="61"/>
      <c r="G52" s="61"/>
      <c r="H52" s="61"/>
      <c r="I52" s="61"/>
      <c r="J52" s="61"/>
      <c r="K52" s="61"/>
      <c r="L52" s="61"/>
      <c r="M52" s="61"/>
      <c r="N52" s="61"/>
      <c r="O52" s="61"/>
      <c r="P52" s="507"/>
    </row>
    <row r="53" ht="25.8" customHeight="1">
      <c r="A53" s="511"/>
      <c r="B53" s="512"/>
      <c r="C53" t="s" s="513">
        <f>IF(LEFT(RIGHT($B$1,2),1)=" ",RIGHT($B$1,1),RIGHT($B$1,2))</f>
        <v>1761</v>
      </c>
      <c r="D53" s="514">
        <f>IF(LEFT(F53,14)="Bonne pratique",D52+1,D52)</f>
        <v>4</v>
      </c>
      <c r="E53" t="s" s="558">
        <f>C53&amp;D53&amp;RIGHT(F53,1)</f>
        <v>1805</v>
      </c>
      <c r="F53" t="s" s="516">
        <v>1806</v>
      </c>
      <c r="G53" s="517"/>
      <c r="H53" s="518"/>
      <c r="I53" s="519"/>
      <c r="J53" t="s" s="520">
        <f>VLOOKUP(E60,'BDD'!$A$2:$N$567,6,FALSE)</f>
        <v>343</v>
      </c>
      <c r="K53" s="521"/>
      <c r="L53" s="517"/>
      <c r="M53" s="517"/>
      <c r="N53" s="517"/>
      <c r="O53" s="512"/>
      <c r="P53" s="522"/>
    </row>
    <row r="54" ht="15" customHeight="1">
      <c r="A54" s="504"/>
      <c r="B54" s="61"/>
      <c r="C54" t="s" s="513">
        <f>IF(LEFT(RIGHT($B$1,2),1)=" ",RIGHT($B$1,1),RIGHT($B$1,2))</f>
        <v>1761</v>
      </c>
      <c r="D54" s="514">
        <f>IF(LEFT(F54,14)="Bonne pratique",D53+1,D53)</f>
        <v>4</v>
      </c>
      <c r="E54" t="s" s="558">
        <f>C54&amp;D54&amp;RIGHT(F54,1)</f>
        <v>1807</v>
      </c>
      <c r="F54" s="61"/>
      <c r="G54" s="61"/>
      <c r="H54" s="61"/>
      <c r="I54" s="61"/>
      <c r="J54" s="61"/>
      <c r="K54" s="61"/>
      <c r="L54" s="61"/>
      <c r="M54" s="61"/>
      <c r="N54" s="61"/>
      <c r="O54" s="61"/>
      <c r="P54" s="507"/>
    </row>
    <row r="55" ht="18" customHeight="1">
      <c r="A55" s="523"/>
      <c r="B55" s="524"/>
      <c r="C55" t="s" s="513">
        <f>IF(LEFT(RIGHT($B$1,2),1)=" ",RIGHT($B$1,1),RIGHT($B$1,2))</f>
        <v>1761</v>
      </c>
      <c r="D55" s="514">
        <f>IF(LEFT(F55,14)="Bonne pratique",D54+1,D54)</f>
        <v>4</v>
      </c>
      <c r="E55" t="s" s="558">
        <f>C55&amp;D55&amp;RIGHT(F55,1)</f>
        <v>1807</v>
      </c>
      <c r="F55" s="524"/>
      <c r="G55" s="524"/>
      <c r="H55" s="524"/>
      <c r="I55" s="525"/>
      <c r="J55" t="s" s="526">
        <v>344</v>
      </c>
      <c r="K55" s="525"/>
      <c r="L55" s="524"/>
      <c r="M55" s="524"/>
      <c r="N55" s="524"/>
      <c r="O55" s="524"/>
      <c r="P55" s="527"/>
    </row>
    <row r="56" ht="18" customHeight="1">
      <c r="A56" s="504"/>
      <c r="B56" s="61"/>
      <c r="C56" t="s" s="513">
        <f>IF(LEFT(RIGHT($B$1,2),1)=" ",RIGHT($B$1,1),RIGHT($B$1,2))</f>
        <v>1761</v>
      </c>
      <c r="D56" s="514">
        <f>IF(LEFT(F56,14)="Bonne pratique",D55+1,D55)</f>
        <v>4</v>
      </c>
      <c r="E56" t="s" s="558">
        <f>C56&amp;D56&amp;RIGHT(F56,1)</f>
        <v>1807</v>
      </c>
      <c r="F56" s="61"/>
      <c r="G56" s="61"/>
      <c r="H56" s="61"/>
      <c r="I56" s="61"/>
      <c r="J56" s="528"/>
      <c r="K56" s="61"/>
      <c r="L56" s="61"/>
      <c r="M56" s="529"/>
      <c r="N56" s="529"/>
      <c r="O56" s="61"/>
      <c r="P56" s="507"/>
    </row>
    <row r="57" ht="15" customHeight="1">
      <c r="A57" s="504"/>
      <c r="B57" s="61"/>
      <c r="C57" t="s" s="513">
        <f>IF(LEFT(RIGHT($B$1,2),1)=" ",RIGHT($B$1,1),RIGHT($B$1,2))</f>
        <v>1761</v>
      </c>
      <c r="D57" s="514">
        <f>IF(LEFT(F57,14)="Bonne pratique",D56+1,D56)</f>
        <v>4</v>
      </c>
      <c r="E57" t="s" s="558">
        <f>C57&amp;D57&amp;RIGHT(F57,1)</f>
        <v>1807</v>
      </c>
      <c r="F57" s="61"/>
      <c r="G57" s="529"/>
      <c r="H57" s="529"/>
      <c r="I57" s="529"/>
      <c r="J57" s="530"/>
      <c r="K57" s="529"/>
      <c r="L57" s="542"/>
      <c r="M57" t="s" s="562">
        <v>1763</v>
      </c>
      <c r="N57" s="563"/>
      <c r="O57" s="534"/>
      <c r="P57" s="507"/>
    </row>
    <row r="58" ht="33" customHeight="1">
      <c r="A58" s="504"/>
      <c r="B58" s="61"/>
      <c r="C58" t="s" s="513">
        <f>IF(LEFT(RIGHT($B$1,2),1)=" ",RIGHT($B$1,1),RIGHT($B$1,2))</f>
        <v>1761</v>
      </c>
      <c r="D58" s="514">
        <f>IF(LEFT(F58,14)="Bonne pratique",D57+1,D57)</f>
        <v>4</v>
      </c>
      <c r="E58" t="s" s="558">
        <f>C58&amp;D58&amp;RIGHT(F58,1)</f>
        <v>1807</v>
      </c>
      <c r="F58" s="535"/>
      <c r="G58" t="s" s="536">
        <v>244</v>
      </c>
      <c r="H58" t="s" s="536">
        <v>1764</v>
      </c>
      <c r="I58" t="s" s="536">
        <v>1787</v>
      </c>
      <c r="J58" t="s" s="536">
        <v>1765</v>
      </c>
      <c r="K58" t="s" s="536">
        <v>1788</v>
      </c>
      <c r="L58" s="538"/>
      <c r="M58" t="s" s="539">
        <v>1766</v>
      </c>
      <c r="N58" t="s" s="540">
        <v>1767</v>
      </c>
      <c r="O58" s="534"/>
      <c r="P58" s="507"/>
    </row>
    <row r="59" ht="15" customHeight="1">
      <c r="A59" s="504"/>
      <c r="B59" s="61"/>
      <c r="C59" t="s" s="513">
        <f>IF(LEFT(RIGHT($B$1,2),1)=" ",RIGHT($B$1,1),RIGHT($B$1,2))</f>
        <v>1761</v>
      </c>
      <c r="D59" s="514">
        <f>IF(LEFT(F59,14)="Bonne pratique",D58+1,D58)</f>
        <v>4</v>
      </c>
      <c r="E59" t="s" s="558">
        <f>C59&amp;D59&amp;RIGHT(F59,1)</f>
        <v>1807</v>
      </c>
      <c r="F59" s="529"/>
      <c r="G59" s="541"/>
      <c r="H59" s="541"/>
      <c r="I59" s="541"/>
      <c r="J59" s="541"/>
      <c r="K59" s="541"/>
      <c r="L59" s="61"/>
      <c r="M59" s="541"/>
      <c r="N59" s="541"/>
      <c r="O59" s="61"/>
      <c r="P59" s="507"/>
    </row>
    <row r="60" ht="130.05" customHeight="1">
      <c r="A60" s="504"/>
      <c r="B60" s="542"/>
      <c r="C60" t="s" s="543">
        <f>IF(LEFT(RIGHT($B$1,2),1)=" ",RIGHT($B$1,1),RIGHT($B$1,2))</f>
        <v>1761</v>
      </c>
      <c r="D60" s="544">
        <f>IF(LEFT(F60,14)="Bonne pratique",D59+1,D59)</f>
        <v>4</v>
      </c>
      <c r="E60" t="s" s="545">
        <f>C60&amp;D60&amp;RIGHT(F60,1)</f>
        <v>1808</v>
      </c>
      <c r="F60" t="s" s="546">
        <v>1769</v>
      </c>
      <c r="G60" t="s" s="547">
        <f>_xlfn.IFERROR(IF(VLOOKUP($E60,'BDD'!$A$1:$S$567,MATCH(G$10,'BDD'!$A$1:$P$1,0),FALSE)=0,"",VLOOKUP($E60,'BDD'!$A$1:$S$567,MATCH(G$10,'BDD'!$A$1:$P$1,0),FALSE)),"")</f>
        <v>346</v>
      </c>
      <c r="H60" t="s" s="548">
        <f>IF(VLOOKUP(E60,'BDD'!$A$1:$S$567,15,FALSE)=0,"Critère non évalué","")</f>
        <v>1770</v>
      </c>
      <c r="I60" t="s" s="546">
        <f>_xlfn.IFERROR(IF(VLOOKUP($E60,'BDD'!$A$1:$S$567,MATCH(I$10,'BDD'!$A$1:$P$1,0),FALSE)=0,"",VLOOKUP($E60,'BDD'!$A$1:$S$567,MATCH(I$10,'BDD'!$A$1:$P$1,0),FALSE)),"")</f>
        <v>291</v>
      </c>
      <c r="J60" s="549"/>
      <c r="K60" t="s" s="547">
        <f>_xlfn.IFERROR(IF(VLOOKUP($E60,'BDD'!$A$1:$S$567,MATCH(K$10,'BDD'!$A$1:$P$1,0),FALSE)=0,"",VLOOKUP($E60,'BDD'!$A$1:$S$567,MATCH(K$10,'BDD'!$A$1:$P$1,0),FALSE)),"")</f>
        <v>347</v>
      </c>
      <c r="L60" s="550"/>
      <c r="M60" s="551"/>
      <c r="N60" s="551"/>
      <c r="O60" s="534"/>
      <c r="P60" s="507"/>
    </row>
    <row r="61" ht="130.05" customHeight="1">
      <c r="A61" s="504"/>
      <c r="B61" s="542"/>
      <c r="C61" t="s" s="543">
        <f>IF(LEFT(RIGHT($B$1,2),1)=" ",RIGHT($B$1,1),RIGHT($B$1,2))</f>
        <v>1761</v>
      </c>
      <c r="D61" s="544">
        <f>IF(LEFT(F61,14)="Bonne pratique",D60+1,D60)</f>
        <v>4</v>
      </c>
      <c r="E61" t="s" s="545">
        <f>C61&amp;D61&amp;RIGHT(F61,1)</f>
        <v>1809</v>
      </c>
      <c r="F61" t="s" s="552">
        <v>1772</v>
      </c>
      <c r="G61" t="s" s="540">
        <f>_xlfn.IFERROR(IF(VLOOKUP($E61,'BDD'!$A$1:$S$567,MATCH(G$10,'BDD'!$A$1:$P$1,0),FALSE)=0,"",VLOOKUP($E61,'BDD'!$A$1:$S$567,MATCH(G$10,'BDD'!$A$1:$P$1,0),FALSE)),"")</f>
        <v>350</v>
      </c>
      <c r="H61" t="s" s="553">
        <f>IF(VLOOKUP(E61,'BDD'!$A$1:$S$567,15,FALSE)=0,"Critère non évalué","")</f>
        <v>1770</v>
      </c>
      <c r="I61" t="s" s="552">
        <f>_xlfn.IFERROR(IF(VLOOKUP($E61,'BDD'!$A$1:$S$567,MATCH(I$10,'BDD'!$A$1:$P$1,0),FALSE)=0,"",VLOOKUP($E61,'BDD'!$A$1:$S$567,MATCH(I$10,'BDD'!$A$1:$P$1,0),FALSE)),"")</f>
        <v>283</v>
      </c>
      <c r="J61" s="554"/>
      <c r="K61" t="s" s="540">
        <f>_xlfn.IFERROR(IF(VLOOKUP($E61,'BDD'!$A$1:$S$567,MATCH(K$10,'BDD'!$A$1:$P$1,0),FALSE)=0,"",VLOOKUP($E61,'BDD'!$A$1:$S$567,MATCH(K$10,'BDD'!$A$1:$P$1,0),FALSE)),"")</f>
      </c>
      <c r="L61" s="550"/>
      <c r="M61" s="555"/>
      <c r="N61" s="555"/>
      <c r="O61" s="534"/>
      <c r="P61" s="507"/>
    </row>
    <row r="62" ht="130.05" customHeight="1">
      <c r="A62" s="504"/>
      <c r="B62" s="542"/>
      <c r="C62" t="s" s="543">
        <f>IF(LEFT(RIGHT($B$1,2),1)=" ",RIGHT($B$1,1),RIGHT($B$1,2))</f>
        <v>1761</v>
      </c>
      <c r="D62" s="544">
        <f>IF(LEFT(F62,14)="Bonne pratique",D61+1,D61)</f>
        <v>4</v>
      </c>
      <c r="E62" t="s" s="545">
        <f>C62&amp;D62&amp;RIGHT(F62,1)</f>
        <v>1810</v>
      </c>
      <c r="F62" t="s" s="546">
        <v>1774</v>
      </c>
      <c r="G62" t="s" s="547">
        <f>_xlfn.IFERROR(IF(VLOOKUP($E62,'BDD'!$A$1:$S$567,MATCH(G$10,'BDD'!$A$1:$P$1,0),FALSE)=0,"",VLOOKUP($E62,'BDD'!$A$1:$S$567,MATCH(G$10,'BDD'!$A$1:$P$1,0),FALSE)),"")</f>
        <v>353</v>
      </c>
      <c r="H62" t="s" s="548">
        <f>IF(VLOOKUP(E62,'BDD'!$A$1:$S$567,15,FALSE)=0,"Critère non évalué","")</f>
        <v>1770</v>
      </c>
      <c r="I62" t="s" s="546">
        <f>_xlfn.IFERROR(IF(VLOOKUP($E62,'BDD'!$A$1:$S$567,MATCH(I$10,'BDD'!$A$1:$P$1,0),FALSE)=0,"",VLOOKUP($E62,'BDD'!$A$1:$S$567,MATCH(I$10,'BDD'!$A$1:$P$1,0),FALSE)),"")</f>
        <v>271</v>
      </c>
      <c r="J62" s="549"/>
      <c r="K62" t="s" s="547">
        <f>_xlfn.IFERROR(IF(VLOOKUP($E62,'BDD'!$A$1:$S$567,MATCH(K$10,'BDD'!$A$1:$P$1,0),FALSE)=0,"",VLOOKUP($E62,'BDD'!$A$1:$S$567,MATCH(K$10,'BDD'!$A$1:$P$1,0),FALSE)),"")</f>
      </c>
      <c r="L62" s="550"/>
      <c r="M62" s="551"/>
      <c r="N62" s="551"/>
      <c r="O62" s="534"/>
      <c r="P62" s="507"/>
    </row>
    <row r="63" ht="130.05" customHeight="1">
      <c r="A63" s="504"/>
      <c r="B63" s="542"/>
      <c r="C63" t="s" s="543">
        <f>IF(LEFT(RIGHT($B$1,2),1)=" ",RIGHT($B$1,1),RIGHT($B$1,2))</f>
        <v>1761</v>
      </c>
      <c r="D63" s="544">
        <f>IF(LEFT(F63,14)="Bonne pratique",D62+1,D62)</f>
        <v>4</v>
      </c>
      <c r="E63" t="s" s="545">
        <f>C63&amp;D63&amp;RIGHT(F63,1)</f>
        <v>1805</v>
      </c>
      <c r="F63" t="s" s="552">
        <v>1776</v>
      </c>
      <c r="G63" t="s" s="540">
        <f>_xlfn.IFERROR(IF(VLOOKUP($E63,'BDD'!$A$1:$S$567,MATCH(G$10,'BDD'!$A$1:$P$1,0),FALSE)=0,"",VLOOKUP($E63,'BDD'!$A$1:$S$567,MATCH(G$10,'BDD'!$A$1:$P$1,0),FALSE)),"")</f>
        <v>356</v>
      </c>
      <c r="H63" t="s" s="553">
        <f>IF(VLOOKUP(E63,'BDD'!$A$1:$S$567,15,FALSE)=0,"Critère non évalué","")</f>
        <v>1770</v>
      </c>
      <c r="I63" t="s" s="552">
        <f>_xlfn.IFERROR(IF(VLOOKUP($E63,'BDD'!$A$1:$S$567,MATCH(I$10,'BDD'!$A$1:$P$1,0),FALSE)=0,"",VLOOKUP($E63,'BDD'!$A$1:$S$567,MATCH(I$10,'BDD'!$A$1:$P$1,0),FALSE)),"")</f>
        <v>271</v>
      </c>
      <c r="J63" s="556"/>
      <c r="K63" t="s" s="540">
        <f>_xlfn.IFERROR(IF(VLOOKUP($E63,'BDD'!$A$1:$S$567,MATCH(K$10,'BDD'!$A$1:$P$1,0),FALSE)=0,"",VLOOKUP($E63,'BDD'!$A$1:$S$567,MATCH(K$10,'BDD'!$A$1:$P$1,0),FALSE)),"")</f>
      </c>
      <c r="L63" s="550"/>
      <c r="M63" s="555"/>
      <c r="N63" s="555"/>
      <c r="O63" s="534"/>
      <c r="P63" s="507"/>
    </row>
    <row r="64" ht="130.05" customHeight="1">
      <c r="A64" s="504"/>
      <c r="B64" s="542"/>
      <c r="C64" t="s" s="543">
        <f>IF(LEFT(RIGHT($B$1,2),1)=" ",RIGHT($B$1,1),RIGHT($B$1,2))</f>
        <v>1761</v>
      </c>
      <c r="D64" s="544">
        <f>IF(LEFT(F64,14)="Bonne pratique",D63+1,D63)</f>
        <v>4</v>
      </c>
      <c r="E64" t="s" s="545">
        <f>C64&amp;D64&amp;RIGHT(F64,1)</f>
        <v>1811</v>
      </c>
      <c r="F64" t="s" s="546">
        <v>1778</v>
      </c>
      <c r="G64" t="s" s="547">
        <f>_xlfn.IFERROR(IF(VLOOKUP($E64,'BDD'!$A$1:$S$567,MATCH(G$10,'BDD'!$A$1:$P$1,0),FALSE)=0,"",VLOOKUP($E64,'BDD'!$A$1:$S$567,MATCH(G$10,'BDD'!$A$1:$P$1,0),FALSE)),"")</f>
        <v>359</v>
      </c>
      <c r="H64" t="s" s="548">
        <f>IF(VLOOKUP(E64,'BDD'!$A$1:$S$567,15,FALSE)=0,"Critère non évalué","")</f>
        <v>1770</v>
      </c>
      <c r="I64" t="s" s="546">
        <f>_xlfn.IFERROR(IF(VLOOKUP($E64,'BDD'!$A$1:$S$567,MATCH(I$10,'BDD'!$A$1:$P$1,0),FALSE)=0,"",VLOOKUP($E64,'BDD'!$A$1:$S$567,MATCH(I$10,'BDD'!$A$1:$P$1,0),FALSE)),"")</f>
        <v>291</v>
      </c>
      <c r="J64" s="549"/>
      <c r="K64" t="s" s="547">
        <f>_xlfn.IFERROR(IF(VLOOKUP($E64,'BDD'!$A$1:$S$567,MATCH(K$10,'BDD'!$A$1:$P$1,0),FALSE)=0,"",VLOOKUP($E64,'BDD'!$A$1:$S$567,MATCH(K$10,'BDD'!$A$1:$P$1,0),FALSE)),"")</f>
      </c>
      <c r="L64" s="550"/>
      <c r="M64" s="557"/>
      <c r="N64" s="557"/>
      <c r="O64" s="534"/>
      <c r="P64" s="507"/>
    </row>
    <row r="65" ht="130.05" customHeight="1">
      <c r="A65" s="504"/>
      <c r="B65" s="542"/>
      <c r="C65" t="s" s="543">
        <f>IF(LEFT(RIGHT($B$1,2),1)=" ",RIGHT($B$1,1),RIGHT($B$1,2))</f>
        <v>1761</v>
      </c>
      <c r="D65" s="544">
        <f>IF(LEFT(F65,14)="Bonne pratique",D64+1,D64)</f>
        <v>4</v>
      </c>
      <c r="E65" t="s" s="545">
        <f>C65&amp;D65&amp;RIGHT(F65,1)</f>
        <v>1812</v>
      </c>
      <c r="F65" t="s" s="552">
        <v>1780</v>
      </c>
      <c r="G65" t="s" s="540">
        <f>_xlfn.IFERROR(IF(VLOOKUP($E65,'BDD'!$A$1:$S$567,MATCH(G$10,'BDD'!$A$1:$P$1,0),FALSE)=0,"",VLOOKUP($E65,'BDD'!$A$1:$S$567,MATCH(G$10,'BDD'!$A$1:$P$1,0),FALSE)),"")</f>
        <v>362</v>
      </c>
      <c r="H65" t="s" s="553">
        <f>IF(VLOOKUP(E65,'BDD'!$A$1:$S$567,15,FALSE)=0,"Critère non évalué","")</f>
        <v>1770</v>
      </c>
      <c r="I65" t="s" s="552">
        <f>_xlfn.IFERROR(IF(VLOOKUP($E65,'BDD'!$A$1:$S$567,MATCH(I$10,'BDD'!$A$1:$P$1,0),FALSE)=0,"",VLOOKUP($E65,'BDD'!$A$1:$S$567,MATCH(I$10,'BDD'!$A$1:$P$1,0),FALSE)),"")</f>
        <v>256</v>
      </c>
      <c r="J65" s="554"/>
      <c r="K65" t="s" s="540">
        <f>_xlfn.IFERROR(IF(VLOOKUP($E65,'BDD'!$A$1:$S$567,MATCH(K$10,'BDD'!$A$1:$P$1,0),FALSE)=0,"",VLOOKUP($E65,'BDD'!$A$1:$S$567,MATCH(K$10,'BDD'!$A$1:$P$1,0),FALSE)),"")</f>
      </c>
      <c r="L65" s="550"/>
      <c r="M65" s="555"/>
      <c r="N65" s="555"/>
      <c r="O65" s="534"/>
      <c r="P65" s="507"/>
    </row>
    <row r="66" ht="130.05" customHeight="1" hidden="1">
      <c r="A66" s="504"/>
      <c r="B66" s="542"/>
      <c r="C66" t="s" s="543">
        <f>IF(LEFT(RIGHT($B$1,2),1)=" ",RIGHT($B$1,1),RIGHT($B$1,2))</f>
        <v>1761</v>
      </c>
      <c r="D66" s="544">
        <f>IF(LEFT(F66,14)="Bonne pratique",D65+1,D65)</f>
        <v>4</v>
      </c>
      <c r="E66" t="s" s="545">
        <f>C66&amp;D66&amp;RIGHT(F66,1)</f>
        <v>1813</v>
      </c>
      <c r="F66" t="s" s="546">
        <v>1782</v>
      </c>
      <c r="G66" t="s" s="547">
        <f>_xlfn.IFERROR(IF(VLOOKUP($E66,'BDD'!$A$1:$S$567,MATCH(G$10,'BDD'!$A$1:$P$1,0),FALSE)=0,"",VLOOKUP($E66,'BDD'!$A$1:$S$567,MATCH(G$10,'BDD'!$A$1:$P$1,0),FALSE)),"")</f>
      </c>
      <c r="H66" t="s" s="548">
        <f>IF(VLOOKUP(E66,'BDD'!$A$1:$S$567,15,FALSE)=0,"Critère non évalué","")</f>
        <v>1770</v>
      </c>
      <c r="I66" t="s" s="546">
        <f>_xlfn.IFERROR(IF(VLOOKUP($E66,'BDD'!$A$1:$S$567,MATCH(I$10,'BDD'!$A$1:$P$1,0),FALSE)=0,"",VLOOKUP($E66,'BDD'!$A$1:$S$567,MATCH(I$10,'BDD'!$A$1:$P$1,0),FALSE)),"")</f>
      </c>
      <c r="J66" s="549"/>
      <c r="K66" t="s" s="547">
        <f>_xlfn.IFERROR(IF(VLOOKUP($E66,'BDD'!$A$1:$S$567,MATCH(K$10,'BDD'!$A$1:$P$1,0),FALSE)=0,"",VLOOKUP($E66,'BDD'!$A$1:$S$567,MATCH(K$10,'BDD'!$A$1:$P$1,0),FALSE)),"")</f>
      </c>
      <c r="L66" s="550"/>
      <c r="M66" s="557"/>
      <c r="N66" s="557"/>
      <c r="O66" s="534"/>
      <c r="P66" s="507"/>
    </row>
    <row r="67" ht="15" customHeight="1">
      <c r="A67" s="504"/>
      <c r="B67" s="61"/>
      <c r="C67" t="s" s="513">
        <f>IF(LEFT(RIGHT($B$1,2),1)=" ",RIGHT($B$1,1),RIGHT($B$1,2))</f>
        <v>1761</v>
      </c>
      <c r="D67" s="514">
        <f>IF(LEFT(F67,14)="Bonne pratique",D66+1,D66)</f>
        <v>4</v>
      </c>
      <c r="E67" t="s" s="558">
        <f>C67&amp;D67&amp;RIGHT(F67,1)</f>
        <v>1807</v>
      </c>
      <c r="F67" s="559"/>
      <c r="G67" s="559"/>
      <c r="H67" s="559"/>
      <c r="I67" s="559"/>
      <c r="J67" s="559"/>
      <c r="K67" s="559"/>
      <c r="L67" s="61"/>
      <c r="M67" s="559"/>
      <c r="N67" s="559"/>
      <c r="O67" s="61"/>
      <c r="P67" s="507"/>
    </row>
    <row r="68" ht="14.4" customHeight="1">
      <c r="A68" s="504"/>
      <c r="B68" s="61"/>
      <c r="C68" t="s" s="513">
        <f>IF(LEFT(RIGHT($B$1,2),1)=" ",RIGHT($B$1,1),RIGHT($B$1,2))</f>
        <v>1761</v>
      </c>
      <c r="D68" s="61"/>
      <c r="E68" s="565"/>
      <c r="F68" s="61"/>
      <c r="G68" s="61"/>
      <c r="H68" s="61"/>
      <c r="I68" s="61"/>
      <c r="J68" s="61"/>
      <c r="K68" s="61"/>
      <c r="L68" s="61"/>
      <c r="M68" s="61"/>
      <c r="N68" s="61"/>
      <c r="O68" s="61"/>
      <c r="P68" s="507"/>
    </row>
    <row r="69" ht="14.4" customHeight="1">
      <c r="A69" s="504"/>
      <c r="B69" s="61"/>
      <c r="C69" t="s" s="513">
        <f>IF(LEFT(RIGHT($B$1,2),1)=" ",RIGHT($B$1,1),RIGHT($B$1,2))</f>
        <v>1761</v>
      </c>
      <c r="D69" s="61"/>
      <c r="E69" s="565"/>
      <c r="F69" s="61"/>
      <c r="G69" s="61"/>
      <c r="H69" s="61"/>
      <c r="I69" s="61"/>
      <c r="J69" s="61"/>
      <c r="K69" s="61"/>
      <c r="L69" s="61"/>
      <c r="M69" s="61"/>
      <c r="N69" s="61"/>
      <c r="O69" s="61"/>
      <c r="P69" s="507"/>
    </row>
    <row r="70" ht="14.4" customHeight="1">
      <c r="A70" s="504"/>
      <c r="B70" s="61"/>
      <c r="C70" t="s" s="513">
        <f>IF(LEFT(RIGHT($B$1,2),1)=" ",RIGHT($B$1,1),RIGHT($B$1,2))</f>
        <v>1761</v>
      </c>
      <c r="D70" s="61"/>
      <c r="E70" s="565"/>
      <c r="F70" s="61"/>
      <c r="G70" s="61"/>
      <c r="H70" s="61"/>
      <c r="I70" s="61"/>
      <c r="J70" s="61"/>
      <c r="K70" s="61"/>
      <c r="L70" s="61"/>
      <c r="M70" s="61"/>
      <c r="N70" s="61"/>
      <c r="O70" s="61"/>
      <c r="P70" s="507"/>
    </row>
    <row r="71" ht="25.8" customHeight="1">
      <c r="A71" s="511"/>
      <c r="B71" s="512"/>
      <c r="C71" t="s" s="513">
        <f>IF(LEFT(RIGHT($B$1,2),1)=" ",RIGHT($B$1,1),RIGHT($B$1,2))</f>
        <v>1761</v>
      </c>
      <c r="D71" s="514">
        <f>IF(LEFT(F71,14)="Bonne pratique",D67+1,D67)</f>
        <v>5</v>
      </c>
      <c r="E71" s="565">
        <f>C71&amp;D71&amp;RIGHT(F71,1)</f>
      </c>
      <c r="F71" t="s" s="516">
        <v>1814</v>
      </c>
      <c r="G71" s="517"/>
      <c r="H71" s="518"/>
      <c r="I71" s="519"/>
      <c r="J71" s="519">
        <f>VLOOKUP(E78,'BDD'!$A$2:$N$567,6,FALSE)</f>
      </c>
      <c r="K71" s="521"/>
      <c r="L71" s="517"/>
      <c r="M71" s="517"/>
      <c r="N71" s="517"/>
      <c r="O71" s="512"/>
      <c r="P71" s="522"/>
    </row>
    <row r="72" ht="15" customHeight="1">
      <c r="A72" s="504"/>
      <c r="B72" s="61"/>
      <c r="C72" t="s" s="513">
        <f>IF(LEFT(RIGHT($B$1,2),1)=" ",RIGHT($B$1,1),RIGHT($B$1,2))</f>
        <v>1761</v>
      </c>
      <c r="D72" s="61">
        <f>IF(LEFT(F72,14)="Bonne pratique",D71+1,D71)</f>
      </c>
      <c r="E72" s="565">
        <f>C72&amp;D72&amp;RIGHT(F72,1)</f>
      </c>
      <c r="F72" s="61"/>
      <c r="G72" s="61"/>
      <c r="H72" s="61"/>
      <c r="I72" s="61"/>
      <c r="J72" s="61"/>
      <c r="K72" s="61"/>
      <c r="L72" s="61"/>
      <c r="M72" s="61"/>
      <c r="N72" s="61"/>
      <c r="O72" s="61"/>
      <c r="P72" s="507"/>
    </row>
    <row r="73" ht="18" customHeight="1">
      <c r="A73" s="523"/>
      <c r="B73" s="524"/>
      <c r="C73" t="s" s="513">
        <f>IF(LEFT(RIGHT($B$1,2),1)=" ",RIGHT($B$1,1),RIGHT($B$1,2))</f>
        <v>1761</v>
      </c>
      <c r="D73" s="61">
        <f>IF(LEFT(F73,14)="Bonne pratique",D72+1,D72)</f>
      </c>
      <c r="E73" s="565">
        <f>C73&amp;D73&amp;RIGHT(F73,1)</f>
      </c>
      <c r="F73" s="524"/>
      <c r="G73" s="524"/>
      <c r="H73" s="524"/>
      <c r="I73" s="525"/>
      <c r="J73" t="s" s="526">
        <v>1815</v>
      </c>
      <c r="K73" s="525"/>
      <c r="L73" s="524"/>
      <c r="M73" s="524"/>
      <c r="N73" s="524"/>
      <c r="O73" s="524"/>
      <c r="P73" s="527"/>
    </row>
    <row r="74" ht="18" customHeight="1">
      <c r="A74" s="504"/>
      <c r="B74" s="61"/>
      <c r="C74" t="s" s="513">
        <f>IF(LEFT(RIGHT($B$1,2),1)=" ",RIGHT($B$1,1),RIGHT($B$1,2))</f>
        <v>1761</v>
      </c>
      <c r="D74" s="61">
        <f>IF(LEFT(F74,14)="Bonne pratique",D73+1,D73)</f>
      </c>
      <c r="E74" s="565">
        <f>C74&amp;D74&amp;RIGHT(F74,1)</f>
      </c>
      <c r="F74" s="61"/>
      <c r="G74" s="61"/>
      <c r="H74" s="61"/>
      <c r="I74" s="61"/>
      <c r="J74" t="s" s="526">
        <v>1816</v>
      </c>
      <c r="K74" s="61"/>
      <c r="L74" s="61"/>
      <c r="M74" s="529"/>
      <c r="N74" s="529"/>
      <c r="O74" s="61"/>
      <c r="P74" s="507"/>
    </row>
    <row r="75" ht="15" customHeight="1">
      <c r="A75" s="504"/>
      <c r="B75" s="61"/>
      <c r="C75" t="s" s="513">
        <f>IF(LEFT(RIGHT($B$1,2),1)=" ",RIGHT($B$1,1),RIGHT($B$1,2))</f>
        <v>1761</v>
      </c>
      <c r="D75" s="61">
        <f>IF(LEFT(F75,14)="Bonne pratique",D74+1,D74)</f>
      </c>
      <c r="E75" s="565">
        <f>C75&amp;D75&amp;RIGHT(F75,1)</f>
      </c>
      <c r="F75" s="61"/>
      <c r="G75" s="529"/>
      <c r="H75" s="529"/>
      <c r="I75" s="529"/>
      <c r="J75" s="530"/>
      <c r="K75" s="529"/>
      <c r="L75" s="542"/>
      <c r="M75" t="s" s="562">
        <v>1763</v>
      </c>
      <c r="N75" s="563"/>
      <c r="O75" s="534"/>
      <c r="P75" s="507"/>
    </row>
    <row r="76" ht="33" customHeight="1">
      <c r="A76" s="504"/>
      <c r="B76" s="61"/>
      <c r="C76" t="s" s="513">
        <f>IF(LEFT(RIGHT($B$1,2),1)=" ",RIGHT($B$1,1),RIGHT($B$1,2))</f>
        <v>1761</v>
      </c>
      <c r="D76" s="61">
        <f>IF(LEFT(F76,14)="Bonne pratique",D75+1,D75)</f>
      </c>
      <c r="E76" s="565">
        <f>C76&amp;D76&amp;RIGHT(F76,1)</f>
      </c>
      <c r="F76" s="564"/>
      <c r="G76" t="s" s="536">
        <v>244</v>
      </c>
      <c r="H76" t="s" s="536">
        <v>1764</v>
      </c>
      <c r="I76" t="s" s="536">
        <v>1787</v>
      </c>
      <c r="J76" t="s" s="536">
        <v>1765</v>
      </c>
      <c r="K76" t="s" s="536">
        <v>1788</v>
      </c>
      <c r="L76" s="538"/>
      <c r="M76" t="s" s="539">
        <v>1766</v>
      </c>
      <c r="N76" t="s" s="540">
        <v>1767</v>
      </c>
      <c r="O76" s="534"/>
      <c r="P76" s="507"/>
    </row>
    <row r="77" ht="15" customHeight="1">
      <c r="A77" s="504"/>
      <c r="B77" s="61"/>
      <c r="C77" t="s" s="513">
        <f>IF(LEFT(RIGHT($B$1,2),1)=" ",RIGHT($B$1,1),RIGHT($B$1,2))</f>
        <v>1761</v>
      </c>
      <c r="D77" s="61">
        <f>IF(LEFT(F77,14)="Bonne pratique",D76+1,D76)</f>
      </c>
      <c r="E77" s="565">
        <f>C77&amp;D77&amp;RIGHT(F77,1)</f>
      </c>
      <c r="F77" s="529"/>
      <c r="G77" s="541"/>
      <c r="H77" s="541"/>
      <c r="I77" s="541"/>
      <c r="J77" s="541"/>
      <c r="K77" s="541"/>
      <c r="L77" s="61"/>
      <c r="M77" s="541"/>
      <c r="N77" s="541"/>
      <c r="O77" s="61"/>
      <c r="P77" s="507"/>
    </row>
    <row r="78" ht="130.05" customHeight="1">
      <c r="A78" s="504"/>
      <c r="B78" s="542"/>
      <c r="C78" t="s" s="543">
        <f>IF(LEFT(RIGHT($B$1,2),1)=" ",RIGHT($B$1,1),RIGHT($B$1,2))</f>
        <v>1761</v>
      </c>
      <c r="D78" s="550">
        <f>IF(LEFT(F78,14)="Bonne pratique",D77+1,D77)</f>
      </c>
      <c r="E78" s="566">
        <f>C78&amp;D78&amp;RIGHT(F78,1)</f>
      </c>
      <c r="F78" t="s" s="546">
        <v>1769</v>
      </c>
      <c r="G78" s="567">
        <f>_xlfn.IFERROR(IF(VLOOKUP($E78,'BDD'!$A$1:$S$567,MATCH(G$10,'BDD'!$A$1:$P$1,0),FALSE)=0,"",VLOOKUP($E78,'BDD'!$A$1:$S$567,MATCH(G$10,'BDD'!$A$1:$P$1,0),FALSE)),"")</f>
      </c>
      <c r="H78" s="568">
        <f>IF(VLOOKUP(E78,'BDD'!$A$1:$S$567,15,FALSE)=0,"Critère non évalué","")</f>
      </c>
      <c r="I78" s="569">
        <f>_xlfn.IFERROR(IF(VLOOKUP($E78,'BDD'!$A$1:$S$567,MATCH(I$10,'BDD'!$A$1:$P$1,0),FALSE)=0,"",VLOOKUP($E78,'BDD'!$A$1:$S$567,MATCH(I$10,'BDD'!$A$1:$P$1,0),FALSE)),"")</f>
      </c>
      <c r="J78" s="549"/>
      <c r="K78" s="567">
        <f>_xlfn.IFERROR(IF(VLOOKUP($E78,'BDD'!$A$1:$S$567,MATCH(K$10,'BDD'!$A$1:$P$1,0),FALSE)=0,"",VLOOKUP($E78,'BDD'!$A$1:$S$567,MATCH(K$10,'BDD'!$A$1:$P$1,0),FALSE)),"")</f>
      </c>
      <c r="L78" s="550"/>
      <c r="M78" s="551"/>
      <c r="N78" s="551"/>
      <c r="O78" s="534"/>
      <c r="P78" s="507"/>
    </row>
    <row r="79" ht="130.05" customHeight="1">
      <c r="A79" s="504"/>
      <c r="B79" s="542"/>
      <c r="C79" t="s" s="543">
        <f>IF(LEFT(RIGHT($B$1,2),1)=" ",RIGHT($B$1,1),RIGHT($B$1,2))</f>
        <v>1761</v>
      </c>
      <c r="D79" s="550">
        <f>IF(LEFT(F79,14)="Bonne pratique",D78+1,D78)</f>
      </c>
      <c r="E79" s="566">
        <f>C79&amp;D79&amp;RIGHT(F79,1)</f>
      </c>
      <c r="F79" t="s" s="552">
        <v>1772</v>
      </c>
      <c r="G79" s="557">
        <f>_xlfn.IFERROR(IF(VLOOKUP($E79,'BDD'!$A$1:$S$567,MATCH(G$10,'BDD'!$A$1:$P$1,0),FALSE)=0,"",VLOOKUP($E79,'BDD'!$A$1:$S$567,MATCH(G$10,'BDD'!$A$1:$P$1,0),FALSE)),"")</f>
      </c>
      <c r="H79" s="570">
        <f>IF(VLOOKUP(E79,'BDD'!$A$1:$S$567,15,FALSE)=0,"Critère non évalué","")</f>
      </c>
      <c r="I79" s="571">
        <f>_xlfn.IFERROR(IF(VLOOKUP($E79,'BDD'!$A$1:$S$567,MATCH(I$10,'BDD'!$A$1:$P$1,0),FALSE)=0,"",VLOOKUP($E79,'BDD'!$A$1:$S$567,MATCH(I$10,'BDD'!$A$1:$P$1,0),FALSE)),"")</f>
      </c>
      <c r="J79" s="554"/>
      <c r="K79" s="557">
        <f>_xlfn.IFERROR(IF(VLOOKUP($E79,'BDD'!$A$1:$S$567,MATCH(K$10,'BDD'!$A$1:$P$1,0),FALSE)=0,"",VLOOKUP($E79,'BDD'!$A$1:$S$567,MATCH(K$10,'BDD'!$A$1:$P$1,0),FALSE)),"")</f>
      </c>
      <c r="L79" s="550"/>
      <c r="M79" s="555"/>
      <c r="N79" s="555"/>
      <c r="O79" s="534"/>
      <c r="P79" s="507"/>
    </row>
    <row r="80" ht="130.05" customHeight="1">
      <c r="A80" s="504"/>
      <c r="B80" s="542"/>
      <c r="C80" t="s" s="543">
        <f>IF(LEFT(RIGHT($B$1,2),1)=" ",RIGHT($B$1,1),RIGHT($B$1,2))</f>
        <v>1761</v>
      </c>
      <c r="D80" s="550">
        <f>IF(LEFT(F80,14)="Bonne pratique",D79+1,D79)</f>
      </c>
      <c r="E80" s="566">
        <f>C80&amp;D80&amp;RIGHT(F80,1)</f>
      </c>
      <c r="F80" t="s" s="546">
        <v>1774</v>
      </c>
      <c r="G80" s="567">
        <f>_xlfn.IFERROR(IF(VLOOKUP($E80,'BDD'!$A$1:$S$567,MATCH(G$10,'BDD'!$A$1:$P$1,0),FALSE)=0,"",VLOOKUP($E80,'BDD'!$A$1:$S$567,MATCH(G$10,'BDD'!$A$1:$P$1,0),FALSE)),"")</f>
      </c>
      <c r="H80" s="568">
        <f>IF(VLOOKUP(E80,'BDD'!$A$1:$S$567,15,FALSE)=0,"Critère non évalué","")</f>
      </c>
      <c r="I80" s="569">
        <f>_xlfn.IFERROR(IF(VLOOKUP($E80,'BDD'!$A$1:$S$567,MATCH(I$10,'BDD'!$A$1:$P$1,0),FALSE)=0,"",VLOOKUP($E80,'BDD'!$A$1:$S$567,MATCH(I$10,'BDD'!$A$1:$P$1,0),FALSE)),"")</f>
      </c>
      <c r="J80" s="549"/>
      <c r="K80" s="567">
        <f>_xlfn.IFERROR(IF(VLOOKUP($E80,'BDD'!$A$1:$S$567,MATCH(K$10,'BDD'!$A$1:$P$1,0),FALSE)=0,"",VLOOKUP($E80,'BDD'!$A$1:$S$567,MATCH(K$10,'BDD'!$A$1:$P$1,0),FALSE)),"")</f>
      </c>
      <c r="L80" s="550"/>
      <c r="M80" s="551"/>
      <c r="N80" s="551"/>
      <c r="O80" s="534"/>
      <c r="P80" s="507"/>
    </row>
    <row r="81" ht="130.05" customHeight="1">
      <c r="A81" s="504"/>
      <c r="B81" s="542"/>
      <c r="C81" t="s" s="543">
        <f>IF(LEFT(RIGHT($B$1,2),1)=" ",RIGHT($B$1,1),RIGHT($B$1,2))</f>
        <v>1761</v>
      </c>
      <c r="D81" s="550">
        <f>IF(LEFT(F81,14)="Bonne pratique",D80+1,D80)</f>
      </c>
      <c r="E81" s="566">
        <f>C81&amp;D81&amp;RIGHT(F81,1)</f>
      </c>
      <c r="F81" t="s" s="552">
        <v>1776</v>
      </c>
      <c r="G81" s="557">
        <f>_xlfn.IFERROR(IF(VLOOKUP($E81,'BDD'!$A$1:$S$567,MATCH(G$10,'BDD'!$A$1:$P$1,0),FALSE)=0,"",VLOOKUP($E81,'BDD'!$A$1:$S$567,MATCH(G$10,'BDD'!$A$1:$P$1,0),FALSE)),"")</f>
      </c>
      <c r="H81" s="570">
        <f>IF(VLOOKUP(E81,'BDD'!$A$1:$S$567,15,FALSE)=0,"Critère non évalué","")</f>
      </c>
      <c r="I81" s="571">
        <f>_xlfn.IFERROR(IF(VLOOKUP($E81,'BDD'!$A$1:$S$567,MATCH(I$10,'BDD'!$A$1:$P$1,0),FALSE)=0,"",VLOOKUP($E81,'BDD'!$A$1:$S$567,MATCH(I$10,'BDD'!$A$1:$P$1,0),FALSE)),"")</f>
      </c>
      <c r="J81" s="556"/>
      <c r="K81" s="557">
        <f>_xlfn.IFERROR(IF(VLOOKUP($E81,'BDD'!$A$1:$S$567,MATCH(K$10,'BDD'!$A$1:$P$1,0),FALSE)=0,"",VLOOKUP($E81,'BDD'!$A$1:$S$567,MATCH(K$10,'BDD'!$A$1:$P$1,0),FALSE)),"")</f>
      </c>
      <c r="L81" s="550"/>
      <c r="M81" s="555"/>
      <c r="N81" s="555"/>
      <c r="O81" s="534"/>
      <c r="P81" s="507"/>
    </row>
    <row r="82" ht="130.05" customHeight="1">
      <c r="A82" s="504"/>
      <c r="B82" s="542"/>
      <c r="C82" t="s" s="543">
        <f>IF(LEFT(RIGHT($B$1,2),1)=" ",RIGHT($B$1,1),RIGHT($B$1,2))</f>
        <v>1761</v>
      </c>
      <c r="D82" s="550">
        <f>IF(LEFT(F82,14)="Bonne pratique",D81+1,D81)</f>
      </c>
      <c r="E82" s="566">
        <f>C82&amp;D82&amp;RIGHT(F82,1)</f>
      </c>
      <c r="F82" t="s" s="546">
        <v>1778</v>
      </c>
      <c r="G82" s="567">
        <f>_xlfn.IFERROR(IF(VLOOKUP($E82,'BDD'!$A$1:$S$567,MATCH(G$10,'BDD'!$A$1:$P$1,0),FALSE)=0,"",VLOOKUP($E82,'BDD'!$A$1:$S$567,MATCH(G$10,'BDD'!$A$1:$P$1,0),FALSE)),"")</f>
      </c>
      <c r="H82" s="568">
        <f>IF(VLOOKUP(E82,'BDD'!$A$1:$S$567,15,FALSE)=0,"Critère non évalué","")</f>
      </c>
      <c r="I82" s="569">
        <f>_xlfn.IFERROR(IF(VLOOKUP($E82,'BDD'!$A$1:$S$567,MATCH(I$10,'BDD'!$A$1:$P$1,0),FALSE)=0,"",VLOOKUP($E82,'BDD'!$A$1:$S$567,MATCH(I$10,'BDD'!$A$1:$P$1,0),FALSE)),"")</f>
      </c>
      <c r="J82" s="549"/>
      <c r="K82" s="567">
        <f>_xlfn.IFERROR(IF(VLOOKUP($E82,'BDD'!$A$1:$S$567,MATCH(K$10,'BDD'!$A$1:$P$1,0),FALSE)=0,"",VLOOKUP($E82,'BDD'!$A$1:$S$567,MATCH(K$10,'BDD'!$A$1:$P$1,0),FALSE)),"")</f>
      </c>
      <c r="L82" s="550"/>
      <c r="M82" s="557"/>
      <c r="N82" s="557"/>
      <c r="O82" s="534"/>
      <c r="P82" s="507"/>
    </row>
    <row r="83" ht="14.4" customHeight="1">
      <c r="A83" s="504"/>
      <c r="B83" s="61"/>
      <c r="C83" s="61"/>
      <c r="D83" s="61"/>
      <c r="E83" s="61"/>
      <c r="F83" s="559"/>
      <c r="G83" s="559"/>
      <c r="H83" s="559"/>
      <c r="I83" s="559"/>
      <c r="J83" s="559"/>
      <c r="K83" s="559"/>
      <c r="L83" s="61"/>
      <c r="M83" s="559"/>
      <c r="N83" s="559"/>
      <c r="O83" s="61"/>
      <c r="P83" s="507"/>
    </row>
    <row r="84" ht="14.4" customHeight="1">
      <c r="A84" t="s" s="572">
        <v>171</v>
      </c>
      <c r="B84" s="573"/>
      <c r="C84" s="573"/>
      <c r="D84" s="573"/>
      <c r="E84" s="573"/>
      <c r="F84" s="573"/>
      <c r="G84" s="573"/>
      <c r="H84" s="573"/>
      <c r="I84" s="573"/>
      <c r="J84" s="573"/>
      <c r="K84" s="573"/>
      <c r="L84" s="573"/>
      <c r="M84" s="573"/>
      <c r="N84" s="573"/>
      <c r="O84" s="573"/>
      <c r="P84" t="s" s="574">
        <v>171</v>
      </c>
    </row>
  </sheetData>
  <mergeCells count="5">
    <mergeCell ref="M9:N9"/>
    <mergeCell ref="M25:N25"/>
    <mergeCell ref="M41:N41"/>
    <mergeCell ref="M57:N57"/>
    <mergeCell ref="M75:N75"/>
  </mergeCells>
  <pageMargins left="0.7" right="0.7" top="0.75" bottom="0.75" header="0.3" footer="0.3"/>
  <pageSetup firstPageNumber="1" fitToHeight="1" fitToWidth="1" scale="100" useFirstPageNumber="0" orientation="portrait" pageOrder="downThenOver"/>
  <headerFooter>
    <oddFooter>&amp;C&amp;"Helvetica Neue,Regular"&amp;12&amp;K000000&amp;P</oddFooter>
  </headerFooter>
  <drawing r:id="rId1"/>
</worksheet>
</file>

<file path=xl/worksheets/sheet9.xml><?xml version="1.0" encoding="utf-8"?>
<worksheet xmlns:r="http://schemas.openxmlformats.org/officeDocument/2006/relationships" xmlns="http://schemas.openxmlformats.org/spreadsheetml/2006/main">
  <dimension ref="A1:AI100"/>
  <sheetViews>
    <sheetView workbookViewId="0" showGridLines="0" defaultGridColor="1"/>
  </sheetViews>
  <sheetFormatPr defaultColWidth="8.83333" defaultRowHeight="14.4" customHeight="1" outlineLevelRow="0" outlineLevelCol="0"/>
  <cols>
    <col min="1" max="2" width="5.85156" style="575" customWidth="1"/>
    <col min="3" max="5" hidden="1" width="8.83333" style="575" customWidth="1"/>
    <col min="6" max="6" width="25.6719" style="575" customWidth="1"/>
    <col min="7" max="7" width="73.5" style="575" customWidth="1"/>
    <col min="8" max="12" width="5.85156" style="575" customWidth="1"/>
    <col min="13" max="13" width="8.85156" style="575" customWidth="1"/>
    <col min="14" max="14" width="50.8516" style="575" customWidth="1"/>
    <col min="15" max="21" width="4.35156" style="575" customWidth="1"/>
    <col min="22" max="22" width="3" style="575" customWidth="1"/>
    <col min="23" max="23" width="23.8516" style="575" customWidth="1"/>
    <col min="24" max="24" width="59.8516" style="575" customWidth="1"/>
    <col min="25" max="25" width="4" style="575" customWidth="1"/>
    <col min="26" max="27" width="17.1719" style="575" customWidth="1"/>
    <col min="28" max="28" width="5.85156" style="575" customWidth="1"/>
    <col min="29" max="29" width="7.85156" style="575" customWidth="1"/>
    <col min="30" max="30" width="2.5" style="575" customWidth="1"/>
    <col min="31" max="31" width="19" style="575" customWidth="1"/>
    <col min="32" max="34" width="5.85156" style="575" customWidth="1"/>
    <col min="35" max="35" width="8.85156" style="575" customWidth="1"/>
    <col min="36" max="16384" width="8.85156" style="575" customWidth="1"/>
  </cols>
  <sheetData>
    <row r="1" ht="45" customHeight="1">
      <c r="A1" s="576"/>
      <c r="B1" t="s" s="498">
        <v>1760</v>
      </c>
      <c r="C1" s="577"/>
      <c r="D1" s="577"/>
      <c r="E1" s="499"/>
      <c r="F1" s="499"/>
      <c r="G1" s="499"/>
      <c r="H1" s="499"/>
      <c r="I1" s="499"/>
      <c r="J1" s="578"/>
      <c r="K1" s="579"/>
      <c r="L1" s="499"/>
      <c r="M1" s="499"/>
      <c r="N1" s="580"/>
      <c r="O1" s="580"/>
      <c r="P1" t="s" s="581">
        <f>VLOOKUP($E$27,'BDD'!$A$2:$N$567,3,FALSE)</f>
        <v>224</v>
      </c>
      <c r="Q1" s="500"/>
      <c r="R1" s="501"/>
      <c r="S1" s="501"/>
      <c r="T1" s="501"/>
      <c r="U1" s="501"/>
      <c r="V1" s="501"/>
      <c r="W1" s="501"/>
      <c r="X1" s="501"/>
      <c r="Y1" s="501"/>
      <c r="Z1" s="501"/>
      <c r="AA1" s="501"/>
      <c r="AB1" s="501"/>
      <c r="AC1" s="501"/>
      <c r="AD1" s="501"/>
      <c r="AE1" s="501"/>
      <c r="AF1" s="501"/>
      <c r="AG1" s="501"/>
      <c r="AH1" s="501"/>
      <c r="AI1" s="582"/>
    </row>
    <row r="2" ht="45" customHeight="1">
      <c r="A2" s="504"/>
      <c r="B2" s="505"/>
      <c r="C2" s="505"/>
      <c r="D2" s="505"/>
      <c r="E2" s="505"/>
      <c r="F2" s="505"/>
      <c r="G2" s="505"/>
      <c r="H2" s="505"/>
      <c r="I2" s="505"/>
      <c r="J2" s="505"/>
      <c r="K2" s="505"/>
      <c r="L2" s="505"/>
      <c r="M2" s="505"/>
      <c r="N2" s="583"/>
      <c r="O2" s="583"/>
      <c r="P2" t="s" s="506">
        <f>VLOOKUP($E$27,'BDD'!$A$2:$N$567,4,FALSE)</f>
        <v>251</v>
      </c>
      <c r="Q2" s="505"/>
      <c r="R2" s="584"/>
      <c r="S2" s="584"/>
      <c r="T2" s="584"/>
      <c r="U2" s="584"/>
      <c r="V2" s="584"/>
      <c r="W2" s="584"/>
      <c r="X2" s="584"/>
      <c r="Y2" s="584"/>
      <c r="Z2" s="584"/>
      <c r="AA2" s="584"/>
      <c r="AB2" s="584"/>
      <c r="AC2" s="584"/>
      <c r="AD2" s="584"/>
      <c r="AE2" s="584"/>
      <c r="AF2" s="584"/>
      <c r="AG2" s="584"/>
      <c r="AH2" s="584"/>
      <c r="AI2" s="585"/>
    </row>
    <row r="3" ht="45" customHeight="1">
      <c r="A3" s="504"/>
      <c r="B3" s="586"/>
      <c r="C3" s="586"/>
      <c r="D3" s="586"/>
      <c r="E3" s="586"/>
      <c r="F3" s="586"/>
      <c r="G3" s="587"/>
      <c r="H3" s="587"/>
      <c r="I3" s="587"/>
      <c r="J3" s="587"/>
      <c r="K3" s="587"/>
      <c r="L3" s="587"/>
      <c r="M3" s="587"/>
      <c r="N3" s="586"/>
      <c r="O3" s="586"/>
      <c r="P3" s="586"/>
      <c r="Q3" s="586"/>
      <c r="R3" s="586"/>
      <c r="S3" s="586"/>
      <c r="T3" s="586"/>
      <c r="U3" s="586"/>
      <c r="V3" s="586"/>
      <c r="W3" s="588"/>
      <c r="X3" s="586"/>
      <c r="Y3" s="586"/>
      <c r="Z3" s="586"/>
      <c r="AA3" s="589"/>
      <c r="AB3" s="586"/>
      <c r="AC3" s="586"/>
      <c r="AD3" s="586"/>
      <c r="AE3" s="586"/>
      <c r="AF3" s="586"/>
      <c r="AG3" s="586"/>
      <c r="AH3" s="505"/>
      <c r="AI3" s="585"/>
    </row>
    <row r="4" ht="26.4" customHeight="1">
      <c r="A4" s="504"/>
      <c r="B4" s="586"/>
      <c r="C4" s="586"/>
      <c r="D4" s="586"/>
      <c r="E4" s="586"/>
      <c r="F4" s="586"/>
      <c r="G4" t="s" s="590">
        <v>1817</v>
      </c>
      <c r="H4" s="591"/>
      <c r="I4" s="587"/>
      <c r="J4" s="591"/>
      <c r="K4" s="591"/>
      <c r="L4" s="591"/>
      <c r="M4" s="591"/>
      <c r="N4" s="586"/>
      <c r="O4" s="586"/>
      <c r="P4" s="586"/>
      <c r="Q4" s="586"/>
      <c r="R4" s="586"/>
      <c r="S4" s="586"/>
      <c r="T4" s="586"/>
      <c r="U4" s="586"/>
      <c r="V4" s="586"/>
      <c r="W4" t="s" s="592">
        <v>1818</v>
      </c>
      <c r="X4" s="586"/>
      <c r="Y4" s="586"/>
      <c r="Z4" s="593"/>
      <c r="AA4" s="594"/>
      <c r="AB4" t="s" s="595">
        <v>1819</v>
      </c>
      <c r="AC4" s="25"/>
      <c r="AD4" s="586"/>
      <c r="AE4" s="586"/>
      <c r="AF4" s="596"/>
      <c r="AG4" s="596"/>
      <c r="AH4" s="597"/>
      <c r="AI4" s="585"/>
    </row>
    <row r="5" ht="30" customHeight="1">
      <c r="A5" s="504"/>
      <c r="B5" s="586"/>
      <c r="C5" s="586"/>
      <c r="D5" s="586"/>
      <c r="E5" s="586"/>
      <c r="F5" s="586"/>
      <c r="G5" t="s" s="598">
        <f>IF(VLOOKUP($E27,'BDD'!$A$2:$N$567,13,FALSE)=0,"",VLOOKUP($E27,'BDD'!$A$2:$N$567,13,FALSE))</f>
        <v>258</v>
      </c>
      <c r="H5" s="599"/>
      <c r="I5" s="587"/>
      <c r="J5" s="25"/>
      <c r="K5" s="599"/>
      <c r="L5" s="600"/>
      <c r="M5" s="600"/>
      <c r="N5" s="601"/>
      <c r="O5" s="601"/>
      <c r="P5" s="601"/>
      <c r="Q5" s="601"/>
      <c r="R5" s="601"/>
      <c r="S5" s="601"/>
      <c r="T5" s="601"/>
      <c r="U5" s="601"/>
      <c r="V5" s="601"/>
      <c r="W5" s="602"/>
      <c r="X5" s="601"/>
      <c r="Y5" s="601"/>
      <c r="Z5" s="601"/>
      <c r="AA5" s="603"/>
      <c r="AB5" s="601"/>
      <c r="AC5" s="586"/>
      <c r="AD5" s="586"/>
      <c r="AE5" s="586"/>
      <c r="AF5" s="586"/>
      <c r="AG5" s="586"/>
      <c r="AH5" s="505"/>
      <c r="AI5" s="585"/>
    </row>
    <row r="6" ht="41.4" customHeight="1">
      <c r="A6" s="604"/>
      <c r="B6" s="565"/>
      <c r="C6" s="565"/>
      <c r="D6" s="565"/>
      <c r="E6" s="565"/>
      <c r="F6" s="565"/>
      <c r="G6" t="s" s="598">
        <f>IF(VLOOKUP($E28,'BDD'!$A$2:$N$567,13,FALSE)=0,"",VLOOKUP($E28,'BDD'!$A$2:$N$567,13,FALSE))</f>
        <v>265</v>
      </c>
      <c r="H6" s="605"/>
      <c r="I6" s="587"/>
      <c r="J6" s="25"/>
      <c r="K6" s="606"/>
      <c r="L6" s="607"/>
      <c r="M6" s="608"/>
      <c r="N6" s="609"/>
      <c r="O6" s="610"/>
      <c r="P6" s="610"/>
      <c r="Q6" s="610"/>
      <c r="R6" s="610"/>
      <c r="S6" s="610"/>
      <c r="T6" s="610"/>
      <c r="U6" s="610"/>
      <c r="V6" s="611"/>
      <c r="W6" s="610"/>
      <c r="X6" s="610"/>
      <c r="Y6" s="611"/>
      <c r="Z6" s="612"/>
      <c r="AA6" s="612"/>
      <c r="AB6" s="613"/>
      <c r="AC6" s="614"/>
      <c r="AD6" s="615"/>
      <c r="AE6" s="615"/>
      <c r="AF6" s="587"/>
      <c r="AG6" s="587"/>
      <c r="AH6" s="616"/>
      <c r="AI6" s="617"/>
    </row>
    <row r="7" ht="42" customHeight="1">
      <c r="A7" s="604"/>
      <c r="B7" s="565"/>
      <c r="C7" s="565"/>
      <c r="D7" s="565"/>
      <c r="E7" s="565"/>
      <c r="F7" s="565"/>
      <c r="G7" t="s" s="598">
        <f>IF(VLOOKUP($E29,'BDD'!$A$2:$N$567,13,FALSE)=0,"",VLOOKUP($E29,'BDD'!$A$2:$N$567,13,FALSE))</f>
        <v>273</v>
      </c>
      <c r="H7" s="605"/>
      <c r="I7" s="587"/>
      <c r="J7" s="25"/>
      <c r="K7" s="606"/>
      <c r="L7" s="618"/>
      <c r="M7" s="619"/>
      <c r="N7" t="s" s="620">
        <v>11</v>
      </c>
      <c r="O7" t="s" s="621">
        <v>12</v>
      </c>
      <c r="P7" t="s" s="621">
        <v>13</v>
      </c>
      <c r="Q7" t="s" s="621">
        <v>14</v>
      </c>
      <c r="R7" t="s" s="621">
        <v>15</v>
      </c>
      <c r="S7" t="s" s="621">
        <v>16</v>
      </c>
      <c r="T7" t="s" s="621">
        <v>17</v>
      </c>
      <c r="U7" t="s" s="621">
        <v>18</v>
      </c>
      <c r="V7" s="70"/>
      <c r="W7" t="s" s="622">
        <v>20</v>
      </c>
      <c r="X7" t="s" s="623">
        <v>21</v>
      </c>
      <c r="Y7" s="624"/>
      <c r="Z7" t="s" s="625">
        <v>22</v>
      </c>
      <c r="AA7" t="s" s="626">
        <v>223</v>
      </c>
      <c r="AB7" s="627"/>
      <c r="AC7" s="628"/>
      <c r="AD7" t="s" s="629">
        <v>1820</v>
      </c>
      <c r="AE7" t="s" s="630">
        <v>1752</v>
      </c>
      <c r="AF7" s="631"/>
      <c r="AG7" s="587"/>
      <c r="AH7" s="616"/>
      <c r="AI7" s="617"/>
    </row>
    <row r="8" ht="41.4" customHeight="1">
      <c r="A8" s="604"/>
      <c r="B8" s="565"/>
      <c r="C8" s="565"/>
      <c r="D8" s="565"/>
      <c r="E8" s="565"/>
      <c r="F8" s="565"/>
      <c r="G8" t="s" s="598">
        <f>IF(VLOOKUP($E30,'BDD'!$A$2:$N$567,13,FALSE)=0,"",VLOOKUP($E30,'BDD'!$A$2:$N$567,13,FALSE))</f>
      </c>
      <c r="H8" s="605"/>
      <c r="I8" s="587"/>
      <c r="J8" s="25"/>
      <c r="K8" s="606"/>
      <c r="L8" s="618"/>
      <c r="M8" t="s" s="632">
        <f>IF(LEFT(RIGHT($B$1,2),1)=" ",RIGHT($B$1,1),RIGHT($B$1,2))&amp;1</f>
        <v>260</v>
      </c>
      <c r="N8" t="s" s="539">
        <f>RIGHT(M8,1)&amp;" : "&amp;VLOOKUP($M8&amp;"1",'BDD'!$A$2:$N$567,6,FALSE)</f>
        <v>1821</v>
      </c>
      <c r="O8" t="s" s="71">
        <f>IF(VLOOKUP($M8&amp;RIGHT(O$7,1),'BDD'!$A$1:$S$428,15,FALSE)=4,"NE",IF(VLOOKUP($M8&amp;RIGHT(O$7,1),'BDD'!$A$1:$S$428,15,FALSE)=0,"NE",VLOOKUP($M8&amp;RIGHT(O$7,1),'BDD'!$A$1:$S$428,15,FALSE)))</f>
        <v>27</v>
      </c>
      <c r="P8" t="s" s="71">
        <f>IF(VLOOKUP($M8&amp;RIGHT(P$7,1),'BDD'!$A$1:$S$428,15,FALSE)=4,"NE",IF(VLOOKUP($M8&amp;RIGHT(P$7,1),'BDD'!$A$1:$S$428,15,FALSE)=0,"NE",VLOOKUP($M8&amp;RIGHT(P$7,1),'BDD'!$A$1:$S$428,15,FALSE)))</f>
        <v>27</v>
      </c>
      <c r="Q8" t="s" s="71">
        <f>IF(VLOOKUP($M8&amp;RIGHT(Q$7,1),'BDD'!$A$1:$S$428,15,FALSE)=4,"NE",IF(VLOOKUP($M8&amp;RIGHT(Q$7,1),'BDD'!$A$1:$S$428,15,FALSE)=0,"NE",VLOOKUP($M8&amp;RIGHT(Q$7,1),'BDD'!$A$1:$S$428,15,FALSE)))</f>
        <v>27</v>
      </c>
      <c r="R8" t="s" s="71">
        <f>IF(VLOOKUP($M8&amp;RIGHT(R$7,1),'BDD'!$A$1:$S$428,15,FALSE)=4,"NE",IF(VLOOKUP($M8&amp;RIGHT(R$7,1),'BDD'!$A$1:$S$428,15,FALSE)=0,"NE",VLOOKUP($M8&amp;RIGHT(R$7,1),'BDD'!$A$1:$S$428,15,FALSE)))</f>
        <v>27</v>
      </c>
      <c r="S8" t="s" s="71">
        <f>IF(VLOOKUP($M8&amp;RIGHT(S$7,1),'BDD'!$A$1:$S$428,15,FALSE)=4,"NE",IF(VLOOKUP($M8&amp;RIGHT(S$7,1),'BDD'!$A$1:$S$428,15,FALSE)=0,"NE",VLOOKUP($M8&amp;RIGHT(S$7,1),'BDD'!$A$1:$S$428,15,FALSE)))</f>
        <v>27</v>
      </c>
      <c r="T8" t="s" s="71">
        <f>IF(VLOOKUP($M8&amp;RIGHT(T$7,1),'BDD'!$A$1:$S$428,15,FALSE)=4,"NE",IF(VLOOKUP($M8&amp;RIGHT(T$7,1),'BDD'!$A$1:$S$428,15,FALSE)=0,"NE",VLOOKUP($M8&amp;RIGHT(T$7,1),'BDD'!$A$1:$S$428,15,FALSE)))</f>
        <v>27</v>
      </c>
      <c r="U8" t="s" s="71">
        <f>IF(VLOOKUP($M8&amp;RIGHT(U$7,1),'BDD'!$A$1:$S$428,15,FALSE)=4,"NE",IF(VLOOKUP($M8&amp;RIGHT(U$7,1),'BDD'!$A$1:$S$428,15,FALSE)=0,"NE",VLOOKUP($M8&amp;RIGHT(U$7,1),'BDD'!$A$1:$S$428,15,FALSE)))</f>
        <v>27</v>
      </c>
      <c r="V8" s="633"/>
      <c r="W8" t="s" s="634">
        <v>28</v>
      </c>
      <c r="X8" s="635"/>
      <c r="Y8" s="636"/>
      <c r="Z8" s="637">
        <f>O25</f>
        <v>0</v>
      </c>
      <c r="AA8" s="77">
        <f>S25</f>
      </c>
      <c r="AB8" s="627"/>
      <c r="AC8" s="628"/>
      <c r="AD8" s="638"/>
      <c r="AE8" t="s" s="639">
        <v>1753</v>
      </c>
      <c r="AF8" s="631"/>
      <c r="AG8" s="587"/>
      <c r="AH8" s="616"/>
      <c r="AI8" s="617"/>
    </row>
    <row r="9" ht="30" customHeight="1">
      <c r="A9" s="604"/>
      <c r="B9" s="565"/>
      <c r="C9" s="565"/>
      <c r="D9" s="565"/>
      <c r="E9" s="565"/>
      <c r="F9" s="565"/>
      <c r="G9" t="s" s="598">
        <f>IF(VLOOKUP($E31,'BDD'!$A$2:$N$567,13,FALSE)=0,"",VLOOKUP($E31,'BDD'!$A$2:$N$567,13,FALSE))</f>
      </c>
      <c r="H9" s="605"/>
      <c r="I9" s="587"/>
      <c r="J9" s="25"/>
      <c r="K9" s="606"/>
      <c r="L9" s="618"/>
      <c r="M9" t="s" s="632">
        <f>IF(LEFT(RIGHT($B$1,2),1)=" ",RIGHT($B$1,1),RIGHT($B$1,2))&amp;2</f>
        <v>267</v>
      </c>
      <c r="N9" t="s" s="640">
        <f>RIGHT(M9,1)&amp;" : "&amp;VLOOKUP($M9&amp;"1",'BDD'!$A$2:$N$567,6,FALSE)</f>
        <v>1822</v>
      </c>
      <c r="O9" t="s" s="85">
        <f>IF(VLOOKUP($M9&amp;RIGHT(O$7,1),'BDD'!$A$1:$S$428,15,FALSE)=4,"NE",IF(VLOOKUP($M9&amp;RIGHT(O$7,1),'BDD'!$A$1:$S$428,15,FALSE)=0,"NE",VLOOKUP($M9&amp;RIGHT(O$7,1),'BDD'!$A$1:$S$428,15,FALSE)))</f>
        <v>27</v>
      </c>
      <c r="P9" t="s" s="85">
        <f>IF(VLOOKUP($M9&amp;RIGHT(P$7,1),'BDD'!$A$1:$S$428,15,FALSE)=4,"NE",IF(VLOOKUP($M9&amp;RIGHT(P$7,1),'BDD'!$A$1:$S$428,15,FALSE)=0,"NE",VLOOKUP($M9&amp;RIGHT(P$7,1),'BDD'!$A$1:$S$428,15,FALSE)))</f>
        <v>27</v>
      </c>
      <c r="Q9" t="s" s="85">
        <f>IF(VLOOKUP($M9&amp;RIGHT(Q$7,1),'BDD'!$A$1:$S$428,15,FALSE)=4,"NE",IF(VLOOKUP($M9&amp;RIGHT(Q$7,1),'BDD'!$A$1:$S$428,15,FALSE)=0,"NE",VLOOKUP($M9&amp;RIGHT(Q$7,1),'BDD'!$A$1:$S$428,15,FALSE)))</f>
        <v>27</v>
      </c>
      <c r="R9" t="s" s="85">
        <f>IF(VLOOKUP($M9&amp;RIGHT(R$7,1),'BDD'!$A$1:$S$428,15,FALSE)=4,"NE",IF(VLOOKUP($M9&amp;RIGHT(R$7,1),'BDD'!$A$1:$S$428,15,FALSE)=0,"NE",VLOOKUP($M9&amp;RIGHT(R$7,1),'BDD'!$A$1:$S$428,15,FALSE)))</f>
        <v>27</v>
      </c>
      <c r="S9" t="s" s="85">
        <f>IF(VLOOKUP($M9&amp;RIGHT(S$7,1),'BDD'!$A$1:$S$428,15,FALSE)=4,"NE",IF(VLOOKUP($M9&amp;RIGHT(S$7,1),'BDD'!$A$1:$S$428,15,FALSE)=0,"NE",VLOOKUP($M9&amp;RIGHT(S$7,1),'BDD'!$A$1:$S$428,15,FALSE)))</f>
        <v>27</v>
      </c>
      <c r="T9" t="s" s="85">
        <f>IF(VLOOKUP($M9&amp;RIGHT(T$7,1),'BDD'!$A$1:$S$428,15,FALSE)=4,"NE",IF(VLOOKUP($M9&amp;RIGHT(T$7,1),'BDD'!$A$1:$S$428,15,FALSE)=0,"NE",VLOOKUP($M9&amp;RIGHT(T$7,1),'BDD'!$A$1:$S$428,15,FALSE)))</f>
        <v>27</v>
      </c>
      <c r="U9" t="s" s="85">
        <f>IF(VLOOKUP($M9&amp;RIGHT(U$7,1),'BDD'!$A$1:$S$428,15,FALSE)=4,"NE",IF(VLOOKUP($M9&amp;RIGHT(U$7,1),'BDD'!$A$1:$S$428,15,FALSE)=0,"NE",VLOOKUP($M9&amp;RIGHT(U$7,1),'BDD'!$A$1:$S$428,15,FALSE)))</f>
        <v>27</v>
      </c>
      <c r="V9" s="633"/>
      <c r="W9" t="s" s="641">
        <v>28</v>
      </c>
      <c r="X9" s="642"/>
      <c r="Y9" s="643"/>
      <c r="Z9" s="644">
        <f>O34</f>
        <v>0</v>
      </c>
      <c r="AA9" s="90">
        <f>S34</f>
      </c>
      <c r="AB9" s="627"/>
      <c r="AC9" s="628"/>
      <c r="AD9" s="638"/>
      <c r="AE9" t="s" s="645">
        <v>1754</v>
      </c>
      <c r="AF9" s="631"/>
      <c r="AG9" s="587"/>
      <c r="AH9" s="616"/>
      <c r="AI9" s="617"/>
    </row>
    <row r="10" ht="30" customHeight="1">
      <c r="A10" s="604"/>
      <c r="B10" s="565"/>
      <c r="C10" s="565"/>
      <c r="D10" s="565"/>
      <c r="E10" s="565"/>
      <c r="F10" s="565"/>
      <c r="G10" t="s" s="646">
        <f>IF(VLOOKUP($E32,'BDD'!$A$2:$N$567,13,FALSE)=0,"",VLOOKUP($E32,'BDD'!$A$2:$N$567,13,FALSE))</f>
      </c>
      <c r="H10" s="605"/>
      <c r="I10" s="587"/>
      <c r="J10" s="25"/>
      <c r="K10" s="606"/>
      <c r="L10" s="618"/>
      <c r="M10" t="s" s="632">
        <f>IF(LEFT(RIGHT($B$1,2),1)=" ",RIGHT($B$1,1),RIGHT($B$1,2))&amp;3</f>
        <v>275</v>
      </c>
      <c r="N10" t="s" s="539">
        <f>RIGHT(M10,1)&amp;" : "&amp;VLOOKUP($M10&amp;"1",'BDD'!$A$2:$N$567,6,FALSE)</f>
        <v>1823</v>
      </c>
      <c r="O10" t="s" s="71">
        <f>IF(VLOOKUP($M10&amp;RIGHT(O$7,1),'BDD'!$A$1:$S$428,15,FALSE)=4,"NE",IF(VLOOKUP($M10&amp;RIGHT(O$7,1),'BDD'!$A$1:$S$428,15,FALSE)=0,"NE",VLOOKUP($M10&amp;RIGHT(O$7,1),'BDD'!$A$1:$S$428,15,FALSE)))</f>
        <v>27</v>
      </c>
      <c r="P10" t="s" s="71">
        <f>IF(VLOOKUP($M10&amp;RIGHT(P$7,1),'BDD'!$A$1:$S$428,15,FALSE)=4,"NE",IF(VLOOKUP($M10&amp;RIGHT(P$7,1),'BDD'!$A$1:$S$428,15,FALSE)=0,"NE",VLOOKUP($M10&amp;RIGHT(P$7,1),'BDD'!$A$1:$S$428,15,FALSE)))</f>
        <v>27</v>
      </c>
      <c r="Q10" t="s" s="71">
        <f>IF(VLOOKUP($M10&amp;RIGHT(Q$7,1),'BDD'!$A$1:$S$428,15,FALSE)=4,"NE",IF(VLOOKUP($M10&amp;RIGHT(Q$7,1),'BDD'!$A$1:$S$428,15,FALSE)=0,"NE",VLOOKUP($M10&amp;RIGHT(Q$7,1),'BDD'!$A$1:$S$428,15,FALSE)))</f>
        <v>27</v>
      </c>
      <c r="R10" t="s" s="71">
        <f>IF(VLOOKUP($M10&amp;RIGHT(R$7,1),'BDD'!$A$1:$S$428,15,FALSE)=4,"NE",IF(VLOOKUP($M10&amp;RIGHT(R$7,1),'BDD'!$A$1:$S$428,15,FALSE)=0,"NE",VLOOKUP($M10&amp;RIGHT(R$7,1),'BDD'!$A$1:$S$428,15,FALSE)))</f>
        <v>27</v>
      </c>
      <c r="S10" s="72"/>
      <c r="T10" s="72"/>
      <c r="U10" s="72"/>
      <c r="V10" s="633"/>
      <c r="W10" t="s" s="647">
        <v>28</v>
      </c>
      <c r="X10" s="648"/>
      <c r="Y10" s="636"/>
      <c r="Z10" s="637">
        <f>O43</f>
        <v>0</v>
      </c>
      <c r="AA10" s="77">
        <f>S43</f>
      </c>
      <c r="AB10" s="627"/>
      <c r="AC10" s="628"/>
      <c r="AD10" s="649"/>
      <c r="AE10" t="s" s="650">
        <v>1824</v>
      </c>
      <c r="AF10" s="651"/>
      <c r="AG10" s="652"/>
      <c r="AH10" s="653"/>
      <c r="AI10" s="617"/>
    </row>
    <row r="11" ht="30" customHeight="1">
      <c r="A11" s="504"/>
      <c r="B11" s="586"/>
      <c r="C11" s="586"/>
      <c r="D11" s="586"/>
      <c r="E11" s="586"/>
      <c r="F11" s="586"/>
      <c r="G11" t="s" s="646">
        <f>IF(VLOOKUP($E33,'BDD'!$A$2:$N$567,13,FALSE)=0,"",VLOOKUP($E33,'BDD'!$A$2:$N$567,13,FALSE))</f>
      </c>
      <c r="H11" s="652"/>
      <c r="I11" s="587"/>
      <c r="J11" s="25"/>
      <c r="K11" s="654"/>
      <c r="L11" s="655"/>
      <c r="M11" t="s" s="656">
        <f>IF(LEFT(RIGHT($B$1,2),1)=" ",RIGHT($B$1,1),RIGHT($B$1,2))&amp;4</f>
        <v>280</v>
      </c>
      <c r="N11" t="s" s="640">
        <f>RIGHT(M11,1)&amp;" : "&amp;VLOOKUP($M11&amp;"1",'BDD'!$A$2:$N$567,6,FALSE)</f>
        <v>1825</v>
      </c>
      <c r="O11" t="s" s="85">
        <f>IF(VLOOKUP($M11&amp;RIGHT(O$7,1),'BDD'!$A$1:$S$428,15,FALSE)=4,"NE",IF(VLOOKUP($M11&amp;RIGHT(O$7,1),'BDD'!$A$1:$S$428,15,FALSE)=0,"NE",VLOOKUP($M11&amp;RIGHT(O$7,1),'BDD'!$A$1:$S$428,15,FALSE)))</f>
        <v>27</v>
      </c>
      <c r="P11" t="s" s="85">
        <f>IF(VLOOKUP($M11&amp;RIGHT(P$7,1),'BDD'!$A$1:$S$428,15,FALSE)=4,"NE",IF(VLOOKUP($M11&amp;RIGHT(P$7,1),'BDD'!$A$1:$S$428,15,FALSE)=0,"NE",VLOOKUP($M11&amp;RIGHT(P$7,1),'BDD'!$A$1:$S$428,15,FALSE)))</f>
        <v>27</v>
      </c>
      <c r="Q11" t="s" s="85">
        <f>IF(VLOOKUP($M11&amp;RIGHT(Q$7,1),'BDD'!$A$1:$S$428,15,FALSE)=4,"NE",IF(VLOOKUP($M11&amp;RIGHT(Q$7,1),'BDD'!$A$1:$S$428,15,FALSE)=0,"NE",VLOOKUP($M11&amp;RIGHT(Q$7,1),'BDD'!$A$1:$S$428,15,FALSE)))</f>
        <v>27</v>
      </c>
      <c r="R11" t="s" s="85">
        <f>IF(VLOOKUP($M11&amp;RIGHT(R$7,1),'BDD'!$A$1:$S$428,15,FALSE)=4,"NE",IF(VLOOKUP($M11&amp;RIGHT(R$7,1),'BDD'!$A$1:$S$428,15,FALSE)=0,"NE",VLOOKUP($M11&amp;RIGHT(R$7,1),'BDD'!$A$1:$S$428,15,FALSE)))</f>
        <v>27</v>
      </c>
      <c r="S11" t="s" s="85">
        <f>IF(VLOOKUP($M11&amp;RIGHT(S$7,1),'BDD'!$A$1:$S$428,15,FALSE)=4,"NE",IF(VLOOKUP($M11&amp;RIGHT(S$7,1),'BDD'!$A$1:$S$428,15,FALSE)=0,"NE",VLOOKUP($M11&amp;RIGHT(S$7,1),'BDD'!$A$1:$S$428,15,FALSE)))</f>
        <v>27</v>
      </c>
      <c r="T11" t="s" s="85">
        <f>IF(VLOOKUP($M11&amp;RIGHT(T$7,1),'BDD'!$A$1:$S$428,15,FALSE)=4,"NE",IF(VLOOKUP($M11&amp;RIGHT(T$7,1),'BDD'!$A$1:$S$428,15,FALSE)=0,"NE",VLOOKUP($M11&amp;RIGHT(T$7,1),'BDD'!$A$1:$S$428,15,FALSE)))</f>
        <v>27</v>
      </c>
      <c r="U11" s="86"/>
      <c r="V11" s="633"/>
      <c r="W11" t="s" s="641">
        <v>28</v>
      </c>
      <c r="X11" s="642"/>
      <c r="Y11" s="636"/>
      <c r="Z11" s="644">
        <f>O49</f>
        <v>0</v>
      </c>
      <c r="AA11" s="90">
        <f>S49</f>
      </c>
      <c r="AB11" s="627"/>
      <c r="AC11" s="657"/>
      <c r="AD11" s="658"/>
      <c r="AE11" s="659"/>
      <c r="AF11" s="652"/>
      <c r="AG11" s="652"/>
      <c r="AH11" s="653"/>
      <c r="AI11" s="585"/>
    </row>
    <row r="12" ht="30" customHeight="1">
      <c r="A12" s="504"/>
      <c r="B12" s="586"/>
      <c r="C12" s="586"/>
      <c r="D12" s="586"/>
      <c r="E12" s="586"/>
      <c r="F12" s="586"/>
      <c r="G12" t="s" s="660">
        <v>1826</v>
      </c>
      <c r="H12" s="587"/>
      <c r="I12" s="587"/>
      <c r="J12" s="25"/>
      <c r="K12" s="661"/>
      <c r="L12" s="662"/>
      <c r="M12" t="s" s="663">
        <f>IF(LEFT(RIGHT($B$1,2),1)=" ",RIGHT($B$1,1),RIGHT($B$1,2))&amp;5</f>
        <v>284</v>
      </c>
      <c r="N12" t="s" s="539">
        <f>RIGHT(M12,1)&amp;" : "&amp;VLOOKUP($M12&amp;"1",'BDD'!$A$2:$N$567,6,FALSE)</f>
        <v>1827</v>
      </c>
      <c r="O12" t="s" s="71">
        <f>IF(VLOOKUP($M12&amp;RIGHT(O$7,1),'BDD'!$A$1:$S$428,15,FALSE)=4,"NE",IF(VLOOKUP($M12&amp;RIGHT(O$7,1),'BDD'!$A$1:$S$428,15,FALSE)=0,"NE",VLOOKUP($M12&amp;RIGHT(O$7,1),'BDD'!$A$1:$S$428,15,FALSE)))</f>
        <v>27</v>
      </c>
      <c r="P12" t="s" s="71">
        <f>IF(VLOOKUP($M12&amp;RIGHT(P$7,1),'BDD'!$A$1:$S$428,15,FALSE)=4,"NE",IF(VLOOKUP($M12&amp;RIGHT(P$7,1),'BDD'!$A$1:$S$428,15,FALSE)=0,"NE",VLOOKUP($M12&amp;RIGHT(P$7,1),'BDD'!$A$1:$S$428,15,FALSE)))</f>
        <v>27</v>
      </c>
      <c r="Q12" t="s" s="71">
        <f>IF(VLOOKUP($M12&amp;RIGHT(Q$7,1),'BDD'!$A$1:$S$428,15,FALSE)=4,"NE",IF(VLOOKUP($M12&amp;RIGHT(Q$7,1),'BDD'!$A$1:$S$428,15,FALSE)=0,"NE",VLOOKUP($M12&amp;RIGHT(Q$7,1),'BDD'!$A$1:$S$428,15,FALSE)))</f>
        <v>27</v>
      </c>
      <c r="R12" t="s" s="71">
        <f>IF(VLOOKUP($M12&amp;RIGHT(R$7,1),'BDD'!$A$1:$S$428,15,FALSE)=4,"NE",IF(VLOOKUP($M12&amp;RIGHT(R$7,1),'BDD'!$A$1:$S$428,15,FALSE)=0,"NE",VLOOKUP($M12&amp;RIGHT(R$7,1),'BDD'!$A$1:$S$428,15,FALSE)))</f>
        <v>27</v>
      </c>
      <c r="S12" t="s" s="71">
        <f>IF(VLOOKUP($M12&amp;RIGHT(S$7,1),'BDD'!$A$1:$S$428,15,FALSE)=4,"NE",IF(VLOOKUP($M12&amp;RIGHT(S$7,1),'BDD'!$A$1:$S$428,15,FALSE)=0,"NE",VLOOKUP($M12&amp;RIGHT(S$7,1),'BDD'!$A$1:$S$428,15,FALSE)))</f>
        <v>27</v>
      </c>
      <c r="T12" s="72"/>
      <c r="U12" s="72"/>
      <c r="V12" s="633"/>
      <c r="W12" t="s" s="664">
        <v>28</v>
      </c>
      <c r="X12" s="665"/>
      <c r="Y12" s="636"/>
      <c r="Z12" s="637">
        <f>O57</f>
        <v>0</v>
      </c>
      <c r="AA12" s="77">
        <f>S57</f>
      </c>
      <c r="AB12" s="627"/>
      <c r="AC12" s="657"/>
      <c r="AD12" s="666"/>
      <c r="AE12" s="25"/>
      <c r="AF12" s="586"/>
      <c r="AG12" s="586"/>
      <c r="AH12" s="505"/>
      <c r="AI12" s="585"/>
    </row>
    <row r="13" ht="30" customHeight="1">
      <c r="A13" s="504"/>
      <c r="B13" s="586"/>
      <c r="C13" s="586"/>
      <c r="D13" s="586"/>
      <c r="E13" s="586"/>
      <c r="F13" s="586"/>
      <c r="G13" t="s" s="667">
        <f>IF(VLOOKUP($E27,'BDD'!$A$2:$N$567,14,FALSE)=0,"",VLOOKUP($E27,'BDD'!$A$2:$N$567,14,FALSE))</f>
        <v>259</v>
      </c>
      <c r="H13" s="591"/>
      <c r="I13" s="587"/>
      <c r="J13" s="25"/>
      <c r="K13" s="668"/>
      <c r="L13" s="669"/>
      <c r="M13" s="670"/>
      <c r="N13" s="671"/>
      <c r="O13" s="672"/>
      <c r="P13" s="672"/>
      <c r="Q13" s="672"/>
      <c r="R13" s="672"/>
      <c r="S13" s="672"/>
      <c r="T13" s="672"/>
      <c r="U13" s="672"/>
      <c r="V13" s="673"/>
      <c r="W13" s="674"/>
      <c r="X13" s="675"/>
      <c r="Y13" s="673"/>
      <c r="Z13" s="676"/>
      <c r="AA13" s="676"/>
      <c r="AB13" s="677"/>
      <c r="AC13" s="678"/>
      <c r="AD13" s="586"/>
      <c r="AE13" s="586"/>
      <c r="AF13" s="679"/>
      <c r="AG13" s="679"/>
      <c r="AH13" s="680"/>
      <c r="AI13" s="585"/>
    </row>
    <row r="14" ht="37.8" customHeight="1">
      <c r="A14" s="504"/>
      <c r="B14" s="586"/>
      <c r="C14" s="586"/>
      <c r="D14" s="586"/>
      <c r="E14" s="586"/>
      <c r="F14" s="586"/>
      <c r="G14" t="s" s="667">
        <f>IF(VLOOKUP($E28,'BDD'!$A$2:$N$567,14,FALSE)=0,"",VLOOKUP($E28,'BDD'!$A$2:$N$567,14,FALSE))</f>
        <v>266</v>
      </c>
      <c r="H14" s="681"/>
      <c r="I14" s="587"/>
      <c r="J14" s="25"/>
      <c r="K14" s="682"/>
      <c r="L14" s="683"/>
      <c r="M14" s="684"/>
      <c r="N14" t="s" s="685">
        <f>"Evaluation globale du vecteur "&amp;RIGHT(B1,2)</f>
        <v>1828</v>
      </c>
      <c r="O14" s="686"/>
      <c r="P14" s="687"/>
      <c r="Q14" s="687"/>
      <c r="R14" s="687"/>
      <c r="S14" s="687"/>
      <c r="T14" s="687"/>
      <c r="U14" s="687"/>
      <c r="V14" s="687"/>
      <c r="W14" s="688"/>
      <c r="X14" s="689"/>
      <c r="Y14" s="690"/>
      <c r="Z14" t="s" s="691">
        <v>1829</v>
      </c>
      <c r="AA14" t="s" s="692">
        <v>1830</v>
      </c>
      <c r="AB14" s="693"/>
      <c r="AC14" s="678"/>
      <c r="AD14" s="679"/>
      <c r="AE14" s="679"/>
      <c r="AF14" s="586"/>
      <c r="AG14" s="586"/>
      <c r="AH14" s="505"/>
      <c r="AI14" s="585"/>
    </row>
    <row r="15" ht="30" customHeight="1">
      <c r="A15" s="504"/>
      <c r="B15" s="586"/>
      <c r="C15" s="586"/>
      <c r="D15" s="586"/>
      <c r="E15" s="586"/>
      <c r="F15" s="586"/>
      <c r="G15" t="s" s="667">
        <f>IF(VLOOKUP($E29,'BDD'!$A$2:$N$567,14,FALSE)=0,"",VLOOKUP($E29,'BDD'!$A$2:$N$567,14,FALSE))</f>
        <v>274</v>
      </c>
      <c r="H15" s="694"/>
      <c r="I15" s="587"/>
      <c r="J15" s="25"/>
      <c r="K15" s="695"/>
      <c r="L15" s="662"/>
      <c r="M15" s="696"/>
      <c r="N15" s="697"/>
      <c r="O15" s="698"/>
      <c r="P15" s="699"/>
      <c r="Q15" s="699"/>
      <c r="R15" s="699"/>
      <c r="S15" s="699"/>
      <c r="T15" s="699"/>
      <c r="U15" s="699"/>
      <c r="V15" s="700"/>
      <c r="W15" t="s" s="701">
        <v>28</v>
      </c>
      <c r="X15" s="702"/>
      <c r="Y15" s="703"/>
      <c r="Z15" s="704">
        <f>O22</f>
        <v>0</v>
      </c>
      <c r="AA15" s="705">
        <f>SUM($W$27:$W$65)</f>
      </c>
      <c r="AB15" s="693"/>
      <c r="AC15" s="678"/>
      <c r="AD15" s="586"/>
      <c r="AE15" s="586"/>
      <c r="AF15" s="586"/>
      <c r="AG15" s="586"/>
      <c r="AH15" s="505"/>
      <c r="AI15" s="585"/>
    </row>
    <row r="16" ht="30" customHeight="1">
      <c r="A16" s="504"/>
      <c r="B16" s="586"/>
      <c r="C16" s="586"/>
      <c r="D16" s="586"/>
      <c r="E16" s="586"/>
      <c r="F16" s="586"/>
      <c r="G16" t="s" s="667">
        <f>IF(VLOOKUP($E30,'BDD'!$A$2:$N$567,14,FALSE)=0,"",VLOOKUP($E30,'BDD'!$A$2:$N$567,14,FALSE))</f>
        <v>279</v>
      </c>
      <c r="H16" s="694"/>
      <c r="I16" s="587"/>
      <c r="J16" s="25"/>
      <c r="K16" s="661"/>
      <c r="L16" s="706"/>
      <c r="M16" s="707"/>
      <c r="N16" s="708"/>
      <c r="O16" s="709"/>
      <c r="P16" s="709"/>
      <c r="Q16" s="709"/>
      <c r="R16" s="709"/>
      <c r="S16" s="709"/>
      <c r="T16" s="709"/>
      <c r="U16" s="709"/>
      <c r="V16" s="709"/>
      <c r="W16" s="710"/>
      <c r="X16" s="708"/>
      <c r="Y16" s="709"/>
      <c r="Z16" s="711"/>
      <c r="AA16" s="711"/>
      <c r="AB16" s="712"/>
      <c r="AC16" s="678"/>
      <c r="AD16" s="586"/>
      <c r="AE16" s="586"/>
      <c r="AF16" s="586"/>
      <c r="AG16" s="586"/>
      <c r="AH16" s="505"/>
      <c r="AI16" s="585"/>
    </row>
    <row r="17" ht="56.4" customHeight="1">
      <c r="A17" s="504"/>
      <c r="B17" s="586"/>
      <c r="C17" s="586"/>
      <c r="D17" s="586"/>
      <c r="E17" s="586"/>
      <c r="F17" s="586"/>
      <c r="G17" t="s" s="667">
        <f>IF(VLOOKUP($E31,'BDD'!$A$2:$N$567,14,FALSE)=0,"",VLOOKUP($E31,'BDD'!$A$2:$N$567,14,FALSE))</f>
      </c>
      <c r="H17" s="694"/>
      <c r="I17" s="587"/>
      <c r="J17" s="25"/>
      <c r="K17" s="694"/>
      <c r="L17" s="713"/>
      <c r="M17" s="714"/>
      <c r="N17" s="715"/>
      <c r="O17" s="715"/>
      <c r="P17" s="715"/>
      <c r="Q17" s="715"/>
      <c r="R17" s="715"/>
      <c r="S17" s="716"/>
      <c r="T17" s="716"/>
      <c r="U17" s="716"/>
      <c r="V17" s="716"/>
      <c r="W17" s="716"/>
      <c r="X17" s="716"/>
      <c r="Y17" s="716"/>
      <c r="Z17" s="716"/>
      <c r="AA17" s="716"/>
      <c r="AB17" s="716"/>
      <c r="AC17" s="586"/>
      <c r="AD17" s="586"/>
      <c r="AE17" s="586"/>
      <c r="AF17" s="586"/>
      <c r="AG17" s="586"/>
      <c r="AH17" s="505"/>
      <c r="AI17" s="585"/>
    </row>
    <row r="18" ht="56.4" customHeight="1" hidden="1">
      <c r="A18" s="504"/>
      <c r="B18" s="586"/>
      <c r="C18" s="586"/>
      <c r="D18" s="586"/>
      <c r="E18" s="586"/>
      <c r="F18" s="586"/>
      <c r="G18" s="717"/>
      <c r="H18" s="694"/>
      <c r="I18" s="587"/>
      <c r="J18" s="25"/>
      <c r="K18" s="694"/>
      <c r="L18" s="694"/>
      <c r="M18" s="587"/>
      <c r="N18" s="718"/>
      <c r="O18" s="718"/>
      <c r="P18" s="718"/>
      <c r="Q18" s="718"/>
      <c r="R18" s="718"/>
      <c r="S18" s="586"/>
      <c r="T18" s="586"/>
      <c r="U18" s="586"/>
      <c r="V18" s="586"/>
      <c r="W18" s="586"/>
      <c r="X18" s="586"/>
      <c r="Y18" s="586"/>
      <c r="Z18" s="586"/>
      <c r="AA18" s="586"/>
      <c r="AB18" s="586"/>
      <c r="AC18" s="586"/>
      <c r="AD18" s="586"/>
      <c r="AE18" s="586"/>
      <c r="AF18" s="586"/>
      <c r="AG18" s="586"/>
      <c r="AH18" s="505"/>
      <c r="AI18" s="585"/>
    </row>
    <row r="19" ht="56.4" customHeight="1" hidden="1">
      <c r="A19" s="504"/>
      <c r="B19" s="586"/>
      <c r="C19" s="586"/>
      <c r="D19" s="586"/>
      <c r="E19" s="586"/>
      <c r="F19" s="586"/>
      <c r="G19" s="717"/>
      <c r="H19" s="694"/>
      <c r="I19" s="587"/>
      <c r="J19" s="25"/>
      <c r="K19" s="694"/>
      <c r="L19" s="694"/>
      <c r="M19" s="587"/>
      <c r="N19" s="718"/>
      <c r="O19" s="718"/>
      <c r="P19" s="718"/>
      <c r="Q19" s="718"/>
      <c r="R19" s="718"/>
      <c r="S19" s="586"/>
      <c r="T19" s="586"/>
      <c r="U19" s="586"/>
      <c r="V19" s="586"/>
      <c r="W19" s="586"/>
      <c r="X19" s="586"/>
      <c r="Y19" s="586"/>
      <c r="Z19" s="586"/>
      <c r="AA19" s="586"/>
      <c r="AB19" s="586"/>
      <c r="AC19" s="586"/>
      <c r="AD19" s="586"/>
      <c r="AE19" s="586"/>
      <c r="AF19" s="586"/>
      <c r="AG19" s="586"/>
      <c r="AH19" s="505"/>
      <c r="AI19" s="585"/>
    </row>
    <row r="20" ht="30" customHeight="1">
      <c r="A20" s="504"/>
      <c r="B20" s="586"/>
      <c r="C20" s="586"/>
      <c r="D20" s="586"/>
      <c r="E20" s="586"/>
      <c r="F20" s="586"/>
      <c r="G20" s="717"/>
      <c r="H20" s="694"/>
      <c r="I20" s="587"/>
      <c r="J20" s="25"/>
      <c r="K20" s="694"/>
      <c r="L20" s="694"/>
      <c r="M20" s="719"/>
      <c r="N20" t="s" s="720">
        <v>1831</v>
      </c>
      <c r="O20" s="721">
        <f>COUNTIF(N27:N100,"Non renseigné")</f>
        <v>29</v>
      </c>
      <c r="P20" s="722"/>
      <c r="Q20" s="722"/>
      <c r="R20" s="723"/>
      <c r="S20" s="724"/>
      <c r="T20" s="586"/>
      <c r="U20" s="586"/>
      <c r="V20" s="586"/>
      <c r="W20" s="586"/>
      <c r="X20" s="586"/>
      <c r="Y20" s="586"/>
      <c r="Z20" s="586"/>
      <c r="AA20" s="586"/>
      <c r="AB20" s="586"/>
      <c r="AC20" s="586"/>
      <c r="AD20" s="586"/>
      <c r="AE20" s="586"/>
      <c r="AF20" s="586"/>
      <c r="AG20" s="586"/>
      <c r="AH20" s="505"/>
      <c r="AI20" s="585"/>
    </row>
    <row r="21" ht="30" customHeight="1">
      <c r="A21" s="504"/>
      <c r="B21" s="586"/>
      <c r="C21" s="586"/>
      <c r="D21" s="586"/>
      <c r="E21" s="586"/>
      <c r="F21" s="25"/>
      <c r="G21" t="s" s="667">
        <f>IF(VLOOKUP($E32,'BDD'!$A$2:$N$567,14,FALSE)=0,"",VLOOKUP($E32,'BDD'!$A$2:$N$567,14,FALSE))</f>
      </c>
      <c r="H21" s="694"/>
      <c r="I21" s="694"/>
      <c r="J21" s="25"/>
      <c r="K21" s="694"/>
      <c r="L21" s="694"/>
      <c r="M21" s="719"/>
      <c r="N21" t="s" s="725">
        <v>1832</v>
      </c>
      <c r="O21" s="726">
        <f>COUNTIF($N$27:$N$78,"Non évalué")</f>
        <v>0</v>
      </c>
      <c r="P21" s="727"/>
      <c r="Q21" s="727"/>
      <c r="R21" s="728"/>
      <c r="S21" s="724"/>
      <c r="T21" s="586"/>
      <c r="U21" s="586"/>
      <c r="V21" s="586"/>
      <c r="W21" s="586"/>
      <c r="X21" s="586"/>
      <c r="Y21" s="586"/>
      <c r="Z21" s="586"/>
      <c r="AA21" s="586"/>
      <c r="AB21" s="586"/>
      <c r="AC21" s="586"/>
      <c r="AD21" s="586"/>
      <c r="AE21" s="586"/>
      <c r="AF21" s="586"/>
      <c r="AG21" s="586"/>
      <c r="AH21" s="505"/>
      <c r="AI21" s="585"/>
    </row>
    <row r="22" ht="50.4" customHeight="1">
      <c r="A22" s="504"/>
      <c r="B22" s="586"/>
      <c r="C22" s="586"/>
      <c r="D22" s="586"/>
      <c r="E22" s="586"/>
      <c r="F22" s="729"/>
      <c r="G22" t="s" s="667">
        <f>IF(VLOOKUP($E33,'BDD'!$A$2:$N$567,14,FALSE)=0,"",VLOOKUP($E33,'BDD'!$A$2:$N$567,14,FALSE))</f>
      </c>
      <c r="H22" s="730"/>
      <c r="I22" s="730"/>
      <c r="J22" s="730"/>
      <c r="K22" s="730"/>
      <c r="L22" s="731"/>
      <c r="M22" s="719"/>
      <c r="N22" t="s" s="732">
        <v>1833</v>
      </c>
      <c r="O22" s="733">
        <v>0</v>
      </c>
      <c r="P22" s="734"/>
      <c r="Q22" s="734"/>
      <c r="R22" s="734"/>
      <c r="S22" s="586"/>
      <c r="T22" s="586"/>
      <c r="U22" s="586"/>
      <c r="V22" s="586"/>
      <c r="W22" s="586"/>
      <c r="X22" s="586"/>
      <c r="Y22" s="586"/>
      <c r="Z22" s="586"/>
      <c r="AA22" s="586"/>
      <c r="AB22" s="586"/>
      <c r="AC22" s="586"/>
      <c r="AD22" s="586"/>
      <c r="AE22" s="586"/>
      <c r="AF22" s="586"/>
      <c r="AG22" s="586"/>
      <c r="AH22" t="s" s="735">
        <v>171</v>
      </c>
      <c r="AI22" s="585"/>
    </row>
    <row r="23" ht="30" customHeight="1">
      <c r="A23" s="504"/>
      <c r="B23" s="586"/>
      <c r="C23" s="25"/>
      <c r="D23" s="586"/>
      <c r="E23" s="586"/>
      <c r="F23" s="586"/>
      <c r="G23" s="736"/>
      <c r="H23" t="s" s="737">
        <v>245</v>
      </c>
      <c r="I23" s="738"/>
      <c r="J23" s="739"/>
      <c r="K23" s="739"/>
      <c r="L23" s="740"/>
      <c r="M23" s="741"/>
      <c r="N23" s="742"/>
      <c r="O23" s="743"/>
      <c r="P23" s="730"/>
      <c r="Q23" s="730"/>
      <c r="R23" s="730"/>
      <c r="S23" s="730"/>
      <c r="T23" s="730"/>
      <c r="U23" s="730"/>
      <c r="V23" s="730"/>
      <c r="W23" s="586"/>
      <c r="X23" s="586"/>
      <c r="Y23" s="586"/>
      <c r="Z23" s="586"/>
      <c r="AA23" s="586"/>
      <c r="AB23" s="586"/>
      <c r="AC23" s="586"/>
      <c r="AD23" s="586"/>
      <c r="AE23" s="586"/>
      <c r="AF23" s="586"/>
      <c r="AG23" s="586"/>
      <c r="AH23" s="505"/>
      <c r="AI23" s="585"/>
    </row>
    <row r="24" ht="39.6" customHeight="1">
      <c r="A24" s="504"/>
      <c r="B24" s="586"/>
      <c r="C24" t="s" s="744">
        <v>10</v>
      </c>
      <c r="D24" t="s" s="745">
        <v>1745</v>
      </c>
      <c r="E24" t="s" s="745">
        <v>1834</v>
      </c>
      <c r="F24" s="746"/>
      <c r="G24" t="s" s="747">
        <v>244</v>
      </c>
      <c r="H24" t="s" s="747">
        <v>283</v>
      </c>
      <c r="I24" t="s" s="747">
        <v>263</v>
      </c>
      <c r="J24" t="s" s="747">
        <v>271</v>
      </c>
      <c r="K24" t="s" s="747">
        <v>291</v>
      </c>
      <c r="L24" t="s" s="747">
        <v>256</v>
      </c>
      <c r="M24" s="748"/>
      <c r="N24" t="s" s="747">
        <v>1764</v>
      </c>
      <c r="O24" t="s" s="749">
        <v>22</v>
      </c>
      <c r="P24" s="750"/>
      <c r="Q24" s="750"/>
      <c r="R24" s="750"/>
      <c r="S24" t="s" s="751">
        <v>223</v>
      </c>
      <c r="T24" s="750"/>
      <c r="U24" s="750"/>
      <c r="V24" s="752"/>
      <c r="W24" s="724"/>
      <c r="X24" s="586"/>
      <c r="Y24" s="586"/>
      <c r="Z24" s="586"/>
      <c r="AA24" s="586"/>
      <c r="AB24" s="586"/>
      <c r="AC24" s="586"/>
      <c r="AD24" s="586"/>
      <c r="AE24" s="586"/>
      <c r="AF24" s="586"/>
      <c r="AG24" s="586"/>
      <c r="AH24" s="505"/>
      <c r="AI24" s="585"/>
    </row>
    <row r="25" ht="30" customHeight="1">
      <c r="A25" s="504"/>
      <c r="B25" s="753"/>
      <c r="C25" t="s" s="754">
        <f>IF(LEFT(RIGHT($B$1,2),1)=" ",RIGHT($B$1,1),RIGHT($B$1,2))</f>
        <v>1761</v>
      </c>
      <c r="D25" s="755">
        <f>IF(LEFT(F25,5)="Bonne",B23+1,D24)</f>
        <v>1</v>
      </c>
      <c r="E25" s="756"/>
      <c r="F25" t="s" s="757">
        <v>1762</v>
      </c>
      <c r="G25" t="s" s="758">
        <f>VLOOKUP(E27,'BDD'!$A$2:$N$567,6,FALSE)</f>
        <v>252</v>
      </c>
      <c r="H25" s="759"/>
      <c r="I25" s="760"/>
      <c r="J25" s="760"/>
      <c r="K25" s="760"/>
      <c r="L25" s="761"/>
      <c r="M25" s="762"/>
      <c r="N25" s="763"/>
      <c r="O25" s="764">
        <v>0</v>
      </c>
      <c r="P25" s="764"/>
      <c r="Q25" s="764"/>
      <c r="R25" s="764"/>
      <c r="S25" s="765">
        <f>_xlfn.SUMIFS(S1:S100,$D1:$D100,D25,$N1:$N100,"Exigences"&amp;"*")</f>
      </c>
      <c r="T25" s="765"/>
      <c r="U25" s="765"/>
      <c r="V25" s="766"/>
      <c r="W25" s="767"/>
      <c r="X25" s="586"/>
      <c r="Y25" s="586"/>
      <c r="Z25" s="586"/>
      <c r="AA25" s="586"/>
      <c r="AB25" s="586"/>
      <c r="AC25" s="586"/>
      <c r="AD25" s="586"/>
      <c r="AE25" s="586"/>
      <c r="AF25" s="586"/>
      <c r="AG25" s="586"/>
      <c r="AH25" s="505"/>
      <c r="AI25" s="585"/>
    </row>
    <row r="26" ht="30" customHeight="1">
      <c r="A26" s="504"/>
      <c r="B26" s="753"/>
      <c r="C26" t="s" s="754">
        <f>IF(LEFT(RIGHT($B$1,2),1)=" ",RIGHT($B$1,1),RIGHT($B$1,2))</f>
        <v>1761</v>
      </c>
      <c r="D26" s="755">
        <f>IF(LEFT(F26,5)="Bonne",D24+1,D25)</f>
        <v>1</v>
      </c>
      <c r="E26" s="768"/>
      <c r="F26" t="s" s="769">
        <v>1835</v>
      </c>
      <c r="G26" t="s" s="770">
        <f>VLOOKUP(E28,'BDD'!$A$2:$N$567,7,FALSE)</f>
        <v>1836</v>
      </c>
      <c r="H26" s="771"/>
      <c r="I26" s="771"/>
      <c r="J26" s="771"/>
      <c r="K26" s="771"/>
      <c r="L26" s="772"/>
      <c r="M26" s="773"/>
      <c r="N26" s="774"/>
      <c r="O26" s="775"/>
      <c r="P26" s="775"/>
      <c r="Q26" s="775"/>
      <c r="R26" s="775"/>
      <c r="S26" s="776"/>
      <c r="T26" s="776"/>
      <c r="U26" s="776"/>
      <c r="V26" s="777"/>
      <c r="W26" s="767"/>
      <c r="X26" s="586"/>
      <c r="Y26" s="586"/>
      <c r="Z26" s="586"/>
      <c r="AA26" s="586"/>
      <c r="AB26" s="586"/>
      <c r="AC26" s="586"/>
      <c r="AD26" s="586"/>
      <c r="AE26" s="586"/>
      <c r="AF26" s="586"/>
      <c r="AG26" s="586"/>
      <c r="AH26" s="505"/>
      <c r="AI26" s="585"/>
    </row>
    <row r="27" ht="30" customHeight="1">
      <c r="A27" s="504"/>
      <c r="B27" s="753"/>
      <c r="C27" t="s" s="754">
        <f>IF(LEFT(RIGHT($B$1,2),1)=" ",RIGHT($B$1,1),RIGHT($B$1,2))</f>
        <v>1761</v>
      </c>
      <c r="D27" s="755">
        <f>IF(LEFT(F27,5)="Bonne",D25+1,D26)</f>
        <v>1</v>
      </c>
      <c r="E27" t="s" s="778">
        <f>C27&amp;D27&amp;RIGHT(F27,1)</f>
        <v>1768</v>
      </c>
      <c r="F27" t="s" s="779">
        <v>1769</v>
      </c>
      <c r="G27" t="s" s="780">
        <f>VLOOKUP(E27,'BDD'!$A$2:$N$567,MATCH(G$24,'BDD'!$A$1:$P$1,0),FALSE)</f>
        <v>255</v>
      </c>
      <c r="H27" s="781"/>
      <c r="I27" s="782"/>
      <c r="J27" s="782"/>
      <c r="K27" s="782"/>
      <c r="L27" t="s" s="783">
        <v>256</v>
      </c>
      <c r="M27" s="784">
        <f>IF(N27="Exigences partiellement respectées",1,IF(N27="Exigences respectées",2,0))</f>
        <v>0</v>
      </c>
      <c r="N27" t="s" s="780">
        <f>VLOOKUP(VLOOKUP(E27,'BDD'!$A$2:$P$428,15,FALSE),'Suppl'!$D$64:$E$68,2,FALSE)</f>
        <v>1751</v>
      </c>
      <c r="O27" s="785"/>
      <c r="P27" s="786"/>
      <c r="Q27" s="786"/>
      <c r="R27" s="786"/>
      <c r="S27" s="787">
        <f>IF(N27='Suppl'!$E$65,0,IF(N27='Suppl'!$E$66,1/2/(_xlfn.COUNTIFS($D1:$D100,D27,$N1:$N100,"Exigences"&amp;"*",G1:G100,"&lt;&gt;0")+_xlfn.COUNTIFS($D1:$D100,D27,$N1:$N100,"Non"&amp;"*",G1:G100,"&lt;&gt;0")),IF(N27='Suppl'!$E$67,1/(_xlfn.COUNTIFS($D1:$D100,D27,$N1:$N100,"Exigences"&amp;"*",G1:G100,"&lt;&gt;0")+_xlfn.COUNTIFS($D1:$D100,D27,$N1:$N100,"Non"&amp;"*",G1:G100,"&lt;&gt;0")),0)))</f>
        <v>0</v>
      </c>
      <c r="T27" s="787"/>
      <c r="U27" s="787"/>
      <c r="V27" s="788"/>
      <c r="W27" s="789">
        <f>_xlfn.IFERROR(IF(N27='Suppl'!$E$65,0,IF(N27='Suppl'!$E$66,1/2/(_xlfn.COUNTIFS($N1:$N100,"Exigences"&amp;"*")+_xlfn.COUNTIFS($N1:$N100,"Non"&amp;"*")),IF(N27='Suppl'!$E$67,1/(_xlfn.COUNTIFS($N1:$N100,"Exigences"&amp;"*")+_xlfn.COUNTIFS($N1:$N100,"Non"&amp;"*")),0))),0)</f>
        <v>0</v>
      </c>
      <c r="X27" s="586"/>
      <c r="Y27" s="586"/>
      <c r="Z27" s="586"/>
      <c r="AA27" s="586"/>
      <c r="AB27" s="586"/>
      <c r="AC27" s="586"/>
      <c r="AD27" s="586"/>
      <c r="AE27" s="586"/>
      <c r="AF27" s="586"/>
      <c r="AG27" s="586"/>
      <c r="AH27" s="505"/>
      <c r="AI27" s="585"/>
    </row>
    <row r="28" ht="30" customHeight="1">
      <c r="A28" s="504"/>
      <c r="B28" s="753"/>
      <c r="C28" t="s" s="754">
        <f>IF(LEFT(RIGHT($B$1,2),1)=" ",RIGHT($B$1,1),RIGHT($B$1,2))</f>
        <v>1761</v>
      </c>
      <c r="D28" s="755">
        <f>IF(LEFT(F28,5)="Bonne",D26+1,D27)</f>
        <v>1</v>
      </c>
      <c r="E28" t="s" s="778">
        <f>C28&amp;D28&amp;RIGHT(F28,1)</f>
        <v>1771</v>
      </c>
      <c r="F28" t="s" s="790">
        <v>1837</v>
      </c>
      <c r="G28" t="s" s="791">
        <f>VLOOKUP(E28,'BDD'!$A$2:$N$567,MATCH(G$24,'BDD'!$A$1:$P$1,0),FALSE)</f>
        <v>262</v>
      </c>
      <c r="H28" s="781"/>
      <c r="I28" t="s" s="792">
        <v>263</v>
      </c>
      <c r="J28" s="782"/>
      <c r="K28" s="782"/>
      <c r="L28" s="793"/>
      <c r="M28" s="794">
        <f>IF(N28="Exigences partiellement respectées",1,IF(N28="Exigences respectées",2,0))</f>
        <v>0</v>
      </c>
      <c r="N28" t="s" s="791">
        <f>VLOOKUP(VLOOKUP(E28,'BDD'!$A$2:$P$428,15,FALSE),'Suppl'!$D$64:$E$68,2,FALSE)</f>
        <v>1751</v>
      </c>
      <c r="O28" s="795"/>
      <c r="P28" s="796"/>
      <c r="Q28" s="796"/>
      <c r="R28" s="796"/>
      <c r="S28" s="797">
        <f>IF(N28='Suppl'!$E$65,0,IF(N28='Suppl'!$E$66,1/2/(_xlfn.COUNTIFS($D1:$D100,D28,$N1:$N100,"Exigences"&amp;"*",G1:G100,"&lt;&gt;0")+_xlfn.COUNTIFS($D1:$D100,D28,$N1:$N100,"Non"&amp;"*",G1:G100,"&lt;&gt;0")),IF(N28='Suppl'!$E$67,1/(_xlfn.COUNTIFS($D1:$D100,D28,$N1:$N100,"Exigences"&amp;"*",G1:G100,"&lt;&gt;0")+_xlfn.COUNTIFS($D1:$D100,D28,$N1:$N100,"Non"&amp;"*",G1:G100,"&lt;&gt;0")),0)))</f>
        <v>0</v>
      </c>
      <c r="T28" s="797"/>
      <c r="U28" s="797"/>
      <c r="V28" s="798"/>
      <c r="W28" s="789">
        <f>_xlfn.IFERROR(IF(N28='Suppl'!$E$65,0,IF(N28='Suppl'!$E$66,1/2/(_xlfn.COUNTIFS($N1:$N100,"Exigences"&amp;"*")+_xlfn.COUNTIFS($N1:$N100,"Non"&amp;"*")),IF(N28='Suppl'!$E$67,1/(_xlfn.COUNTIFS($N1:$N100,"Exigences"&amp;"*")+_xlfn.COUNTIFS($N1:$N100,"Non"&amp;"*")),0))),0)</f>
        <v>0</v>
      </c>
      <c r="X28" s="586"/>
      <c r="Y28" s="586"/>
      <c r="Z28" s="586"/>
      <c r="AA28" s="586"/>
      <c r="AB28" s="586"/>
      <c r="AC28" s="586"/>
      <c r="AD28" s="586"/>
      <c r="AE28" s="586"/>
      <c r="AF28" s="586"/>
      <c r="AG28" s="586"/>
      <c r="AH28" s="505"/>
      <c r="AI28" s="585"/>
    </row>
    <row r="29" ht="30" customHeight="1">
      <c r="A29" s="504"/>
      <c r="B29" s="753"/>
      <c r="C29" t="s" s="754">
        <f>IF(LEFT(RIGHT($B$1,2),1)=" ",RIGHT($B$1,1),RIGHT($B$1,2))</f>
        <v>1761</v>
      </c>
      <c r="D29" s="755">
        <f>IF(LEFT(F29,5)="Bonne",D27+1,D28)</f>
        <v>1</v>
      </c>
      <c r="E29" t="s" s="778">
        <f>C29&amp;D29&amp;RIGHT(F29,1)</f>
        <v>1773</v>
      </c>
      <c r="F29" t="s" s="779">
        <v>1774</v>
      </c>
      <c r="G29" t="s" s="780">
        <f>VLOOKUP(E29,'BDD'!$A$2:$N$567,MATCH(G$24,'BDD'!$A$1:$P$1,0),FALSE)</f>
        <v>270</v>
      </c>
      <c r="H29" s="781"/>
      <c r="I29" s="782"/>
      <c r="J29" t="s" s="792">
        <v>271</v>
      </c>
      <c r="K29" s="782"/>
      <c r="L29" s="793"/>
      <c r="M29" s="794">
        <f>IF(N29="Exigences partiellement respectées",1,IF(N29="Exigences respectées",2,0))</f>
        <v>0</v>
      </c>
      <c r="N29" t="s" s="780">
        <f>VLOOKUP(VLOOKUP(E29,'BDD'!$A$2:$P$428,15,FALSE),'Suppl'!$D$64:$E$68,2,FALSE)</f>
        <v>1751</v>
      </c>
      <c r="O29" s="795"/>
      <c r="P29" s="796"/>
      <c r="Q29" s="796"/>
      <c r="R29" s="796"/>
      <c r="S29" s="797">
        <f>IF(N29='Suppl'!$E$65,0,IF(N29='Suppl'!$E$66,1/2/(_xlfn.COUNTIFS($D1:$D100,D29,$N1:$N100,"Exigences"&amp;"*",G1:G100,"&lt;&gt;0")+_xlfn.COUNTIFS($D1:$D100,D29,$N1:$N100,"Non"&amp;"*",G1:G100,"&lt;&gt;0")),IF(N29='Suppl'!$E$67,1/(_xlfn.COUNTIFS($D1:$D100,D29,$N1:$N100,"Exigences"&amp;"*",G1:G100,"&lt;&gt;0")+_xlfn.COUNTIFS($D1:$D100,D29,$N1:$N100,"Non"&amp;"*",G1:G100,"&lt;&gt;0")),0)))</f>
        <v>0</v>
      </c>
      <c r="T29" s="797"/>
      <c r="U29" s="797"/>
      <c r="V29" s="798"/>
      <c r="W29" s="789">
        <f>_xlfn.IFERROR(IF(N29='Suppl'!$E$65,0,IF(N29='Suppl'!$E$66,1/2/(_xlfn.COUNTIFS($N1:$N100,"Exigences"&amp;"*")+_xlfn.COUNTIFS($N1:$N100,"Non"&amp;"*")),IF(N29='Suppl'!$E$67,1/(_xlfn.COUNTIFS($N1:$N100,"Exigences"&amp;"*")+_xlfn.COUNTIFS($N1:$N100,"Non"&amp;"*")),0))),0)</f>
        <v>0</v>
      </c>
      <c r="X29" s="586"/>
      <c r="Y29" s="586"/>
      <c r="Z29" s="586"/>
      <c r="AA29" s="586"/>
      <c r="AB29" s="586"/>
      <c r="AC29" s="586"/>
      <c r="AD29" s="586"/>
      <c r="AE29" s="586"/>
      <c r="AF29" s="586"/>
      <c r="AG29" s="586"/>
      <c r="AH29" s="505"/>
      <c r="AI29" s="585"/>
    </row>
    <row r="30" ht="30" customHeight="1">
      <c r="A30" s="504"/>
      <c r="B30" s="753"/>
      <c r="C30" t="s" s="754">
        <f>IF(LEFT(RIGHT($B$1,2),1)=" ",RIGHT($B$1,1),RIGHT($B$1,2))</f>
        <v>1761</v>
      </c>
      <c r="D30" s="755">
        <f>IF(LEFT(F30,5)="Bonne",D28+1,D29)</f>
        <v>1</v>
      </c>
      <c r="E30" t="s" s="778">
        <f>C30&amp;D30&amp;RIGHT(F30,1)</f>
        <v>1775</v>
      </c>
      <c r="F30" t="s" s="790">
        <v>1776</v>
      </c>
      <c r="G30" t="s" s="791">
        <f>VLOOKUP(E30,'BDD'!$A$2:$N$567,MATCH(G$24,'BDD'!$A$1:$P$1,0),FALSE)</f>
        <v>277</v>
      </c>
      <c r="H30" s="781"/>
      <c r="I30" s="782"/>
      <c r="J30" t="s" s="792">
        <v>271</v>
      </c>
      <c r="K30" s="782"/>
      <c r="L30" s="793"/>
      <c r="M30" s="794">
        <f>IF(N30="Exigences partiellement respectées",1,IF(N30="Exigences respectées",2,0))</f>
        <v>0</v>
      </c>
      <c r="N30" t="s" s="791">
        <f>VLOOKUP(VLOOKUP(E30,'BDD'!$A$2:$P$428,15,FALSE),'Suppl'!$D$64:$E$68,2,FALSE)</f>
        <v>1751</v>
      </c>
      <c r="O30" s="795"/>
      <c r="P30" s="796"/>
      <c r="Q30" s="796"/>
      <c r="R30" s="796"/>
      <c r="S30" s="797">
        <f>IF(N30='Suppl'!$E$65,0,IF(N30='Suppl'!$E$66,1/2/(_xlfn.COUNTIFS($D1:$D100,D30,$N1:$N100,"Exigences"&amp;"*",G1:G100,"&lt;&gt;0")+_xlfn.COUNTIFS($D1:$D100,D30,$N1:$N100,"Non"&amp;"*",G1:G100,"&lt;&gt;0")),IF(N30='Suppl'!$E$67,1/(_xlfn.COUNTIFS($D1:$D100,D30,$N1:$N100,"Exigences"&amp;"*",G1:G100,"&lt;&gt;0")+_xlfn.COUNTIFS($D1:$D100,D30,$N1:$N100,"Non"&amp;"*",G1:G100,"&lt;&gt;0")),0)))</f>
        <v>0</v>
      </c>
      <c r="T30" s="797"/>
      <c r="U30" s="797"/>
      <c r="V30" s="798"/>
      <c r="W30" s="789">
        <f>_xlfn.IFERROR(IF(N30='Suppl'!$E$65,0,IF(N30='Suppl'!$E$66,1/2/(_xlfn.COUNTIFS($N1:$N100,"Exigences"&amp;"*")+_xlfn.COUNTIFS($N1:$N100,"Non"&amp;"*")),IF(N30='Suppl'!$E$67,1/(_xlfn.COUNTIFS($N1:$N100,"Exigences"&amp;"*")+_xlfn.COUNTIFS($N1:$N100,"Non"&amp;"*")),0))),0)</f>
        <v>0</v>
      </c>
      <c r="X30" s="586"/>
      <c r="Y30" s="586"/>
      <c r="Z30" s="586"/>
      <c r="AA30" s="586"/>
      <c r="AB30" s="586"/>
      <c r="AC30" s="586"/>
      <c r="AD30" s="586"/>
      <c r="AE30" s="586"/>
      <c r="AF30" s="586"/>
      <c r="AG30" s="586"/>
      <c r="AH30" s="505"/>
      <c r="AI30" s="585"/>
    </row>
    <row r="31" ht="30" customHeight="1">
      <c r="A31" s="504"/>
      <c r="B31" s="753"/>
      <c r="C31" t="s" s="754">
        <f>IF(LEFT(RIGHT($B$1,2),1)=" ",RIGHT($B$1,1),RIGHT($B$1,2))</f>
        <v>1761</v>
      </c>
      <c r="D31" s="755">
        <f>IF(LEFT(F31,5)="Bonne",D29+1,D30)</f>
        <v>1</v>
      </c>
      <c r="E31" t="s" s="778">
        <f>C31&amp;D31&amp;RIGHT(F31,1)</f>
        <v>1777</v>
      </c>
      <c r="F31" t="s" s="779">
        <v>1778</v>
      </c>
      <c r="G31" t="s" s="780">
        <f>VLOOKUP(E31,'BDD'!$A$2:$N$567,MATCH(G$24,'BDD'!$A$1:$P$1,0),FALSE)</f>
        <v>282</v>
      </c>
      <c r="H31" t="s" s="799">
        <v>283</v>
      </c>
      <c r="I31" s="782"/>
      <c r="J31" s="782"/>
      <c r="K31" s="782"/>
      <c r="L31" s="793"/>
      <c r="M31" s="794">
        <f>IF(N31="Exigences partiellement respectées",1,IF(N31="Exigences respectées",2,0))</f>
        <v>0</v>
      </c>
      <c r="N31" t="s" s="780">
        <f>VLOOKUP(VLOOKUP(E31,'BDD'!$A$2:$P$428,15,FALSE),'Suppl'!$D$64:$E$68,2,FALSE)</f>
        <v>1751</v>
      </c>
      <c r="O31" s="795"/>
      <c r="P31" s="796"/>
      <c r="Q31" s="796"/>
      <c r="R31" s="796"/>
      <c r="S31" s="797">
        <f>IF(N31='Suppl'!$E$65,0,IF(N31='Suppl'!$E$66,1/2/(_xlfn.COUNTIFS($D1:$D100,D31,$N1:$N100,"Exigences"&amp;"*",G1:G100,"&lt;&gt;0")+_xlfn.COUNTIFS($D1:$D100,D31,$N1:$N100,"Non"&amp;"*",G1:G100,"&lt;&gt;0")),IF(N31='Suppl'!$E$67,1/(_xlfn.COUNTIFS($D1:$D100,D31,$N1:$N100,"Exigences"&amp;"*",G1:G100,"&lt;&gt;0")+_xlfn.COUNTIFS($D1:$D100,D31,$N1:$N100,"Non"&amp;"*",G1:G100,"&lt;&gt;0")),0)))</f>
        <v>0</v>
      </c>
      <c r="T31" s="797"/>
      <c r="U31" s="797"/>
      <c r="V31" s="798"/>
      <c r="W31" s="789">
        <f>_xlfn.IFERROR(IF(N31='Suppl'!$E$65,0,IF(N31='Suppl'!$E$66,1/2/(_xlfn.COUNTIFS($N1:$N100,"Exigences"&amp;"*")+_xlfn.COUNTIFS($N1:$N100,"Non"&amp;"*")),IF(N31='Suppl'!$E$67,1/(_xlfn.COUNTIFS($N1:$N100,"Exigences"&amp;"*")+_xlfn.COUNTIFS($N1:$N100,"Non"&amp;"*")),0))),0)</f>
        <v>0</v>
      </c>
      <c r="X31" s="586"/>
      <c r="Y31" s="586"/>
      <c r="Z31" s="586"/>
      <c r="AA31" s="586"/>
      <c r="AB31" s="586"/>
      <c r="AC31" s="586"/>
      <c r="AD31" s="586"/>
      <c r="AE31" s="586"/>
      <c r="AF31" s="586"/>
      <c r="AG31" s="586"/>
      <c r="AH31" s="505"/>
      <c r="AI31" s="585"/>
    </row>
    <row r="32" ht="30" customHeight="1">
      <c r="A32" s="504"/>
      <c r="B32" s="753"/>
      <c r="C32" t="s" s="754">
        <f>IF(LEFT(RIGHT($B$1,2),1)=" ",RIGHT($B$1,1),RIGHT($B$1,2))</f>
        <v>1761</v>
      </c>
      <c r="D32" s="755">
        <f>IF(LEFT(F32,5)="Bonne",D30+1,D31)</f>
        <v>1</v>
      </c>
      <c r="E32" t="s" s="778">
        <f>C32&amp;D32&amp;RIGHT(F32,1)</f>
        <v>1779</v>
      </c>
      <c r="F32" t="s" s="790">
        <v>1780</v>
      </c>
      <c r="G32" t="s" s="791">
        <f>VLOOKUP(E32,'BDD'!$A$2:$N$567,MATCH(G$24,'BDD'!$A$1:$P$1,0),FALSE)</f>
        <v>286</v>
      </c>
      <c r="H32" s="781"/>
      <c r="I32" s="782"/>
      <c r="J32" t="s" s="792">
        <v>271</v>
      </c>
      <c r="K32" s="782"/>
      <c r="L32" s="793"/>
      <c r="M32" s="794">
        <f>IF(N32="Exigences partiellement respectées",1,IF(N32="Exigences respectées",2,0))</f>
        <v>0</v>
      </c>
      <c r="N32" t="s" s="791">
        <f>VLOOKUP(VLOOKUP(E32,'BDD'!$A$2:$P$428,15,FALSE),'Suppl'!$D$64:$E$68,2,FALSE)</f>
        <v>1751</v>
      </c>
      <c r="O32" s="795"/>
      <c r="P32" s="796"/>
      <c r="Q32" s="796"/>
      <c r="R32" s="796"/>
      <c r="S32" s="797">
        <f>IF(N32='Suppl'!$E$65,0,IF(N32='Suppl'!$E$66,1/2/(_xlfn.COUNTIFS($D1:$D100,D32,$N1:$N100,"Exigences"&amp;"*",G1:G100,"&lt;&gt;0")+_xlfn.COUNTIFS($D1:$D100,D32,$N1:$N100,"Non"&amp;"*",G1:G100,"&lt;&gt;0")),IF(N32='Suppl'!$E$67,1/(_xlfn.COUNTIFS($D1:$D100,D32,$N1:$N100,"Exigences"&amp;"*",G1:G100,"&lt;&gt;0")+_xlfn.COUNTIFS($D1:$D100,D32,$N1:$N100,"Non"&amp;"*",G1:G100,"&lt;&gt;0")),0)))</f>
        <v>0</v>
      </c>
      <c r="T32" s="797"/>
      <c r="U32" s="797"/>
      <c r="V32" s="798"/>
      <c r="W32" s="789">
        <f>_xlfn.IFERROR(IF(N32='Suppl'!$E$65,0,IF(N32='Suppl'!$E$66,1/2/(_xlfn.COUNTIFS($N1:$N100,"Exigences"&amp;"*")+_xlfn.COUNTIFS($N1:$N100,"Non"&amp;"*")),IF(N32='Suppl'!$E$67,1/(_xlfn.COUNTIFS($N1:$N100,"Exigences"&amp;"*")+_xlfn.COUNTIFS($N1:$N100,"Non"&amp;"*")),0))),0)</f>
        <v>0</v>
      </c>
      <c r="X32" s="586"/>
      <c r="Y32" s="586"/>
      <c r="Z32" s="586"/>
      <c r="AA32" s="586"/>
      <c r="AB32" s="586"/>
      <c r="AC32" s="586"/>
      <c r="AD32" s="586"/>
      <c r="AE32" s="586"/>
      <c r="AF32" s="586"/>
      <c r="AG32" s="586"/>
      <c r="AH32" s="505"/>
      <c r="AI32" s="585"/>
    </row>
    <row r="33" ht="30" customHeight="1">
      <c r="A33" s="504"/>
      <c r="B33" s="753"/>
      <c r="C33" t="s" s="754">
        <f>IF(LEFT(RIGHT($B$1,2),1)=" ",RIGHT($B$1,1),RIGHT($B$1,2))</f>
        <v>1761</v>
      </c>
      <c r="D33" s="755">
        <f>IF(LEFT(F33,5)="Bonne",D31+1,D32)</f>
        <v>1</v>
      </c>
      <c r="E33" t="s" s="778">
        <f>C33&amp;D33&amp;RIGHT(F33,1)</f>
        <v>1781</v>
      </c>
      <c r="F33" t="s" s="779">
        <v>1782</v>
      </c>
      <c r="G33" t="s" s="780">
        <f>VLOOKUP(E33,'BDD'!$A$2:$N$567,MATCH(G$24,'BDD'!$A$1:$P$1,0),FALSE)</f>
        <v>290</v>
      </c>
      <c r="H33" s="781"/>
      <c r="I33" s="782"/>
      <c r="J33" s="782"/>
      <c r="K33" t="s" s="792">
        <v>291</v>
      </c>
      <c r="L33" s="793"/>
      <c r="M33" s="800">
        <f>IF(N33="Exigences partiellement respectées",1,IF(N33="Exigences respectées",2,0))</f>
        <v>0</v>
      </c>
      <c r="N33" t="s" s="780">
        <f>VLOOKUP(VLOOKUP(E33,'BDD'!$A$2:$P$428,15,FALSE),'Suppl'!$D$64:$E$68,2,FALSE)</f>
        <v>1751</v>
      </c>
      <c r="O33" s="801"/>
      <c r="P33" s="802"/>
      <c r="Q33" s="802"/>
      <c r="R33" s="802"/>
      <c r="S33" s="803">
        <f>IF(N33='Suppl'!$E$65,0,IF(N33='Suppl'!$E$66,1/2/(_xlfn.COUNTIFS($D1:$D100,D33,$N1:$N100,"Exigences"&amp;"*",G1:G100,"&lt;&gt;0")+_xlfn.COUNTIFS($D1:$D100,D33,$N1:$N100,"Non"&amp;"*",G1:G100,"&lt;&gt;0")),IF(N33='Suppl'!$E$67,1/(_xlfn.COUNTIFS($D1:$D100,D33,$N1:$N100,"Exigences"&amp;"*",G1:G100,"&lt;&gt;0")+_xlfn.COUNTIFS($D1:$D100,D33,$N1:$N100,"Non"&amp;"*",G1:G100,"&lt;&gt;0")),0)))</f>
        <v>0</v>
      </c>
      <c r="T33" s="803"/>
      <c r="U33" s="803"/>
      <c r="V33" s="804"/>
      <c r="W33" s="789">
        <f>_xlfn.IFERROR(IF(N33='Suppl'!$E$65,0,IF(N33='Suppl'!$E$66,1/2/(_xlfn.COUNTIFS($N1:$N100,"Exigences"&amp;"*")+_xlfn.COUNTIFS($N1:$N100,"Non"&amp;"*")),IF(N33='Suppl'!$E$67,1/(_xlfn.COUNTIFS($N1:$N100,"Exigences"&amp;"*")+_xlfn.COUNTIFS($N1:$N100,"Non"&amp;"*")),0))),0)</f>
        <v>0</v>
      </c>
      <c r="X33" s="586"/>
      <c r="Y33" s="586"/>
      <c r="Z33" s="586"/>
      <c r="AA33" s="586"/>
      <c r="AB33" s="586"/>
      <c r="AC33" s="586"/>
      <c r="AD33" s="586"/>
      <c r="AE33" s="586"/>
      <c r="AF33" s="586"/>
      <c r="AG33" s="586"/>
      <c r="AH33" s="505"/>
      <c r="AI33" s="585"/>
    </row>
    <row r="34" ht="30" customHeight="1">
      <c r="A34" s="504"/>
      <c r="B34" s="753"/>
      <c r="C34" t="s" s="754">
        <f>IF(LEFT(RIGHT($B$1,2),1)=" ",RIGHT($B$1,1),RIGHT($B$1,2))</f>
        <v>1761</v>
      </c>
      <c r="D34" s="755">
        <f>IF(LEFT(F34,5)="Bonne",D32+1,D33)</f>
        <v>2</v>
      </c>
      <c r="E34" s="756"/>
      <c r="F34" t="s" s="757">
        <v>1785</v>
      </c>
      <c r="G34" t="s" s="758">
        <f>VLOOKUP(E36,'BDD'!$A$2:$N$567,6,FALSE)</f>
        <v>293</v>
      </c>
      <c r="H34" t="s" s="805">
        <f>VLOOKUP(E36,'BDD'!$A$2:$N$567,6,FALSE)</f>
        <v>293</v>
      </c>
      <c r="I34" s="760"/>
      <c r="J34" s="760"/>
      <c r="K34" s="760"/>
      <c r="L34" s="761"/>
      <c r="M34" s="762"/>
      <c r="N34" s="763"/>
      <c r="O34" s="764">
        <v>0</v>
      </c>
      <c r="P34" s="764"/>
      <c r="Q34" s="764"/>
      <c r="R34" s="764"/>
      <c r="S34" s="765">
        <f>_xlfn.SUMIFS(S1:S100,$D1:$D100,D34,$N1:$N100,"Exigences"&amp;"*")</f>
      </c>
      <c r="T34" s="765"/>
      <c r="U34" s="765"/>
      <c r="V34" s="766"/>
      <c r="W34" s="789">
        <f>_xlfn.IFERROR(IF(N34='Suppl'!$E$65,0,IF(N34='Suppl'!$E$66,1/2/(_xlfn.COUNTIFS($N1:$N100,"Exigences"&amp;"*")+_xlfn.COUNTIFS($N1:$N100,"Non"&amp;"*")),IF(N34='Suppl'!$E$67,1/(_xlfn.COUNTIFS($N1:$N100,"Exigences"&amp;"*")+_xlfn.COUNTIFS($N1:$N100,"Non"&amp;"*")),0))),0)</f>
        <v>0</v>
      </c>
      <c r="X34" s="586"/>
      <c r="Y34" s="586"/>
      <c r="Z34" s="586"/>
      <c r="AA34" s="586"/>
      <c r="AB34" s="586"/>
      <c r="AC34" s="586"/>
      <c r="AD34" s="586"/>
      <c r="AE34" s="586"/>
      <c r="AF34" s="586"/>
      <c r="AG34" s="586"/>
      <c r="AH34" s="505"/>
      <c r="AI34" s="585"/>
    </row>
    <row r="35" ht="30" customHeight="1">
      <c r="A35" s="504"/>
      <c r="B35" s="753"/>
      <c r="C35" t="s" s="754">
        <f>IF(LEFT(RIGHT($B$1,2),1)=" ",RIGHT($B$1,1),RIGHT($B$1,2))</f>
        <v>1761</v>
      </c>
      <c r="D35" s="755">
        <f>IF(LEFT(F35,5)="Bonne",D33+1,D34)</f>
        <v>2</v>
      </c>
      <c r="E35" s="756"/>
      <c r="F35" t="s" s="769">
        <v>1835</v>
      </c>
      <c r="G35" t="s" s="770">
        <f>VLOOKUP(E37,'BDD'!$A$2:$N$567,7,FALSE)</f>
        <v>1838</v>
      </c>
      <c r="H35" s="771"/>
      <c r="I35" s="771"/>
      <c r="J35" s="771"/>
      <c r="K35" s="771"/>
      <c r="L35" s="772"/>
      <c r="M35" s="773"/>
      <c r="N35" s="774"/>
      <c r="O35" s="775"/>
      <c r="P35" s="775"/>
      <c r="Q35" s="775"/>
      <c r="R35" s="775"/>
      <c r="S35" s="776"/>
      <c r="T35" s="776"/>
      <c r="U35" s="776"/>
      <c r="V35" s="777"/>
      <c r="W35" s="789">
        <f>_xlfn.IFERROR(IF(N35='Suppl'!$E$65,0,IF(N35='Suppl'!$E$66,1/2/(_xlfn.COUNTIFS($N1:$N100,"Exigences"&amp;"*")+_xlfn.COUNTIFS($N1:$N100,"Non"&amp;"*")),IF(N35='Suppl'!$E$67,1/(_xlfn.COUNTIFS($N1:$N100,"Exigences"&amp;"*")+_xlfn.COUNTIFS($N1:$N100,"Non"&amp;"*")),0))),0)</f>
        <v>0</v>
      </c>
      <c r="X35" s="586"/>
      <c r="Y35" s="586"/>
      <c r="Z35" s="586"/>
      <c r="AA35" s="586"/>
      <c r="AB35" s="586"/>
      <c r="AC35" s="586"/>
      <c r="AD35" s="586"/>
      <c r="AE35" s="586"/>
      <c r="AF35" s="586"/>
      <c r="AG35" s="586"/>
      <c r="AH35" s="505"/>
      <c r="AI35" s="585"/>
    </row>
    <row r="36" ht="41.4" customHeight="1">
      <c r="A36" s="504"/>
      <c r="B36" s="753"/>
      <c r="C36" t="s" s="754">
        <f>IF(LEFT(RIGHT($B$1,2),1)=" ",RIGHT($B$1,1),RIGHT($B$1,2))</f>
        <v>1761</v>
      </c>
      <c r="D36" s="755">
        <f>IF(LEFT(F36,5)="Bonne",D34+1,D35)</f>
        <v>2</v>
      </c>
      <c r="E36" t="s" s="778">
        <f>C36&amp;D36&amp;RIGHT(F36,1)</f>
        <v>1789</v>
      </c>
      <c r="F36" t="s" s="779">
        <v>1769</v>
      </c>
      <c r="G36" t="s" s="780">
        <v>296</v>
      </c>
      <c r="H36" s="781"/>
      <c r="I36" s="782"/>
      <c r="J36" t="s" s="792">
        <v>271</v>
      </c>
      <c r="K36" s="782"/>
      <c r="L36" s="793"/>
      <c r="M36" s="784">
        <f>IF(N36="Exigences partiellement respectées",1,IF(N36="Exigences respectées",2,0))</f>
        <v>0</v>
      </c>
      <c r="N36" t="s" s="780">
        <f>VLOOKUP(VLOOKUP(E36,'BDD'!$A$2:$P$428,15,FALSE),'Suppl'!$D$64:$E$68,2,FALSE)</f>
        <v>1751</v>
      </c>
      <c r="O36" s="785"/>
      <c r="P36" s="786"/>
      <c r="Q36" s="786"/>
      <c r="R36" s="786"/>
      <c r="S36" s="787">
        <f>IF(N36='Suppl'!$E$65,0,IF(N36='Suppl'!$E$66,1/2/(_xlfn.COUNTIFS($D1:$D100,D36,$N1:$N100,"Exigences"&amp;"*",G1:G100,"&lt;&gt;0")+_xlfn.COUNTIFS($D1:$D100,D36,$N1:$N100,"Non"&amp;"*",G1:G100,"&lt;&gt;0")),IF(N36='Suppl'!$E$67,1/(_xlfn.COUNTIFS($D1:$D100,D36,$N1:$N100,"Exigences"&amp;"*",G1:G100,"&lt;&gt;0")+_xlfn.COUNTIFS($D1:$D100,D36,$N1:$N100,"Non"&amp;"*",G1:G100,"&lt;&gt;0")),0)))</f>
        <v>0</v>
      </c>
      <c r="T36" s="787"/>
      <c r="U36" s="787"/>
      <c r="V36" s="788"/>
      <c r="W36" s="789">
        <f>_xlfn.IFERROR(IF(N36='Suppl'!$E$65,0,IF(N36='Suppl'!$E$66,1/2/(_xlfn.COUNTIFS($N1:$N100,"Exigences"&amp;"*")+_xlfn.COUNTIFS($N1:$N100,"Non"&amp;"*")),IF(N36='Suppl'!$E$67,1/(_xlfn.COUNTIFS($N1:$N100,"Exigences"&amp;"*")+_xlfn.COUNTIFS($N1:$N100,"Non"&amp;"*")),0))),0)</f>
        <v>0</v>
      </c>
      <c r="X36" s="586"/>
      <c r="Y36" s="586"/>
      <c r="Z36" s="586"/>
      <c r="AA36" s="586"/>
      <c r="AB36" s="586"/>
      <c r="AC36" s="586"/>
      <c r="AD36" s="586"/>
      <c r="AE36" s="586"/>
      <c r="AF36" s="586"/>
      <c r="AG36" s="586"/>
      <c r="AH36" s="505"/>
      <c r="AI36" s="585"/>
    </row>
    <row r="37" ht="30" customHeight="1">
      <c r="A37" s="504"/>
      <c r="B37" s="753"/>
      <c r="C37" t="s" s="754">
        <f>IF(LEFT(RIGHT($B$1,2),1)=" ",RIGHT($B$1,1),RIGHT($B$1,2))</f>
        <v>1761</v>
      </c>
      <c r="D37" s="755">
        <f>IF(LEFT(F37,5)="Bonne",D35+1,D36)</f>
        <v>2</v>
      </c>
      <c r="E37" t="s" s="778">
        <f>C37&amp;D37&amp;RIGHT(F37,1)</f>
        <v>1784</v>
      </c>
      <c r="F37" t="s" s="790">
        <v>1837</v>
      </c>
      <c r="G37" t="s" s="791">
        <v>299</v>
      </c>
      <c r="H37" s="781"/>
      <c r="I37" t="s" s="792">
        <v>263</v>
      </c>
      <c r="J37" s="782"/>
      <c r="K37" s="782"/>
      <c r="L37" s="793"/>
      <c r="M37" s="794">
        <f>IF(N37="Exigences partiellement respectées",1,IF(N37="Exigences respectées",2,0))</f>
        <v>0</v>
      </c>
      <c r="N37" t="s" s="791">
        <f>VLOOKUP(VLOOKUP(E37,'BDD'!$A$2:$P$428,15,FALSE),'Suppl'!$D$64:$E$68,2,FALSE)</f>
        <v>1751</v>
      </c>
      <c r="O37" s="795"/>
      <c r="P37" s="796"/>
      <c r="Q37" s="796"/>
      <c r="R37" s="796"/>
      <c r="S37" s="797">
        <f>IF(N37='Suppl'!$E$65,0,IF(N37='Suppl'!$E$66,1/2/(_xlfn.COUNTIFS($D1:$D100,D37,$N1:$N100,"Exigences"&amp;"*",G1:G100,"&lt;&gt;0")+_xlfn.COUNTIFS($D1:$D100,D37,$N1:$N100,"Non"&amp;"*",G1:G100,"&lt;&gt;0")),IF(N37='Suppl'!$E$67,1/(_xlfn.COUNTIFS($D1:$D100,D37,$N1:$N100,"Exigences"&amp;"*",G1:G100,"&lt;&gt;0")+_xlfn.COUNTIFS($D1:$D100,D37,$N1:$N100,"Non"&amp;"*",G1:G100,"&lt;&gt;0")),0)))</f>
        <v>0</v>
      </c>
      <c r="T37" s="797"/>
      <c r="U37" s="797"/>
      <c r="V37" s="798"/>
      <c r="W37" s="789">
        <f>_xlfn.IFERROR(IF(N37='Suppl'!$E$65,0,IF(N37='Suppl'!$E$66,1/2/(_xlfn.COUNTIFS($N1:$N100,"Exigences"&amp;"*")+_xlfn.COUNTIFS($N1:$N100,"Non"&amp;"*")),IF(N37='Suppl'!$E$67,1/(_xlfn.COUNTIFS($N1:$N100,"Exigences"&amp;"*")+_xlfn.COUNTIFS($N1:$N100,"Non"&amp;"*")),0))),0)</f>
        <v>0</v>
      </c>
      <c r="X37" s="586"/>
      <c r="Y37" s="586"/>
      <c r="Z37" s="586"/>
      <c r="AA37" s="586"/>
      <c r="AB37" s="586"/>
      <c r="AC37" s="586"/>
      <c r="AD37" s="586"/>
      <c r="AE37" s="586"/>
      <c r="AF37" s="586"/>
      <c r="AG37" s="586"/>
      <c r="AH37" s="505"/>
      <c r="AI37" s="585"/>
    </row>
    <row r="38" ht="30" customHeight="1">
      <c r="A38" s="504"/>
      <c r="B38" s="753"/>
      <c r="C38" t="s" s="754">
        <f>IF(LEFT(RIGHT($B$1,2),1)=" ",RIGHT($B$1,1),RIGHT($B$1,2))</f>
        <v>1761</v>
      </c>
      <c r="D38" s="755">
        <f>IF(LEFT(F38,5)="Bonne",D36+1,D37)</f>
        <v>2</v>
      </c>
      <c r="E38" t="s" s="778">
        <f>C38&amp;D38&amp;RIGHT(F38,1)</f>
        <v>1790</v>
      </c>
      <c r="F38" t="s" s="779">
        <v>1774</v>
      </c>
      <c r="G38" t="s" s="780">
        <v>1839</v>
      </c>
      <c r="H38" t="s" s="799">
        <v>283</v>
      </c>
      <c r="I38" s="782"/>
      <c r="J38" s="782"/>
      <c r="K38" s="782"/>
      <c r="L38" s="793"/>
      <c r="M38" s="794">
        <f>IF(N38="Exigences partiellement respectées",1,IF(N38="Exigences respectées",2,0))</f>
        <v>0</v>
      </c>
      <c r="N38" t="s" s="780">
        <f>VLOOKUP(VLOOKUP(E38,'BDD'!$A$2:$P$428,15,FALSE),'Suppl'!$D$64:$E$68,2,FALSE)</f>
        <v>1751</v>
      </c>
      <c r="O38" s="795"/>
      <c r="P38" s="796"/>
      <c r="Q38" s="796"/>
      <c r="R38" s="796"/>
      <c r="S38" s="797">
        <f>IF(N38='Suppl'!$E$65,0,IF(N38='Suppl'!$E$66,1/2/(_xlfn.COUNTIFS($D1:$D100,D38,$N1:$N100,"Exigences"&amp;"*",G1:G100,"&lt;&gt;0")+_xlfn.COUNTIFS($D1:$D100,D38,$N1:$N100,"Non"&amp;"*",G1:G100,"&lt;&gt;0")),IF(N38='Suppl'!$E$67,1/(_xlfn.COUNTIFS($D1:$D100,D38,$N1:$N100,"Exigences"&amp;"*",G1:G100,"&lt;&gt;0")+_xlfn.COUNTIFS($D1:$D100,D38,$N1:$N100,"Non"&amp;"*",G1:G100,"&lt;&gt;0")),0)))</f>
        <v>0</v>
      </c>
      <c r="T38" s="797"/>
      <c r="U38" s="797"/>
      <c r="V38" s="798"/>
      <c r="W38" s="789">
        <f>_xlfn.IFERROR(IF(N38='Suppl'!$E$65,0,IF(N38='Suppl'!$E$66,1/2/(_xlfn.COUNTIFS($N1:$N100,"Exigences"&amp;"*")+_xlfn.COUNTIFS($N1:$N100,"Non"&amp;"*")),IF(N38='Suppl'!$E$67,1/(_xlfn.COUNTIFS($N1:$N100,"Exigences"&amp;"*")+_xlfn.COUNTIFS($N1:$N100,"Non"&amp;"*")),0))),0)</f>
        <v>0</v>
      </c>
      <c r="X38" s="586"/>
      <c r="Y38" s="586"/>
      <c r="Z38" s="586"/>
      <c r="AA38" s="586"/>
      <c r="AB38" s="586"/>
      <c r="AC38" s="586"/>
      <c r="AD38" s="586"/>
      <c r="AE38" s="586"/>
      <c r="AF38" s="586"/>
      <c r="AG38" s="586"/>
      <c r="AH38" s="505"/>
      <c r="AI38" s="585"/>
    </row>
    <row r="39" ht="41.4" customHeight="1">
      <c r="A39" s="504"/>
      <c r="B39" s="753"/>
      <c r="C39" t="s" s="754">
        <f>IF(LEFT(RIGHT($B$1,2),1)=" ",RIGHT($B$1,1),RIGHT($B$1,2))</f>
        <v>1761</v>
      </c>
      <c r="D39" s="755">
        <f>IF(LEFT(F39,5)="Bonne",D37+1,D38)</f>
        <v>2</v>
      </c>
      <c r="E39" t="s" s="778">
        <f>C39&amp;D39&amp;RIGHT(F39,1)</f>
        <v>1791</v>
      </c>
      <c r="F39" t="s" s="790">
        <v>1776</v>
      </c>
      <c r="G39" t="s" s="791">
        <v>305</v>
      </c>
      <c r="H39" s="781"/>
      <c r="I39" s="782"/>
      <c r="J39" s="782"/>
      <c r="K39" t="s" s="792">
        <v>291</v>
      </c>
      <c r="L39" s="793"/>
      <c r="M39" s="794">
        <f>IF(N39="Exigences partiellement respectées",1,IF(N39="Exigences respectées",2,0))</f>
        <v>0</v>
      </c>
      <c r="N39" t="s" s="791">
        <f>VLOOKUP(VLOOKUP(E39,'BDD'!$A$2:$P$428,15,FALSE),'Suppl'!$D$64:$E$68,2,FALSE)</f>
        <v>1751</v>
      </c>
      <c r="O39" s="795"/>
      <c r="P39" s="796"/>
      <c r="Q39" s="796"/>
      <c r="R39" s="796"/>
      <c r="S39" s="797">
        <f>IF(N39='Suppl'!$E$65,0,IF(N39='Suppl'!$E$66,1/2/(_xlfn.COUNTIFS($D1:$D100,D39,$N1:$N100,"Exigences"&amp;"*",G1:G100,"&lt;&gt;0")+_xlfn.COUNTIFS($D1:$D100,D39,$N1:$N100,"Non"&amp;"*",G1:G100,"&lt;&gt;0")),IF(N39='Suppl'!$E$67,1/(_xlfn.COUNTIFS($D1:$D100,D39,$N1:$N100,"Exigences"&amp;"*",G1:G100,"&lt;&gt;0")+_xlfn.COUNTIFS($D1:$D100,D39,$N1:$N100,"Non"&amp;"*",G1:G100,"&lt;&gt;0")),0)))</f>
        <v>0</v>
      </c>
      <c r="T39" s="797"/>
      <c r="U39" s="797"/>
      <c r="V39" s="798"/>
      <c r="W39" s="789">
        <f>_xlfn.IFERROR(IF(N39='Suppl'!$E$65,0,IF(N39='Suppl'!$E$66,1/2/(_xlfn.COUNTIFS($N1:$N100,"Exigences"&amp;"*")+_xlfn.COUNTIFS($N1:$N100,"Non"&amp;"*")),IF(N39='Suppl'!$E$67,1/(_xlfn.COUNTIFS($N1:$N100,"Exigences"&amp;"*")+_xlfn.COUNTIFS($N1:$N100,"Non"&amp;"*")),0))),0)</f>
        <v>0</v>
      </c>
      <c r="X39" s="586"/>
      <c r="Y39" s="586"/>
      <c r="Z39" s="586"/>
      <c r="AA39" s="586"/>
      <c r="AB39" s="586"/>
      <c r="AC39" s="586"/>
      <c r="AD39" s="586"/>
      <c r="AE39" s="586"/>
      <c r="AF39" s="586"/>
      <c r="AG39" s="586"/>
      <c r="AH39" s="505"/>
      <c r="AI39" s="585"/>
    </row>
    <row r="40" ht="41.4" customHeight="1">
      <c r="A40" s="504"/>
      <c r="B40" s="753"/>
      <c r="C40" t="s" s="754">
        <f>IF(LEFT(RIGHT($B$1,2),1)=" ",RIGHT($B$1,1),RIGHT($B$1,2))</f>
        <v>1761</v>
      </c>
      <c r="D40" s="755">
        <f>IF(LEFT(F40,5)="Bonne",D38+1,D39)</f>
        <v>2</v>
      </c>
      <c r="E40" t="s" s="778">
        <f>C40&amp;D40&amp;RIGHT(F40,1)</f>
        <v>1792</v>
      </c>
      <c r="F40" t="s" s="779">
        <v>1778</v>
      </c>
      <c r="G40" t="s" s="780">
        <v>309</v>
      </c>
      <c r="H40" s="781"/>
      <c r="I40" s="782"/>
      <c r="J40" t="s" s="792">
        <v>271</v>
      </c>
      <c r="K40" s="782"/>
      <c r="L40" s="793"/>
      <c r="M40" s="794">
        <f>IF(N40="Exigences partiellement respectées",1,IF(N40="Exigences respectées",2,0))</f>
        <v>0</v>
      </c>
      <c r="N40" t="s" s="780">
        <f>VLOOKUP(VLOOKUP(E40,'BDD'!$A$2:$P$428,15,FALSE),'Suppl'!$D$64:$E$68,2,FALSE)</f>
        <v>1751</v>
      </c>
      <c r="O40" s="795"/>
      <c r="P40" s="796"/>
      <c r="Q40" s="796"/>
      <c r="R40" s="796"/>
      <c r="S40" s="797">
        <f>IF(N40='Suppl'!$E$65,0,IF(N40='Suppl'!$E$66,1/2/(_xlfn.COUNTIFS($D1:$D100,D40,$N1:$N100,"Exigences"&amp;"*",G1:G100,"&lt;&gt;0")+_xlfn.COUNTIFS($D1:$D100,D40,$N1:$N100,"Non"&amp;"*",G1:G100,"&lt;&gt;0")),IF(N40='Suppl'!$E$67,1/(_xlfn.COUNTIFS($D1:$D100,D40,$N1:$N100,"Exigences"&amp;"*",G1:G100,"&lt;&gt;0")+_xlfn.COUNTIFS($D1:$D100,D40,$N1:$N100,"Non"&amp;"*",G1:G100,"&lt;&gt;0")),0)))</f>
        <v>0</v>
      </c>
      <c r="T40" s="797"/>
      <c r="U40" s="797"/>
      <c r="V40" s="798"/>
      <c r="W40" s="789">
        <f>_xlfn.IFERROR(IF(N40='Suppl'!$E$65,0,IF(N40='Suppl'!$E$66,1/2/(_xlfn.COUNTIFS($N1:$N100,"Exigences"&amp;"*")+_xlfn.COUNTIFS($N1:$N100,"Non"&amp;"*")),IF(N40='Suppl'!$E$67,1/(_xlfn.COUNTIFS($N1:$N100,"Exigences"&amp;"*")+_xlfn.COUNTIFS($N1:$N100,"Non"&amp;"*")),0))),0)</f>
        <v>0</v>
      </c>
      <c r="X40" s="586"/>
      <c r="Y40" s="586"/>
      <c r="Z40" s="586"/>
      <c r="AA40" s="586"/>
      <c r="AB40" s="586"/>
      <c r="AC40" s="586"/>
      <c r="AD40" s="586"/>
      <c r="AE40" s="586"/>
      <c r="AF40" s="586"/>
      <c r="AG40" s="586"/>
      <c r="AH40" s="505"/>
      <c r="AI40" s="585"/>
    </row>
    <row r="41" ht="30" customHeight="1">
      <c r="A41" s="504"/>
      <c r="B41" s="753"/>
      <c r="C41" t="s" s="754">
        <f>IF(LEFT(RIGHT($B$1,2),1)=" ",RIGHT($B$1,1),RIGHT($B$1,2))</f>
        <v>1761</v>
      </c>
      <c r="D41" s="755">
        <f>IF(LEFT(F41,5)="Bonne",D39+1,D40)</f>
        <v>2</v>
      </c>
      <c r="E41" t="s" s="778">
        <f>C41&amp;D41&amp;RIGHT(F41,1)</f>
        <v>1793</v>
      </c>
      <c r="F41" t="s" s="790">
        <v>1780</v>
      </c>
      <c r="G41" t="s" s="791">
        <v>313</v>
      </c>
      <c r="H41" s="781"/>
      <c r="I41" s="782"/>
      <c r="J41" s="782"/>
      <c r="K41" t="s" s="792">
        <v>291</v>
      </c>
      <c r="L41" s="793"/>
      <c r="M41" s="794">
        <f>IF(N41="Exigences partiellement respectées",1,IF(N41="Exigences respectées",2,0))</f>
        <v>0</v>
      </c>
      <c r="N41" t="s" s="791">
        <f>VLOOKUP(VLOOKUP(E41,'BDD'!$A$2:$P$428,15,FALSE),'Suppl'!$D$64:$E$68,2,FALSE)</f>
        <v>1751</v>
      </c>
      <c r="O41" s="795"/>
      <c r="P41" s="796"/>
      <c r="Q41" s="796"/>
      <c r="R41" s="796"/>
      <c r="S41" s="797">
        <f>IF(N41='Suppl'!$E$65,0,IF(N41='Suppl'!$E$66,1/2/(_xlfn.COUNTIFS($D1:$D100,D41,$N1:$N100,"Exigences"&amp;"*",G1:G100,"&lt;&gt;0")+_xlfn.COUNTIFS($D1:$D100,D41,$N1:$N100,"Non"&amp;"*",G1:G100,"&lt;&gt;0")),IF(N41='Suppl'!$E$67,1/(_xlfn.COUNTIFS($D1:$D100,D41,$N1:$N100,"Exigences"&amp;"*",G1:G100,"&lt;&gt;0")+_xlfn.COUNTIFS($D1:$D100,D41,$N1:$N100,"Non"&amp;"*",G1:G100,"&lt;&gt;0")),0)))</f>
        <v>0</v>
      </c>
      <c r="T41" s="797"/>
      <c r="U41" s="797"/>
      <c r="V41" s="798"/>
      <c r="W41" s="789">
        <f>_xlfn.IFERROR(IF(N41='Suppl'!$E$65,0,IF(N41='Suppl'!$E$66,1/2/(_xlfn.COUNTIFS($N1:$N100,"Exigences"&amp;"*")+_xlfn.COUNTIFS($N1:$N100,"Non"&amp;"*")),IF(N41='Suppl'!$E$67,1/(_xlfn.COUNTIFS($N1:$N100,"Exigences"&amp;"*")+_xlfn.COUNTIFS($N1:$N100,"Non"&amp;"*")),0))),0)</f>
        <v>0</v>
      </c>
      <c r="X41" s="586"/>
      <c r="Y41" s="586"/>
      <c r="Z41" s="586"/>
      <c r="AA41" s="586"/>
      <c r="AB41" s="586"/>
      <c r="AC41" s="586"/>
      <c r="AD41" s="586"/>
      <c r="AE41" s="586"/>
      <c r="AF41" s="586"/>
      <c r="AG41" s="586"/>
      <c r="AH41" s="505"/>
      <c r="AI41" s="585"/>
    </row>
    <row r="42" ht="41.4" customHeight="1">
      <c r="A42" s="504"/>
      <c r="B42" s="753"/>
      <c r="C42" t="s" s="754">
        <f>IF(LEFT(RIGHT($B$1,2),1)=" ",RIGHT($B$1,1),RIGHT($B$1,2))</f>
        <v>1761</v>
      </c>
      <c r="D42" s="755">
        <f>IF(LEFT(F42,5)="Bonne",D40+1,D41)</f>
        <v>2</v>
      </c>
      <c r="E42" t="s" s="806">
        <f>C42&amp;D42&amp;RIGHT(F42,1)</f>
        <v>1794</v>
      </c>
      <c r="F42" t="s" s="779">
        <v>1782</v>
      </c>
      <c r="G42" t="s" s="780">
        <v>317</v>
      </c>
      <c r="H42" s="781"/>
      <c r="I42" s="782"/>
      <c r="J42" s="782"/>
      <c r="K42" t="s" s="792">
        <v>291</v>
      </c>
      <c r="L42" s="793"/>
      <c r="M42" s="800">
        <f>IF(N42="Exigences partiellement respectées",1,IF(N42="Exigences respectées",2,0))</f>
        <v>0</v>
      </c>
      <c r="N42" t="s" s="780">
        <f>VLOOKUP(VLOOKUP(E42,'BDD'!$A$2:$P$428,15,FALSE),'Suppl'!$D$64:$E$68,2,FALSE)</f>
        <v>1751</v>
      </c>
      <c r="O42" s="801"/>
      <c r="P42" s="802"/>
      <c r="Q42" s="802"/>
      <c r="R42" s="802"/>
      <c r="S42" s="803">
        <f>IF(N42='Suppl'!$E$65,0,IF(N42='Suppl'!$E$66,1/2/(_xlfn.COUNTIFS($D1:$D100,D42,$N1:$N100,"Exigences"&amp;"*",G1:G100,"&lt;&gt;0")+_xlfn.COUNTIFS($D1:$D100,D42,$N1:$N100,"Non"&amp;"*",G1:G100,"&lt;&gt;0")),IF(N42='Suppl'!$E$67,1/(_xlfn.COUNTIFS($D1:$D100,D42,$N1:$N100,"Exigences"&amp;"*",G1:G100,"&lt;&gt;0")+_xlfn.COUNTIFS($D1:$D100,D42,$N1:$N100,"Non"&amp;"*",G1:G100,"&lt;&gt;0")),0)))</f>
        <v>0</v>
      </c>
      <c r="T42" s="803"/>
      <c r="U42" s="803"/>
      <c r="V42" s="804"/>
      <c r="W42" s="789">
        <f>_xlfn.IFERROR(IF(N42='Suppl'!$E$65,0,IF(N42='Suppl'!$E$66,1/2/(_xlfn.COUNTIFS($N1:$N100,"Exigences"&amp;"*")+_xlfn.COUNTIFS($N1:$N100,"Non"&amp;"*")),IF(N42='Suppl'!$E$67,1/(_xlfn.COUNTIFS($N1:$N100,"Exigences"&amp;"*")+_xlfn.COUNTIFS($N1:$N100,"Non"&amp;"*")),0))),0)</f>
        <v>0</v>
      </c>
      <c r="X42" s="586"/>
      <c r="Y42" s="586"/>
      <c r="Z42" s="586"/>
      <c r="AA42" s="586"/>
      <c r="AB42" s="586"/>
      <c r="AC42" s="586"/>
      <c r="AD42" s="586"/>
      <c r="AE42" s="586"/>
      <c r="AF42" s="586"/>
      <c r="AG42" s="586"/>
      <c r="AH42" s="505"/>
      <c r="AI42" s="585"/>
    </row>
    <row r="43" ht="30" customHeight="1">
      <c r="A43" s="504"/>
      <c r="B43" s="753"/>
      <c r="C43" t="s" s="754">
        <f>IF(LEFT(RIGHT($B$1,2),1)=" ",RIGHT($B$1,1),RIGHT($B$1,2))</f>
        <v>1761</v>
      </c>
      <c r="D43" s="755">
        <f>IF(LEFT(F43,5)="Bonne",D41+1,D42)</f>
        <v>3</v>
      </c>
      <c r="E43" s="807"/>
      <c r="F43" t="s" s="757">
        <v>1797</v>
      </c>
      <c r="G43" t="s" s="758">
        <f>VLOOKUP(E45,'BDD'!$A$2:$N$567,6,FALSE)</f>
        <v>320</v>
      </c>
      <c r="H43" s="759"/>
      <c r="I43" s="760"/>
      <c r="J43" s="760"/>
      <c r="K43" s="760"/>
      <c r="L43" s="761"/>
      <c r="M43" s="762"/>
      <c r="N43" s="763"/>
      <c r="O43" s="764">
        <v>0</v>
      </c>
      <c r="P43" s="764"/>
      <c r="Q43" s="764"/>
      <c r="R43" s="764"/>
      <c r="S43" s="765">
        <f>_xlfn.SUMIFS(S1:S100,$D1:$D100,D43,$N1:$N100,"Exigences"&amp;"*")</f>
      </c>
      <c r="T43" s="765"/>
      <c r="U43" s="765"/>
      <c r="V43" s="766"/>
      <c r="W43" s="789">
        <f>_xlfn.IFERROR(IF(N43='Suppl'!$E$65,0,IF(N43='Suppl'!$E$66,1/2/(_xlfn.COUNTIFS($N1:$N100,"Exigences"&amp;"*")+_xlfn.COUNTIFS($N1:$N100,"Non"&amp;"*")),IF(N43='Suppl'!$E$67,1/(_xlfn.COUNTIFS($N1:$N100,"Exigences"&amp;"*")+_xlfn.COUNTIFS($N1:$N100,"Non"&amp;"*")),0))),0)</f>
        <v>0</v>
      </c>
      <c r="X43" s="586"/>
      <c r="Y43" s="586"/>
      <c r="Z43" s="586"/>
      <c r="AA43" s="586"/>
      <c r="AB43" s="586"/>
      <c r="AC43" s="586"/>
      <c r="AD43" s="586"/>
      <c r="AE43" s="586"/>
      <c r="AF43" s="586"/>
      <c r="AG43" s="586"/>
      <c r="AH43" s="505"/>
      <c r="AI43" s="585"/>
    </row>
    <row r="44" ht="30" customHeight="1">
      <c r="A44" s="504"/>
      <c r="B44" s="753"/>
      <c r="C44" t="s" s="754">
        <f>IF(LEFT(RIGHT($B$1,2),1)=" ",RIGHT($B$1,1),RIGHT($B$1,2))</f>
        <v>1761</v>
      </c>
      <c r="D44" s="755">
        <f>IF(LEFT(F44,5)="Bonne",D42+1,D43)</f>
        <v>3</v>
      </c>
      <c r="E44" s="808"/>
      <c r="F44" t="s" s="769">
        <v>1835</v>
      </c>
      <c r="G44" t="s" s="809">
        <f>VLOOKUP(E46,'BDD'!$A$2:$N$567,7,FALSE)</f>
        <v>1840</v>
      </c>
      <c r="H44" s="810"/>
      <c r="I44" s="810"/>
      <c r="J44" s="810"/>
      <c r="K44" s="810"/>
      <c r="L44" s="810"/>
      <c r="M44" s="810"/>
      <c r="N44" s="811"/>
      <c r="O44" s="775"/>
      <c r="P44" s="775"/>
      <c r="Q44" s="775"/>
      <c r="R44" s="775"/>
      <c r="S44" s="776"/>
      <c r="T44" s="776"/>
      <c r="U44" s="776"/>
      <c r="V44" s="777"/>
      <c r="W44" s="789">
        <f>_xlfn.IFERROR(IF(N44='Suppl'!$E$65,0,IF(N44='Suppl'!$E$66,1/2/(_xlfn.COUNTIFS($N1:$N100,"Exigences"&amp;"*")+_xlfn.COUNTIFS($N1:$N100,"Non"&amp;"*")),IF(N44='Suppl'!$E$67,1/(_xlfn.COUNTIFS($N1:$N100,"Exigences"&amp;"*")+_xlfn.COUNTIFS($N1:$N100,"Non"&amp;"*")),0))),0)</f>
        <v>0</v>
      </c>
      <c r="X44" s="586"/>
      <c r="Y44" s="586"/>
      <c r="Z44" s="586"/>
      <c r="AA44" s="586"/>
      <c r="AB44" s="586"/>
      <c r="AC44" s="586"/>
      <c r="AD44" s="586"/>
      <c r="AE44" s="586"/>
      <c r="AF44" s="586"/>
      <c r="AG44" s="586"/>
      <c r="AH44" s="505"/>
      <c r="AI44" s="585"/>
    </row>
    <row r="45" ht="43.2" customHeight="1">
      <c r="A45" s="504"/>
      <c r="B45" s="753"/>
      <c r="C45" t="s" s="754">
        <f>IF(LEFT(RIGHT($B$1,2),1)=" ",RIGHT($B$1,1),RIGHT($B$1,2))</f>
        <v>1761</v>
      </c>
      <c r="D45" s="755">
        <f>IF(LEFT(F45,5)="Bonne",D43+1,D44)</f>
        <v>3</v>
      </c>
      <c r="E45" t="s" s="812">
        <f>C45&amp;D45&amp;RIGHT(F45,1)</f>
        <v>1799</v>
      </c>
      <c r="F45" t="s" s="779">
        <v>1769</v>
      </c>
      <c r="G45" t="s" s="780">
        <v>323</v>
      </c>
      <c r="H45" s="781"/>
      <c r="I45" s="782"/>
      <c r="J45" t="s" s="792">
        <v>271</v>
      </c>
      <c r="K45" s="782"/>
      <c r="L45" s="793"/>
      <c r="M45" s="784">
        <f>IF(N45="Exigences partiellement respectées",1,IF(N45="Exigences respectées",2,0))</f>
        <v>0</v>
      </c>
      <c r="N45" t="s" s="780">
        <f>VLOOKUP(VLOOKUP(E45,'BDD'!$A$2:$P$428,15,FALSE),'Suppl'!$D$64:$E$68,2,FALSE)</f>
        <v>1751</v>
      </c>
      <c r="O45" s="785"/>
      <c r="P45" s="786"/>
      <c r="Q45" s="786"/>
      <c r="R45" s="786"/>
      <c r="S45" s="787">
        <f>IF(N45='Suppl'!$E$65,0,IF(N45='Suppl'!$E$66,1/2/(_xlfn.COUNTIFS($D1:$D100,D45,$N1:$N100,"Exigences"&amp;"*",G1:G100,"&lt;&gt;0")+_xlfn.COUNTIFS($D1:$D100,D45,$N1:$N100,"Non"&amp;"*",G1:G100,"&lt;&gt;0")),IF(N45='Suppl'!$E$67,1/(_xlfn.COUNTIFS($D1:$D100,D45,$N1:$N100,"Exigences"&amp;"*",G1:G100,"&lt;&gt;0")+_xlfn.COUNTIFS($D1:$D100,D45,$N1:$N100,"Non"&amp;"*",G1:G100,"&lt;&gt;0")),0)))</f>
        <v>0</v>
      </c>
      <c r="T45" s="787"/>
      <c r="U45" s="787"/>
      <c r="V45" s="788"/>
      <c r="W45" s="789">
        <f>_xlfn.IFERROR(IF(N45='Suppl'!$E$65,0,IF(N45='Suppl'!$E$66,1/2/(_xlfn.COUNTIFS($N1:$N100,"Exigences"&amp;"*")+_xlfn.COUNTIFS($N1:$N100,"Non"&amp;"*")),IF(N45='Suppl'!$E$67,1/(_xlfn.COUNTIFS($N1:$N100,"Exigences"&amp;"*")+_xlfn.COUNTIFS($N1:$N100,"Non"&amp;"*")),0))),0)</f>
        <v>0</v>
      </c>
      <c r="X45" s="586"/>
      <c r="Y45" s="586"/>
      <c r="Z45" s="586"/>
      <c r="AA45" s="586"/>
      <c r="AB45" s="586"/>
      <c r="AC45" s="586"/>
      <c r="AD45" s="586"/>
      <c r="AE45" s="586"/>
      <c r="AF45" s="586"/>
      <c r="AG45" s="586"/>
      <c r="AH45" s="505"/>
      <c r="AI45" s="585"/>
    </row>
    <row r="46" ht="69" customHeight="1">
      <c r="A46" s="504"/>
      <c r="B46" s="753"/>
      <c r="C46" t="s" s="754">
        <f>IF(LEFT(RIGHT($B$1,2),1)=" ",RIGHT($B$1,1),RIGHT($B$1,2))</f>
        <v>1761</v>
      </c>
      <c r="D46" s="755">
        <f>IF(LEFT(F46,5)="Bonne",D44+1,D45)</f>
        <v>3</v>
      </c>
      <c r="E46" t="s" s="778">
        <f>C46&amp;D46&amp;RIGHT(F46,1)</f>
        <v>1800</v>
      </c>
      <c r="F46" t="s" s="790">
        <v>1837</v>
      </c>
      <c r="G46" t="s" s="791">
        <v>1841</v>
      </c>
      <c r="H46" s="781"/>
      <c r="I46" s="782"/>
      <c r="J46" t="s" s="792">
        <v>271</v>
      </c>
      <c r="K46" s="782"/>
      <c r="L46" s="793"/>
      <c r="M46" s="794">
        <f>IF(N46="Exigences partiellement respectées",1,IF(N46="Exigences respectées",2,0))</f>
        <v>0</v>
      </c>
      <c r="N46" t="s" s="791">
        <f>VLOOKUP(VLOOKUP(E46,'BDD'!$A$2:$P$428,15,FALSE),'Suppl'!$D$64:$E$68,2,FALSE)</f>
        <v>1751</v>
      </c>
      <c r="O46" s="795"/>
      <c r="P46" s="796"/>
      <c r="Q46" s="796"/>
      <c r="R46" s="796"/>
      <c r="S46" s="797">
        <f>IF(N46='Suppl'!$E$65,0,IF(N46='Suppl'!$E$66,1/2/(_xlfn.COUNTIFS($D1:$D100,D46,$N1:$N100,"Exigences"&amp;"*",G1:G100,"&lt;&gt;0")+_xlfn.COUNTIFS($D1:$D100,D46,$N1:$N100,"Non"&amp;"*",G1:G100,"&lt;&gt;0")),IF(N46='Suppl'!$E$67,1/(_xlfn.COUNTIFS($D1:$D100,D46,$N1:$N100,"Exigences"&amp;"*",G1:G100,"&lt;&gt;0")+_xlfn.COUNTIFS($D1:$D100,D46,$N1:$N100,"Non"&amp;"*",G1:G100,"&lt;&gt;0")),0)))</f>
        <v>0</v>
      </c>
      <c r="T46" s="797"/>
      <c r="U46" s="797"/>
      <c r="V46" s="798"/>
      <c r="W46" s="789">
        <f>_xlfn.IFERROR(IF(N46='Suppl'!$E$65,0,IF(N46='Suppl'!$E$66,1/2/(_xlfn.COUNTIFS($N1:$N100,"Exigences"&amp;"*")+_xlfn.COUNTIFS($N1:$N100,"Non"&amp;"*")),IF(N46='Suppl'!$E$67,1/(_xlfn.COUNTIFS($N1:$N100,"Exigences"&amp;"*")+_xlfn.COUNTIFS($N1:$N100,"Non"&amp;"*")),0))),0)</f>
        <v>0</v>
      </c>
      <c r="X46" s="586"/>
      <c r="Y46" s="586"/>
      <c r="Z46" s="586"/>
      <c r="AA46" s="586"/>
      <c r="AB46" s="586"/>
      <c r="AC46" s="586"/>
      <c r="AD46" s="586"/>
      <c r="AE46" s="586"/>
      <c r="AF46" s="586"/>
      <c r="AG46" s="586"/>
      <c r="AH46" s="505"/>
      <c r="AI46" s="585"/>
    </row>
    <row r="47" ht="30" customHeight="1">
      <c r="A47" s="504"/>
      <c r="B47" s="753"/>
      <c r="C47" t="s" s="754">
        <f>IF(LEFT(RIGHT($B$1,2),1)=" ",RIGHT($B$1,1),RIGHT($B$1,2))</f>
        <v>1761</v>
      </c>
      <c r="D47" s="755">
        <f>IF(LEFT(F47,5)="Bonne",D45+1,D46)</f>
        <v>3</v>
      </c>
      <c r="E47" t="s" s="778">
        <f>C47&amp;D47&amp;RIGHT(F47,1)</f>
        <v>1796</v>
      </c>
      <c r="F47" t="s" s="779">
        <v>1774</v>
      </c>
      <c r="G47" t="s" s="780">
        <v>331</v>
      </c>
      <c r="H47" t="s" s="799">
        <v>283</v>
      </c>
      <c r="I47" s="782"/>
      <c r="J47" s="782"/>
      <c r="K47" s="782"/>
      <c r="L47" s="793"/>
      <c r="M47" s="794">
        <f>IF(N47="Exigences partiellement respectées",1,IF(N47="Exigences respectées",2,0))</f>
        <v>0</v>
      </c>
      <c r="N47" t="s" s="780">
        <f>VLOOKUP(VLOOKUP(E47,'BDD'!$A$2:$P$428,15,FALSE),'Suppl'!$D$64:$E$68,2,FALSE)</f>
        <v>1751</v>
      </c>
      <c r="O47" s="795"/>
      <c r="P47" s="796"/>
      <c r="Q47" s="796"/>
      <c r="R47" s="796"/>
      <c r="S47" s="797">
        <f>IF(N47='Suppl'!$E$65,0,IF(N47='Suppl'!$E$66,1/2/(_xlfn.COUNTIFS($D1:$D100,D47,$N1:$N100,"Exigences"&amp;"*",G1:G100,"&lt;&gt;0")+_xlfn.COUNTIFS($D1:$D100,D47,$N1:$N100,"Non"&amp;"*",G1:G100,"&lt;&gt;0")),IF(N47='Suppl'!$E$67,1/(_xlfn.COUNTIFS($D1:$D100,D47,$N1:$N100,"Exigences"&amp;"*",G1:G100,"&lt;&gt;0")+_xlfn.COUNTIFS($D1:$D100,D47,$N1:$N100,"Non"&amp;"*",G1:G100,"&lt;&gt;0")),0)))</f>
        <v>0</v>
      </c>
      <c r="T47" s="797"/>
      <c r="U47" s="797"/>
      <c r="V47" s="798"/>
      <c r="W47" s="789">
        <f>_xlfn.IFERROR(IF(N47='Suppl'!$E$65,0,IF(N47='Suppl'!$E$66,1/2/(_xlfn.COUNTIFS($N1:$N100,"Exigences"&amp;"*")+_xlfn.COUNTIFS($N1:$N100,"Non"&amp;"*")),IF(N47='Suppl'!$E$67,1/(_xlfn.COUNTIFS($N1:$N100,"Exigences"&amp;"*")+_xlfn.COUNTIFS($N1:$N100,"Non"&amp;"*")),0))),0)</f>
        <v>0</v>
      </c>
      <c r="X47" s="586"/>
      <c r="Y47" s="586"/>
      <c r="Z47" s="586"/>
      <c r="AA47" s="586"/>
      <c r="AB47" s="586"/>
      <c r="AC47" s="586"/>
      <c r="AD47" s="586"/>
      <c r="AE47" s="586"/>
      <c r="AF47" s="586"/>
      <c r="AG47" s="586"/>
      <c r="AH47" s="505"/>
      <c r="AI47" s="585"/>
    </row>
    <row r="48" ht="43.8" customHeight="1">
      <c r="A48" s="504"/>
      <c r="B48" s="753"/>
      <c r="C48" t="s" s="754">
        <f>IF(LEFT(RIGHT($B$1,2),1)=" ",RIGHT($B$1,1),RIGHT($B$1,2))</f>
        <v>1761</v>
      </c>
      <c r="D48" s="755">
        <f>IF(LEFT(F48,5)="Bonne",D46+1,D47)</f>
        <v>3</v>
      </c>
      <c r="E48" t="s" s="806">
        <f>C48&amp;D48&amp;RIGHT(F48,1)</f>
        <v>1801</v>
      </c>
      <c r="F48" t="s" s="790">
        <v>1776</v>
      </c>
      <c r="G48" t="s" s="791">
        <v>1842</v>
      </c>
      <c r="H48" s="781"/>
      <c r="I48" s="782"/>
      <c r="J48" s="782"/>
      <c r="K48" s="782"/>
      <c r="L48" t="s" s="783">
        <v>256</v>
      </c>
      <c r="M48" s="800">
        <f>IF(N48="Exigences partiellement respectées",1,IF(N48="Exigences respectées",2,0))</f>
        <v>0</v>
      </c>
      <c r="N48" t="s" s="791">
        <f>VLOOKUP(VLOOKUP(E48,'BDD'!$A$2:$P$428,15,FALSE),'Suppl'!$D$64:$E$68,2,FALSE)</f>
        <v>1751</v>
      </c>
      <c r="O48" s="801"/>
      <c r="P48" s="802"/>
      <c r="Q48" s="802"/>
      <c r="R48" s="802"/>
      <c r="S48" s="803">
        <f>IF(N48='Suppl'!$E$65,0,IF(N48='Suppl'!$E$66,1/2/(_xlfn.COUNTIFS($D1:$D100,D48,$N1:$N100,"Exigences"&amp;"*",G1:G100,"&lt;&gt;0")+_xlfn.COUNTIFS($D1:$D100,D48,$N1:$N100,"Non"&amp;"*",G1:G100,"&lt;&gt;0")),IF(N48='Suppl'!$E$67,1/(_xlfn.COUNTIFS($D1:$D100,D48,$N1:$N100,"Exigences"&amp;"*",G1:G100,"&lt;&gt;0")+_xlfn.COUNTIFS($D1:$D100,D48,$N1:$N100,"Non"&amp;"*",G1:G100,"&lt;&gt;0")),0)))</f>
        <v>0</v>
      </c>
      <c r="T48" s="803"/>
      <c r="U48" s="803"/>
      <c r="V48" s="804"/>
      <c r="W48" s="789">
        <f>_xlfn.IFERROR(IF(N48='Suppl'!$E$65,0,IF(N48='Suppl'!$E$66,1/2/(_xlfn.COUNTIFS($N1:$N100,"Exigences"&amp;"*")+_xlfn.COUNTIFS($N1:$N100,"Non"&amp;"*")),IF(N48='Suppl'!$E$67,1/(_xlfn.COUNTIFS($N1:$N100,"Exigences"&amp;"*")+_xlfn.COUNTIFS($N1:$N100,"Non"&amp;"*")),0))),0)</f>
        <v>0</v>
      </c>
      <c r="X48" s="586"/>
      <c r="Y48" s="586"/>
      <c r="Z48" s="586"/>
      <c r="AA48" s="586"/>
      <c r="AB48" s="586"/>
      <c r="AC48" s="586"/>
      <c r="AD48" s="586"/>
      <c r="AE48" s="586"/>
      <c r="AF48" s="586"/>
      <c r="AG48" s="586"/>
      <c r="AH48" s="505"/>
      <c r="AI48" s="585"/>
    </row>
    <row r="49" ht="30" customHeight="1">
      <c r="A49" s="504"/>
      <c r="B49" s="753"/>
      <c r="C49" t="s" s="754">
        <f>IF(LEFT(RIGHT($B$1,2),1)=" ",RIGHT($B$1,1),RIGHT($B$1,2))</f>
        <v>1761</v>
      </c>
      <c r="D49" s="755">
        <f>IF(LEFT(F49,5)="Bonne",D47+1,D48)</f>
        <v>4</v>
      </c>
      <c r="E49" s="807"/>
      <c r="F49" t="s" s="757">
        <v>1806</v>
      </c>
      <c r="G49" t="s" s="758">
        <f>VLOOKUP(E51,'BDD'!$A$2:$N$567,6,FALSE)</f>
        <v>343</v>
      </c>
      <c r="H49" s="759"/>
      <c r="I49" s="760"/>
      <c r="J49" s="760"/>
      <c r="K49" s="760"/>
      <c r="L49" s="761"/>
      <c r="M49" s="762"/>
      <c r="N49" s="763"/>
      <c r="O49" s="764">
        <v>0</v>
      </c>
      <c r="P49" s="764"/>
      <c r="Q49" s="764"/>
      <c r="R49" s="764"/>
      <c r="S49" s="765">
        <f>_xlfn.SUMIFS(S1:S100,$D1:$D100,D49,$N1:$N100,"Exigences"&amp;"*")</f>
      </c>
      <c r="T49" s="765"/>
      <c r="U49" s="765"/>
      <c r="V49" s="766"/>
      <c r="W49" s="789">
        <f>_xlfn.IFERROR(IF(N49='Suppl'!$E$65,0,IF(N49='Suppl'!$E$66,1/2/(_xlfn.COUNTIFS($N1:$N100,"Exigences"&amp;"*")+_xlfn.COUNTIFS($N1:$N100,"Non"&amp;"*")),IF(N49='Suppl'!$E$67,1/(_xlfn.COUNTIFS($N1:$N100,"Exigences"&amp;"*")+_xlfn.COUNTIFS($N1:$N100,"Non"&amp;"*")),0))),0)</f>
        <v>0</v>
      </c>
      <c r="X49" s="586"/>
      <c r="Y49" s="586"/>
      <c r="Z49" s="586"/>
      <c r="AA49" s="586"/>
      <c r="AB49" s="586"/>
      <c r="AC49" s="586"/>
      <c r="AD49" s="586"/>
      <c r="AE49" s="586"/>
      <c r="AF49" s="586"/>
      <c r="AG49" s="586"/>
      <c r="AH49" s="505"/>
      <c r="AI49" s="585"/>
    </row>
    <row r="50" ht="30" customHeight="1">
      <c r="A50" s="504"/>
      <c r="B50" s="753"/>
      <c r="C50" t="s" s="754">
        <f>IF(LEFT(RIGHT($B$1,2),1)=" ",RIGHT($B$1,1),RIGHT($B$1,2))</f>
        <v>1761</v>
      </c>
      <c r="D50" s="755">
        <f>IF(LEFT(F50,5)="Bonne",D48+1,D49)</f>
        <v>4</v>
      </c>
      <c r="E50" s="808"/>
      <c r="F50" t="s" s="769">
        <v>1835</v>
      </c>
      <c r="G50" t="s" s="770">
        <f>VLOOKUP(E52,'BDD'!$A$2:$N$567,7,FALSE)</f>
        <v>1843</v>
      </c>
      <c r="H50" s="771"/>
      <c r="I50" s="771"/>
      <c r="J50" s="771"/>
      <c r="K50" s="771"/>
      <c r="L50" s="772"/>
      <c r="M50" s="773"/>
      <c r="N50" s="774"/>
      <c r="O50" s="775"/>
      <c r="P50" s="775"/>
      <c r="Q50" s="775"/>
      <c r="R50" s="775"/>
      <c r="S50" s="776"/>
      <c r="T50" s="776"/>
      <c r="U50" s="776"/>
      <c r="V50" s="777"/>
      <c r="W50" s="789">
        <f>_xlfn.IFERROR(IF(N50='Suppl'!$E$65,0,IF(N50='Suppl'!$E$66,1/2/(_xlfn.COUNTIFS($N1:$N100,"Exigences"&amp;"*")+_xlfn.COUNTIFS($N1:$N100,"Non"&amp;"*")),IF(N50='Suppl'!$E$67,1/(_xlfn.COUNTIFS($N1:$N100,"Exigences"&amp;"*")+_xlfn.COUNTIFS($N1:$N100,"Non"&amp;"*")),0))),0)</f>
        <v>0</v>
      </c>
      <c r="X50" s="586"/>
      <c r="Y50" s="586"/>
      <c r="Z50" s="586"/>
      <c r="AA50" s="586"/>
      <c r="AB50" s="586"/>
      <c r="AC50" s="586"/>
      <c r="AD50" s="586"/>
      <c r="AE50" s="586"/>
      <c r="AF50" s="586"/>
      <c r="AG50" s="586"/>
      <c r="AH50" s="505"/>
      <c r="AI50" s="585"/>
    </row>
    <row r="51" ht="30" customHeight="1">
      <c r="A51" s="504"/>
      <c r="B51" s="753"/>
      <c r="C51" t="s" s="754">
        <f>IF(LEFT(RIGHT($B$1,2),1)=" ",RIGHT($B$1,1),RIGHT($B$1,2))</f>
        <v>1761</v>
      </c>
      <c r="D51" s="755">
        <f>IF(LEFT(F51,5)="Bonne",D49+1,D50)</f>
        <v>4</v>
      </c>
      <c r="E51" t="s" s="812">
        <f>C51&amp;D51&amp;RIGHT(F51,1)</f>
        <v>1808</v>
      </c>
      <c r="F51" t="s" s="779">
        <v>1769</v>
      </c>
      <c r="G51" t="s" s="780">
        <v>1844</v>
      </c>
      <c r="H51" s="781"/>
      <c r="I51" s="782"/>
      <c r="J51" s="782"/>
      <c r="K51" t="s" s="792">
        <v>291</v>
      </c>
      <c r="L51" s="793"/>
      <c r="M51" s="784">
        <f>IF(N51="Exigences partiellement respectées",1,IF(N51="Exigences respectées",2,0))</f>
        <v>0</v>
      </c>
      <c r="N51" t="s" s="780">
        <f>VLOOKUP(VLOOKUP(E51,'BDD'!$A$2:$P$428,15,FALSE),'Suppl'!$D$64:$E$68,2,FALSE)</f>
        <v>1751</v>
      </c>
      <c r="O51" s="785"/>
      <c r="P51" s="786"/>
      <c r="Q51" s="786"/>
      <c r="R51" s="786"/>
      <c r="S51" s="787">
        <f>IF(N51='Suppl'!$E$65,0,IF(N51='Suppl'!$E$66,1/2/(_xlfn.COUNTIFS($D1:$D100,D51,$N1:$N100,"Exigences"&amp;"*",G1:G100,"&lt;&gt;0")+_xlfn.COUNTIFS($D1:$D100,D51,$N1:$N100,"Non"&amp;"*",G1:G100,"&lt;&gt;0")),IF(N51='Suppl'!$E$67,1/(_xlfn.COUNTIFS($D1:$D100,D51,$N1:$N100,"Exigences"&amp;"*",G1:G100,"&lt;&gt;0")+_xlfn.COUNTIFS($D1:$D100,D51,$N1:$N100,"Non"&amp;"*",G1:G100,"&lt;&gt;0")),0)))</f>
        <v>0</v>
      </c>
      <c r="T51" s="787"/>
      <c r="U51" s="787"/>
      <c r="V51" s="788"/>
      <c r="W51" s="789">
        <f>_xlfn.IFERROR(IF(N51='Suppl'!$E$65,0,IF(N51='Suppl'!$E$66,1/2/(_xlfn.COUNTIFS($N1:$N100,"Exigences"&amp;"*")+_xlfn.COUNTIFS($N1:$N100,"Non"&amp;"*")),IF(N51='Suppl'!$E$67,1/(_xlfn.COUNTIFS($N1:$N100,"Exigences"&amp;"*")+_xlfn.COUNTIFS($N1:$N100,"Non"&amp;"*")),0))),0)</f>
        <v>0</v>
      </c>
      <c r="X51" s="586"/>
      <c r="Y51" s="586"/>
      <c r="Z51" s="586"/>
      <c r="AA51" s="586"/>
      <c r="AB51" s="586"/>
      <c r="AC51" s="586"/>
      <c r="AD51" s="586"/>
      <c r="AE51" s="586"/>
      <c r="AF51" s="586"/>
      <c r="AG51" s="586"/>
      <c r="AH51" s="505"/>
      <c r="AI51" s="585"/>
    </row>
    <row r="52" ht="30" customHeight="1">
      <c r="A52" s="504"/>
      <c r="B52" s="753"/>
      <c r="C52" t="s" s="754">
        <f>IF(LEFT(RIGHT($B$1,2),1)=" ",RIGHT($B$1,1),RIGHT($B$1,2))</f>
        <v>1761</v>
      </c>
      <c r="D52" s="755">
        <f>IF(LEFT(F52,5)="Bonne",D50+1,D51)</f>
        <v>4</v>
      </c>
      <c r="E52" t="s" s="778">
        <f>C52&amp;D52&amp;RIGHT(F52,1)</f>
        <v>1809</v>
      </c>
      <c r="F52" t="s" s="790">
        <v>1837</v>
      </c>
      <c r="G52" t="s" s="791">
        <v>350</v>
      </c>
      <c r="H52" t="s" s="799">
        <v>283</v>
      </c>
      <c r="I52" s="782"/>
      <c r="J52" s="782"/>
      <c r="K52" s="782"/>
      <c r="L52" s="793"/>
      <c r="M52" s="794">
        <f>IF(N52="Exigences partiellement respectées",1,IF(N52="Exigences respectées",2,0))</f>
        <v>0</v>
      </c>
      <c r="N52" t="s" s="791">
        <f>VLOOKUP(VLOOKUP(E52,'BDD'!$A$2:$P$428,15,FALSE),'Suppl'!$D$64:$E$68,2,FALSE)</f>
        <v>1751</v>
      </c>
      <c r="O52" s="795"/>
      <c r="P52" s="796"/>
      <c r="Q52" s="796"/>
      <c r="R52" s="796"/>
      <c r="S52" s="797">
        <f>IF(N52='Suppl'!$E$65,0,IF(N52='Suppl'!$E$66,1/2/(_xlfn.COUNTIFS($D1:$D100,D52,$N1:$N100,"Exigences"&amp;"*",G1:G100,"&lt;&gt;0")+_xlfn.COUNTIFS($D1:$D100,D52,$N1:$N100,"Non"&amp;"*",G1:G100,"&lt;&gt;0")),IF(N52='Suppl'!$E$67,1/(_xlfn.COUNTIFS($D1:$D100,D52,$N1:$N100,"Exigences"&amp;"*",G1:G100,"&lt;&gt;0")+_xlfn.COUNTIFS($D1:$D100,D52,$N1:$N100,"Non"&amp;"*",G1:G100,"&lt;&gt;0")),0)))</f>
        <v>0</v>
      </c>
      <c r="T52" s="797"/>
      <c r="U52" s="797"/>
      <c r="V52" s="798"/>
      <c r="W52" s="789">
        <f>_xlfn.IFERROR(IF(N52='Suppl'!$E$65,0,IF(N52='Suppl'!$E$66,1/2/(_xlfn.COUNTIFS($N1:$N100,"Exigences"&amp;"*")+_xlfn.COUNTIFS($N1:$N100,"Non"&amp;"*")),IF(N52='Suppl'!$E$67,1/(_xlfn.COUNTIFS($N1:$N100,"Exigences"&amp;"*")+_xlfn.COUNTIFS($N1:$N100,"Non"&amp;"*")),0))),0)</f>
        <v>0</v>
      </c>
      <c r="X52" s="586"/>
      <c r="Y52" s="586"/>
      <c r="Z52" s="586"/>
      <c r="AA52" s="586"/>
      <c r="AB52" s="586"/>
      <c r="AC52" s="586"/>
      <c r="AD52" s="586"/>
      <c r="AE52" s="586"/>
      <c r="AF52" s="586"/>
      <c r="AG52" s="586"/>
      <c r="AH52" s="505"/>
      <c r="AI52" s="585"/>
    </row>
    <row r="53" ht="30" customHeight="1">
      <c r="A53" s="504"/>
      <c r="B53" s="753"/>
      <c r="C53" t="s" s="754">
        <f>IF(LEFT(RIGHT($B$1,2),1)=" ",RIGHT($B$1,1),RIGHT($B$1,2))</f>
        <v>1761</v>
      </c>
      <c r="D53" s="755">
        <f>IF(LEFT(F53,5)="Bonne",D51+1,D52)</f>
        <v>4</v>
      </c>
      <c r="E53" t="s" s="778">
        <f>C53&amp;D53&amp;RIGHT(F53,1)</f>
        <v>1810</v>
      </c>
      <c r="F53" t="s" s="779">
        <v>1774</v>
      </c>
      <c r="G53" t="s" s="780">
        <v>353</v>
      </c>
      <c r="H53" s="781"/>
      <c r="I53" s="782"/>
      <c r="J53" t="s" s="792">
        <v>271</v>
      </c>
      <c r="K53" s="782"/>
      <c r="L53" s="793"/>
      <c r="M53" s="794">
        <f>IF(N53="Exigences partiellement respectées",1,IF(N53="Exigences respectées",2,0))</f>
        <v>0</v>
      </c>
      <c r="N53" t="s" s="780">
        <f>VLOOKUP(VLOOKUP(E53,'BDD'!$A$2:$P$428,15,FALSE),'Suppl'!$D$64:$E$68,2,FALSE)</f>
        <v>1751</v>
      </c>
      <c r="O53" s="795"/>
      <c r="P53" s="796"/>
      <c r="Q53" s="796"/>
      <c r="R53" s="796"/>
      <c r="S53" s="797">
        <f>IF(N53='Suppl'!$E$65,0,IF(N53='Suppl'!$E$66,1/2/(_xlfn.COUNTIFS($D1:$D100,D53,$N1:$N100,"Exigences"&amp;"*",G1:G100,"&lt;&gt;0")+_xlfn.COUNTIFS($D1:$D100,D53,$N1:$N100,"Non"&amp;"*",G1:G100,"&lt;&gt;0")),IF(N53='Suppl'!$E$67,1/(_xlfn.COUNTIFS($D1:$D100,D53,$N1:$N100,"Exigences"&amp;"*",G1:G100,"&lt;&gt;0")+_xlfn.COUNTIFS($D1:$D100,D53,$N1:$N100,"Non"&amp;"*",G1:G100,"&lt;&gt;0")),0)))</f>
        <v>0</v>
      </c>
      <c r="T53" s="797"/>
      <c r="U53" s="797"/>
      <c r="V53" s="798"/>
      <c r="W53" s="789">
        <f>_xlfn.IFERROR(IF(N53='Suppl'!$E$65,0,IF(N53='Suppl'!$E$66,1/2/(_xlfn.COUNTIFS($N1:$N100,"Exigences"&amp;"*")+_xlfn.COUNTIFS($N1:$N100,"Non"&amp;"*")),IF(N53='Suppl'!$E$67,1/(_xlfn.COUNTIFS($N1:$N100,"Exigences"&amp;"*")+_xlfn.COUNTIFS($N1:$N100,"Non"&amp;"*")),0))),0)</f>
        <v>0</v>
      </c>
      <c r="X53" s="586"/>
      <c r="Y53" s="586"/>
      <c r="Z53" s="586"/>
      <c r="AA53" s="586"/>
      <c r="AB53" s="586"/>
      <c r="AC53" s="586"/>
      <c r="AD53" s="586"/>
      <c r="AE53" s="586"/>
      <c r="AF53" s="586"/>
      <c r="AG53" s="586"/>
      <c r="AH53" s="505"/>
      <c r="AI53" s="585"/>
    </row>
    <row r="54" ht="30" customHeight="1">
      <c r="A54" s="504"/>
      <c r="B54" s="753"/>
      <c r="C54" t="s" s="754">
        <f>IF(LEFT(RIGHT($B$1,2),1)=" ",RIGHT($B$1,1),RIGHT($B$1,2))</f>
        <v>1761</v>
      </c>
      <c r="D54" s="755">
        <f>IF(LEFT(F54,5)="Bonne",D52+1,D53)</f>
        <v>4</v>
      </c>
      <c r="E54" t="s" s="778">
        <f>C54&amp;D54&amp;RIGHT(F54,1)</f>
        <v>1805</v>
      </c>
      <c r="F54" t="s" s="790">
        <v>1776</v>
      </c>
      <c r="G54" t="s" s="791">
        <v>356</v>
      </c>
      <c r="H54" s="781"/>
      <c r="I54" s="782"/>
      <c r="J54" t="s" s="792">
        <v>271</v>
      </c>
      <c r="K54" s="782"/>
      <c r="L54" s="793"/>
      <c r="M54" s="794">
        <f>IF(N54="Exigences partiellement respectées",1,IF(N54="Exigences respectées",2,0))</f>
        <v>0</v>
      </c>
      <c r="N54" t="s" s="791">
        <f>VLOOKUP(VLOOKUP(E54,'BDD'!$A$2:$P$428,15,FALSE),'Suppl'!$D$64:$E$68,2,FALSE)</f>
        <v>1751</v>
      </c>
      <c r="O54" s="795"/>
      <c r="P54" s="796"/>
      <c r="Q54" s="796"/>
      <c r="R54" s="796"/>
      <c r="S54" s="797">
        <f>IF(N54='Suppl'!$E$65,0,IF(N54='Suppl'!$E$66,1/2/(_xlfn.COUNTIFS($D1:$D100,D54,$N1:$N100,"Exigences"&amp;"*",G1:G100,"&lt;&gt;0")+_xlfn.COUNTIFS($D1:$D100,D54,$N1:$N100,"Non"&amp;"*",G1:G100,"&lt;&gt;0")),IF(N54='Suppl'!$E$67,1/(_xlfn.COUNTIFS($D1:$D100,D54,$N1:$N100,"Exigences"&amp;"*",G1:G100,"&lt;&gt;0")+_xlfn.COUNTIFS($D1:$D100,D54,$N1:$N100,"Non"&amp;"*",G1:G100,"&lt;&gt;0")),0)))</f>
        <v>0</v>
      </c>
      <c r="T54" s="797"/>
      <c r="U54" s="797"/>
      <c r="V54" s="798"/>
      <c r="W54" s="789">
        <f>_xlfn.IFERROR(IF(N54='Suppl'!$E$65,0,IF(N54='Suppl'!$E$66,1/2/(_xlfn.COUNTIFS($N1:$N100,"Exigences"&amp;"*")+_xlfn.COUNTIFS($N1:$N100,"Non"&amp;"*")),IF(N54='Suppl'!$E$67,1/(_xlfn.COUNTIFS($N1:$N100,"Exigences"&amp;"*")+_xlfn.COUNTIFS($N1:$N100,"Non"&amp;"*")),0))),0)</f>
        <v>0</v>
      </c>
      <c r="X54" s="586"/>
      <c r="Y54" s="586"/>
      <c r="Z54" s="586"/>
      <c r="AA54" s="586"/>
      <c r="AB54" s="586"/>
      <c r="AC54" s="586"/>
      <c r="AD54" s="586"/>
      <c r="AE54" s="586"/>
      <c r="AF54" s="586"/>
      <c r="AG54" s="586"/>
      <c r="AH54" s="505"/>
      <c r="AI54" s="585"/>
    </row>
    <row r="55" ht="41.4" customHeight="1">
      <c r="A55" s="504"/>
      <c r="B55" s="753"/>
      <c r="C55" t="s" s="754">
        <f>IF(LEFT(RIGHT($B$1,2),1)=" ",RIGHT($B$1,1),RIGHT($B$1,2))</f>
        <v>1761</v>
      </c>
      <c r="D55" s="755">
        <f>IF(LEFT(F55,5)="Bonne",D53+1,D54)</f>
        <v>4</v>
      </c>
      <c r="E55" t="s" s="778">
        <f>C55&amp;D55&amp;RIGHT(F55,1)</f>
        <v>1811</v>
      </c>
      <c r="F55" t="s" s="779">
        <v>1778</v>
      </c>
      <c r="G55" t="s" s="780">
        <v>359</v>
      </c>
      <c r="H55" s="781"/>
      <c r="I55" s="782"/>
      <c r="J55" s="782"/>
      <c r="K55" t="s" s="792">
        <v>291</v>
      </c>
      <c r="L55" s="793"/>
      <c r="M55" s="794">
        <f>IF(N55="Exigences partiellement respectées",1,IF(N55="Exigences respectées",2,0))</f>
        <v>0</v>
      </c>
      <c r="N55" t="s" s="780">
        <f>VLOOKUP(VLOOKUP(E55,'BDD'!$A$2:$P$428,15,FALSE),'Suppl'!$D$64:$E$68,2,FALSE)</f>
        <v>1751</v>
      </c>
      <c r="O55" s="795"/>
      <c r="P55" s="796"/>
      <c r="Q55" s="796"/>
      <c r="R55" s="796"/>
      <c r="S55" s="797">
        <f>IF(N55='Suppl'!$E$65,0,IF(N55='Suppl'!$E$66,1/2/(_xlfn.COUNTIFS($D1:$D100,D55,$N1:$N100,"Exigences"&amp;"*",G1:G100,"&lt;&gt;0")+_xlfn.COUNTIFS($D1:$D100,D55,$N1:$N100,"Non"&amp;"*",G1:G100,"&lt;&gt;0")),IF(N55='Suppl'!$E$67,1/(_xlfn.COUNTIFS($D1:$D100,D55,$N1:$N100,"Exigences"&amp;"*",G1:G100,"&lt;&gt;0")+_xlfn.COUNTIFS($D1:$D100,D55,$N1:$N100,"Non"&amp;"*",G1:G100,"&lt;&gt;0")),0)))</f>
        <v>0</v>
      </c>
      <c r="T55" s="797"/>
      <c r="U55" s="797"/>
      <c r="V55" s="798"/>
      <c r="W55" s="789">
        <f>_xlfn.IFERROR(IF(N55='Suppl'!$E$65,0,IF(N55='Suppl'!$E$66,1/2/(_xlfn.COUNTIFS($N1:$N100,"Exigences"&amp;"*")+_xlfn.COUNTIFS($N1:$N100,"Non"&amp;"*")),IF(N55='Suppl'!$E$67,1/(_xlfn.COUNTIFS($N1:$N100,"Exigences"&amp;"*")+_xlfn.COUNTIFS($N1:$N100,"Non"&amp;"*")),0))),0)</f>
        <v>0</v>
      </c>
      <c r="X55" s="586"/>
      <c r="Y55" s="586"/>
      <c r="Z55" s="586"/>
      <c r="AA55" s="586"/>
      <c r="AB55" s="586"/>
      <c r="AC55" s="586"/>
      <c r="AD55" s="586"/>
      <c r="AE55" s="586"/>
      <c r="AF55" s="586"/>
      <c r="AG55" s="586"/>
      <c r="AH55" s="505"/>
      <c r="AI55" s="585"/>
    </row>
    <row r="56" ht="55.2" customHeight="1">
      <c r="A56" s="504"/>
      <c r="B56" s="753"/>
      <c r="C56" t="s" s="754">
        <f>IF(LEFT(RIGHT($B$1,2),1)=" ",RIGHT($B$1,1),RIGHT($B$1,2))</f>
        <v>1761</v>
      </c>
      <c r="D56" s="755">
        <f>IF(LEFT(F56,5)="Bonne",D54+1,D55)</f>
        <v>4</v>
      </c>
      <c r="E56" t="s" s="806">
        <f>C56&amp;D56&amp;RIGHT(F56,1)</f>
        <v>1812</v>
      </c>
      <c r="F56" t="s" s="790">
        <v>1780</v>
      </c>
      <c r="G56" t="s" s="791">
        <v>362</v>
      </c>
      <c r="H56" s="781"/>
      <c r="I56" s="782"/>
      <c r="J56" s="782"/>
      <c r="K56" s="782"/>
      <c r="L56" t="s" s="783">
        <v>256</v>
      </c>
      <c r="M56" s="800">
        <f>IF(N56="Exigences partiellement respectées",1,IF(N56="Exigences respectées",2,0))</f>
        <v>0</v>
      </c>
      <c r="N56" t="s" s="791">
        <f>VLOOKUP(VLOOKUP(E56,'BDD'!$A$2:$P$428,15,FALSE),'Suppl'!$D$64:$E$68,2,FALSE)</f>
        <v>1751</v>
      </c>
      <c r="O56" s="801"/>
      <c r="P56" s="802"/>
      <c r="Q56" s="802"/>
      <c r="R56" s="802"/>
      <c r="S56" s="803">
        <f>IF(N56='Suppl'!$E$65,0,IF(N56='Suppl'!$E$66,1/2/(_xlfn.COUNTIFS($D1:$D100,D56,$N1:$N100,"Exigences"&amp;"*",G1:G100,"&lt;&gt;0")+_xlfn.COUNTIFS($D1:$D100,D56,$N1:$N100,"Non"&amp;"*",G1:G100,"&lt;&gt;0")),IF(N56='Suppl'!$E$67,1/(_xlfn.COUNTIFS($D1:$D100,D56,$N1:$N100,"Exigences"&amp;"*",G1:G100,"&lt;&gt;0")+_xlfn.COUNTIFS($D1:$D100,D56,$N1:$N100,"Non"&amp;"*",G1:G100,"&lt;&gt;0")),0)))</f>
        <v>0</v>
      </c>
      <c r="T56" s="803"/>
      <c r="U56" s="803"/>
      <c r="V56" s="804"/>
      <c r="W56" s="789">
        <f>_xlfn.IFERROR(IF(N56='Suppl'!$E$65,0,IF(N56='Suppl'!$E$66,1/2/(_xlfn.COUNTIFS($N1:$N100,"Exigences"&amp;"*")+_xlfn.COUNTIFS($N1:$N100,"Non"&amp;"*")),IF(N56='Suppl'!$E$67,1/(_xlfn.COUNTIFS($N1:$N100,"Exigences"&amp;"*")+_xlfn.COUNTIFS($N1:$N100,"Non"&amp;"*")),0))),0)</f>
        <v>0</v>
      </c>
      <c r="X56" s="586"/>
      <c r="Y56" s="586"/>
      <c r="Z56" s="586"/>
      <c r="AA56" s="586"/>
      <c r="AB56" s="586"/>
      <c r="AC56" s="586"/>
      <c r="AD56" s="586"/>
      <c r="AE56" s="586"/>
      <c r="AF56" s="586"/>
      <c r="AG56" s="586"/>
      <c r="AH56" s="505"/>
      <c r="AI56" s="585"/>
    </row>
    <row r="57" ht="30" customHeight="1">
      <c r="A57" s="504"/>
      <c r="B57" s="753"/>
      <c r="C57" t="s" s="754">
        <f>IF(LEFT(RIGHT($B$1,2),1)=" ",RIGHT($B$1,1),RIGHT($B$1,2))</f>
        <v>1761</v>
      </c>
      <c r="D57" s="755">
        <f>IF(LEFT(F57,5)="Bonne",D55+1,D56)</f>
        <v>5</v>
      </c>
      <c r="E57" s="807"/>
      <c r="F57" t="s" s="757">
        <v>1814</v>
      </c>
      <c r="G57" t="s" s="758">
        <f>VLOOKUP(E59,'BDD'!$A$2:$N$567,6,FALSE)</f>
        <v>366</v>
      </c>
      <c r="H57" s="759"/>
      <c r="I57" s="760"/>
      <c r="J57" s="760"/>
      <c r="K57" s="760"/>
      <c r="L57" s="761"/>
      <c r="M57" s="762"/>
      <c r="N57" s="763"/>
      <c r="O57" s="764">
        <v>0</v>
      </c>
      <c r="P57" s="764"/>
      <c r="Q57" s="764"/>
      <c r="R57" s="764"/>
      <c r="S57" s="765">
        <f>_xlfn.SUMIFS(S1:S100,$D1:$D100,D57,$N1:$N100,"Exigences"&amp;"*")</f>
      </c>
      <c r="T57" s="765"/>
      <c r="U57" s="765"/>
      <c r="V57" s="766"/>
      <c r="W57" s="789">
        <f>_xlfn.IFERROR(IF(N57='Suppl'!$E$65,0,IF(N57='Suppl'!$E$66,1/2/(_xlfn.COUNTIFS($N1:$N100,"Exigences"&amp;"*")+_xlfn.COUNTIFS($N1:$N100,"Non"&amp;"*")),IF(N57='Suppl'!$E$67,1/(_xlfn.COUNTIFS($N1:$N100,"Exigences"&amp;"*")+_xlfn.COUNTIFS($N1:$N100,"Non"&amp;"*")),0))),0)</f>
        <v>0</v>
      </c>
      <c r="X57" s="586"/>
      <c r="Y57" s="586"/>
      <c r="Z57" s="586"/>
      <c r="AA57" s="586"/>
      <c r="AB57" s="586"/>
      <c r="AC57" s="586"/>
      <c r="AD57" s="586"/>
      <c r="AE57" s="586"/>
      <c r="AF57" s="586"/>
      <c r="AG57" s="586"/>
      <c r="AH57" s="505"/>
      <c r="AI57" s="585"/>
    </row>
    <row r="58" ht="30" customHeight="1">
      <c r="A58" s="504"/>
      <c r="B58" s="753"/>
      <c r="C58" t="s" s="754">
        <f>IF(LEFT(RIGHT($B$1,2),1)=" ",RIGHT($B$1,1),RIGHT($B$1,2))</f>
        <v>1761</v>
      </c>
      <c r="D58" s="755">
        <f>IF(LEFT(F58,5)="Bonne",D56+1,D57)</f>
        <v>5</v>
      </c>
      <c r="E58" s="808"/>
      <c r="F58" t="s" s="769">
        <v>1835</v>
      </c>
      <c r="G58" t="s" s="809">
        <f>VLOOKUP(E60,'BDD'!$A$2:$N$567,7,FALSE)</f>
        <v>1845</v>
      </c>
      <c r="H58" s="810"/>
      <c r="I58" s="810"/>
      <c r="J58" s="810"/>
      <c r="K58" s="810"/>
      <c r="L58" s="810"/>
      <c r="M58" s="810"/>
      <c r="N58" s="811"/>
      <c r="O58" s="775"/>
      <c r="P58" s="775"/>
      <c r="Q58" s="775"/>
      <c r="R58" s="775"/>
      <c r="S58" s="776"/>
      <c r="T58" s="776"/>
      <c r="U58" s="776"/>
      <c r="V58" s="777"/>
      <c r="W58" s="789">
        <f>_xlfn.IFERROR(IF(N58='Suppl'!$E$65,0,IF(N58='Suppl'!$E$66,1/2/(_xlfn.COUNTIFS($N1:$N100,"Exigences"&amp;"*")+_xlfn.COUNTIFS($N1:$N100,"Non"&amp;"*")),IF(N58='Suppl'!$E$67,1/(_xlfn.COUNTIFS($N1:$N100,"Exigences"&amp;"*")+_xlfn.COUNTIFS($N1:$N100,"Non"&amp;"*")),0))),0)</f>
        <v>0</v>
      </c>
      <c r="X58" s="586"/>
      <c r="Y58" s="586"/>
      <c r="Z58" s="586"/>
      <c r="AA58" s="586"/>
      <c r="AB58" s="586"/>
      <c r="AC58" s="586"/>
      <c r="AD58" s="586"/>
      <c r="AE58" s="586"/>
      <c r="AF58" s="586"/>
      <c r="AG58" s="586"/>
      <c r="AH58" s="505"/>
      <c r="AI58" s="585"/>
    </row>
    <row r="59" ht="30" customHeight="1">
      <c r="A59" s="504"/>
      <c r="B59" s="753"/>
      <c r="C59" t="s" s="754">
        <f>IF(LEFT(RIGHT($B$1,2),1)=" ",RIGHT($B$1,1),RIGHT($B$1,2))</f>
        <v>1761</v>
      </c>
      <c r="D59" s="755">
        <f>IF(LEFT(F59,5)="Bonne",D57+1,D58)</f>
        <v>5</v>
      </c>
      <c r="E59" t="s" s="812">
        <f>C59&amp;D59&amp;RIGHT(F59,1)</f>
        <v>1846</v>
      </c>
      <c r="F59" t="s" s="779">
        <v>1769</v>
      </c>
      <c r="G59" t="s" s="780">
        <v>368</v>
      </c>
      <c r="H59" s="781"/>
      <c r="I59" s="782"/>
      <c r="J59" t="s" s="792">
        <v>271</v>
      </c>
      <c r="K59" s="782"/>
      <c r="L59" s="793"/>
      <c r="M59" s="784">
        <f>IF(N59="Exigences partiellement respectées",1,IF(N59="Exigences respectées",2,0))</f>
        <v>0</v>
      </c>
      <c r="N59" t="s" s="780">
        <f>VLOOKUP(VLOOKUP(E59,'BDD'!$A$2:$P$428,15,FALSE),'Suppl'!$D$64:$E$68,2,FALSE)</f>
        <v>1751</v>
      </c>
      <c r="O59" s="785"/>
      <c r="P59" s="786"/>
      <c r="Q59" s="786"/>
      <c r="R59" s="786"/>
      <c r="S59" s="787">
        <f>IF(N59='Suppl'!$E$65,0,IF(N59='Suppl'!$E$66,1/2/(_xlfn.COUNTIFS($D1:$D100,D59,$N1:$N100,"Exigences"&amp;"*",G1:G100,"&lt;&gt;0")+_xlfn.COUNTIFS($D1:$D100,D59,$N1:$N100,"Non"&amp;"*",G1:G100,"&lt;&gt;0")),IF(N59='Suppl'!$E$67,1/(_xlfn.COUNTIFS($D1:$D100,D59,$N1:$N100,"Exigences"&amp;"*",G1:G100,"&lt;&gt;0")+_xlfn.COUNTIFS($D1:$D100,D59,$N1:$N100,"Non"&amp;"*",G1:G100,"&lt;&gt;0")),0)))</f>
        <v>0</v>
      </c>
      <c r="T59" s="787"/>
      <c r="U59" s="787"/>
      <c r="V59" s="788"/>
      <c r="W59" s="789">
        <f>_xlfn.IFERROR(IF(N59='Suppl'!$E$65,0,IF(N59='Suppl'!$E$66,1/2/(_xlfn.COUNTIFS($N1:$N100,"Exigences"&amp;"*")+_xlfn.COUNTIFS($N1:$N100,"Non"&amp;"*")),IF(N59='Suppl'!$E$67,1/(_xlfn.COUNTIFS($N1:$N100,"Exigences"&amp;"*")+_xlfn.COUNTIFS($N1:$N100,"Non"&amp;"*")),0))),0)</f>
        <v>0</v>
      </c>
      <c r="X59" s="586"/>
      <c r="Y59" s="586"/>
      <c r="Z59" s="586"/>
      <c r="AA59" s="586"/>
      <c r="AB59" s="586"/>
      <c r="AC59" s="586"/>
      <c r="AD59" s="586"/>
      <c r="AE59" s="586"/>
      <c r="AF59" s="586"/>
      <c r="AG59" s="586"/>
      <c r="AH59" s="505"/>
      <c r="AI59" s="585"/>
    </row>
    <row r="60" ht="41.4" customHeight="1">
      <c r="A60" s="504"/>
      <c r="B60" s="753"/>
      <c r="C60" t="s" s="754">
        <f>IF(LEFT(RIGHT($B$1,2),1)=" ",RIGHT($B$1,1),RIGHT($B$1,2))</f>
        <v>1761</v>
      </c>
      <c r="D60" s="755">
        <f>IF(LEFT(F60,5)="Bonne",D58+1,D59)</f>
        <v>5</v>
      </c>
      <c r="E60" t="s" s="778">
        <f>C60&amp;D60&amp;RIGHT(F60,1)</f>
        <v>1847</v>
      </c>
      <c r="F60" t="s" s="790">
        <v>1837</v>
      </c>
      <c r="G60" t="s" s="791">
        <v>372</v>
      </c>
      <c r="H60" s="781"/>
      <c r="I60" s="782"/>
      <c r="J60" t="s" s="792">
        <v>271</v>
      </c>
      <c r="K60" s="782"/>
      <c r="L60" s="793"/>
      <c r="M60" s="794">
        <f>IF(N60="Exigences partiellement respectées",1,IF(N60="Exigences respectées",2,0))</f>
        <v>0</v>
      </c>
      <c r="N60" t="s" s="791">
        <f>VLOOKUP(VLOOKUP(E60,'BDD'!$A$2:$P$428,15,FALSE),'Suppl'!$D$64:$E$68,2,FALSE)</f>
        <v>1751</v>
      </c>
      <c r="O60" s="795"/>
      <c r="P60" s="796"/>
      <c r="Q60" s="796"/>
      <c r="R60" s="796"/>
      <c r="S60" s="797">
        <f>IF(N60='Suppl'!$E$65,0,IF(N60='Suppl'!$E$66,1/2/(_xlfn.COUNTIFS($D1:$D100,D60,$N1:$N100,"Exigences"&amp;"*",G1:G100,"&lt;&gt;0")+_xlfn.COUNTIFS($D1:$D100,D60,$N1:$N100,"Non"&amp;"*",G1:G100,"&lt;&gt;0")),IF(N60='Suppl'!$E$67,1/(_xlfn.COUNTIFS($D1:$D100,D60,$N1:$N100,"Exigences"&amp;"*",G1:G100,"&lt;&gt;0")+_xlfn.COUNTIFS($D1:$D100,D60,$N1:$N100,"Non"&amp;"*",G1:G100,"&lt;&gt;0")),0)))</f>
        <v>0</v>
      </c>
      <c r="T60" s="797"/>
      <c r="U60" s="797"/>
      <c r="V60" s="798"/>
      <c r="W60" s="789">
        <f>_xlfn.IFERROR(IF(N60='Suppl'!$E$65,0,IF(N60='Suppl'!$E$66,1/2/(_xlfn.COUNTIFS($N1:$N100,"Exigences"&amp;"*")+_xlfn.COUNTIFS($N1:$N100,"Non"&amp;"*")),IF(N60='Suppl'!$E$67,1/(_xlfn.COUNTIFS($N1:$N100,"Exigences"&amp;"*")+_xlfn.COUNTIFS($N1:$N100,"Non"&amp;"*")),0))),0)</f>
        <v>0</v>
      </c>
      <c r="X60" s="586"/>
      <c r="Y60" s="586"/>
      <c r="Z60" s="586"/>
      <c r="AA60" s="586"/>
      <c r="AB60" s="586"/>
      <c r="AC60" s="586"/>
      <c r="AD60" s="586"/>
      <c r="AE60" s="586"/>
      <c r="AF60" s="586"/>
      <c r="AG60" s="586"/>
      <c r="AH60" s="505"/>
      <c r="AI60" s="585"/>
    </row>
    <row r="61" ht="41.4" customHeight="1">
      <c r="A61" s="504"/>
      <c r="B61" s="753"/>
      <c r="C61" t="s" s="754">
        <f>IF(LEFT(RIGHT($B$1,2),1)=" ",RIGHT($B$1,1),RIGHT($B$1,2))</f>
        <v>1761</v>
      </c>
      <c r="D61" s="755">
        <f>IF(LEFT(F61,5)="Bonne",D59+1,D60)</f>
        <v>5</v>
      </c>
      <c r="E61" t="s" s="778">
        <f>C61&amp;D61&amp;RIGHT(F61,1)</f>
        <v>1848</v>
      </c>
      <c r="F61" t="s" s="779">
        <v>1774</v>
      </c>
      <c r="G61" t="s" s="780">
        <v>1849</v>
      </c>
      <c r="H61" s="781"/>
      <c r="I61" s="782"/>
      <c r="J61" t="s" s="792">
        <v>271</v>
      </c>
      <c r="K61" s="782"/>
      <c r="L61" s="793"/>
      <c r="M61" s="794">
        <f>IF(N61="Exigences partiellement respectées",1,IF(N61="Exigences respectées",2,0))</f>
        <v>0</v>
      </c>
      <c r="N61" t="s" s="780">
        <f>VLOOKUP(VLOOKUP(E61,'BDD'!$A$2:$P$428,15,FALSE),'Suppl'!$D$64:$E$68,2,FALSE)</f>
        <v>1751</v>
      </c>
      <c r="O61" s="795"/>
      <c r="P61" s="796"/>
      <c r="Q61" s="796"/>
      <c r="R61" s="796"/>
      <c r="S61" s="797">
        <f>IF(N61='Suppl'!$E$65,0,IF(N61='Suppl'!$E$66,1/2/(_xlfn.COUNTIFS($D1:$D100,D61,$N1:$N100,"Exigences"&amp;"*",G1:G100,"&lt;&gt;0")+_xlfn.COUNTIFS($D1:$D100,D61,$N1:$N100,"Non"&amp;"*",G1:G100,"&lt;&gt;0")),IF(N61='Suppl'!$E$67,1/(_xlfn.COUNTIFS($D1:$D100,D61,$N1:$N100,"Exigences"&amp;"*",G1:G100,"&lt;&gt;0")+_xlfn.COUNTIFS($D1:$D100,D61,$N1:$N100,"Non"&amp;"*",G1:G100,"&lt;&gt;0")),0)))</f>
        <v>0</v>
      </c>
      <c r="T61" s="797"/>
      <c r="U61" s="797"/>
      <c r="V61" s="798"/>
      <c r="W61" s="789">
        <f>_xlfn.IFERROR(IF(N61='Suppl'!$E$65,0,IF(N61='Suppl'!$E$66,1/2/(_xlfn.COUNTIFS($N1:$N100,"Exigences"&amp;"*")+_xlfn.COUNTIFS($N1:$N100,"Non"&amp;"*")),IF(N61='Suppl'!$E$67,1/(_xlfn.COUNTIFS($N1:$N100,"Exigences"&amp;"*")+_xlfn.COUNTIFS($N1:$N100,"Non"&amp;"*")),0))),0)</f>
        <v>0</v>
      </c>
      <c r="X61" s="586"/>
      <c r="Y61" s="586"/>
      <c r="Z61" s="586"/>
      <c r="AA61" s="586"/>
      <c r="AB61" s="586"/>
      <c r="AC61" s="586"/>
      <c r="AD61" s="586"/>
      <c r="AE61" s="586"/>
      <c r="AF61" s="586"/>
      <c r="AG61" s="586"/>
      <c r="AH61" s="505"/>
      <c r="AI61" s="585"/>
    </row>
    <row r="62" ht="30" customHeight="1">
      <c r="A62" s="504"/>
      <c r="B62" s="753"/>
      <c r="C62" t="s" s="754">
        <f>IF(LEFT(RIGHT($B$1,2),1)=" ",RIGHT($B$1,1),RIGHT($B$1,2))</f>
        <v>1761</v>
      </c>
      <c r="D62" s="755">
        <f>IF(LEFT(F62,5)="Bonne",D60+1,D61)</f>
        <v>5</v>
      </c>
      <c r="E62" t="s" s="778">
        <f>C62&amp;D62&amp;RIGHT(F62,1)</f>
        <v>1850</v>
      </c>
      <c r="F62" t="s" s="790">
        <v>1776</v>
      </c>
      <c r="G62" t="s" s="791">
        <v>379</v>
      </c>
      <c r="H62" s="781"/>
      <c r="I62" s="782"/>
      <c r="J62" s="782"/>
      <c r="K62" t="s" s="792">
        <v>291</v>
      </c>
      <c r="L62" s="793"/>
      <c r="M62" s="794">
        <f>IF(N62="Exigences partiellement respectées",1,IF(N62="Exigences respectées",2,0))</f>
        <v>0</v>
      </c>
      <c r="N62" t="s" s="791">
        <f>VLOOKUP(VLOOKUP(E62,'BDD'!$A$2:$P$428,15,FALSE),'Suppl'!$D$64:$E$68,2,FALSE)</f>
        <v>1751</v>
      </c>
      <c r="O62" s="795"/>
      <c r="P62" s="796"/>
      <c r="Q62" s="796"/>
      <c r="R62" s="796"/>
      <c r="S62" s="797">
        <f>IF(N62='Suppl'!$E$65,0,IF(N62='Suppl'!$E$66,1/2/(_xlfn.COUNTIFS($D1:$D100,D62,$N1:$N100,"Exigences"&amp;"*",G1:G100,"&lt;&gt;0")+_xlfn.COUNTIFS($D1:$D100,D62,$N1:$N100,"Non"&amp;"*",G1:G100,"&lt;&gt;0")),IF(N62='Suppl'!$E$67,1/(_xlfn.COUNTIFS($D1:$D100,D62,$N1:$N100,"Exigences"&amp;"*",G1:G100,"&lt;&gt;0")+_xlfn.COUNTIFS($D1:$D100,D62,$N1:$N100,"Non"&amp;"*",G1:G100,"&lt;&gt;0")),0)))</f>
        <v>0</v>
      </c>
      <c r="T62" s="797"/>
      <c r="U62" s="797"/>
      <c r="V62" s="798"/>
      <c r="W62" s="789">
        <f>_xlfn.IFERROR(IF(N62='Suppl'!$E$65,0,IF(N62='Suppl'!$E$66,1/2/(_xlfn.COUNTIFS($N1:$N100,"Exigences"&amp;"*")+_xlfn.COUNTIFS($N1:$N100,"Non"&amp;"*")),IF(N62='Suppl'!$E$67,1/(_xlfn.COUNTIFS($N1:$N100,"Exigences"&amp;"*")+_xlfn.COUNTIFS($N1:$N100,"Non"&amp;"*")),0))),0)</f>
        <v>0</v>
      </c>
      <c r="X62" s="586"/>
      <c r="Y62" s="586"/>
      <c r="Z62" s="586"/>
      <c r="AA62" s="586"/>
      <c r="AB62" s="586"/>
      <c r="AC62" s="586"/>
      <c r="AD62" s="586"/>
      <c r="AE62" s="586"/>
      <c r="AF62" s="586"/>
      <c r="AG62" s="586"/>
      <c r="AH62" s="505"/>
      <c r="AI62" s="585"/>
    </row>
    <row r="63" ht="41.4" customHeight="1">
      <c r="A63" s="504"/>
      <c r="B63" s="753"/>
      <c r="C63" t="s" s="754">
        <f>IF(LEFT(RIGHT($B$1,2),1)=" ",RIGHT($B$1,1),RIGHT($B$1,2))</f>
        <v>1761</v>
      </c>
      <c r="D63" s="755">
        <f>IF(LEFT(F63,5)="Bonne",D61+1,D62)</f>
        <v>5</v>
      </c>
      <c r="E63" t="s" s="778">
        <f>C63&amp;D63&amp;RIGHT(F63,1)</f>
        <v>1851</v>
      </c>
      <c r="F63" t="s" s="779">
        <v>1778</v>
      </c>
      <c r="G63" t="s" s="780">
        <v>1852</v>
      </c>
      <c r="H63" s="781"/>
      <c r="I63" s="782"/>
      <c r="J63" s="782"/>
      <c r="K63" s="782"/>
      <c r="L63" t="s" s="783">
        <v>256</v>
      </c>
      <c r="M63" s="794">
        <f>IF(N63="Exigences partiellement respectées",1,IF(N63="Exigences respectées",2,0))</f>
        <v>0</v>
      </c>
      <c r="N63" t="s" s="780">
        <f>VLOOKUP(VLOOKUP(E63,'BDD'!$A$2:$P$428,15,FALSE),'Suppl'!$D$64:$E$68,2,FALSE)</f>
        <v>1751</v>
      </c>
      <c r="O63" s="813"/>
      <c r="P63" s="814"/>
      <c r="Q63" s="814"/>
      <c r="R63" s="814"/>
      <c r="S63" s="815">
        <f>IF(N63='Suppl'!$E$65,0,IF(N63='Suppl'!$E$66,1/2/(_xlfn.COUNTIFS($D1:$D100,D63,$N1:$N100,"Exigences"&amp;"*",G1:G100,"&lt;&gt;0")+_xlfn.COUNTIFS($D1:$D100,D63,$N1:$N100,"Non"&amp;"*",G1:G100,"&lt;&gt;0")),IF(N63='Suppl'!$E$67,1/(_xlfn.COUNTIFS($D1:$D100,D63,$N1:$N100,"Exigences"&amp;"*",G1:G100,"&lt;&gt;0")+_xlfn.COUNTIFS($D1:$D100,D63,$N1:$N100,"Non"&amp;"*",G1:G100,"&lt;&gt;0")),0)))</f>
        <v>0</v>
      </c>
      <c r="T63" s="815"/>
      <c r="U63" s="815"/>
      <c r="V63" s="816"/>
      <c r="W63" s="789">
        <f>_xlfn.IFERROR(IF(N63='Suppl'!$E$65,0,IF(N63='Suppl'!$E$66,1/2/(_xlfn.COUNTIFS($N1:$N100,"Exigences"&amp;"*")+_xlfn.COUNTIFS($N1:$N100,"Non"&amp;"*")),IF(N63='Suppl'!$E$67,1/(_xlfn.COUNTIFS($N1:$N100,"Exigences"&amp;"*")+_xlfn.COUNTIFS($N1:$N100,"Non"&amp;"*")),0))),0)</f>
        <v>0</v>
      </c>
      <c r="X63" s="586"/>
      <c r="Y63" s="586"/>
      <c r="Z63" s="586"/>
      <c r="AA63" s="586"/>
      <c r="AB63" s="586"/>
      <c r="AC63" s="586"/>
      <c r="AD63" s="586"/>
      <c r="AE63" s="586"/>
      <c r="AF63" s="586"/>
      <c r="AG63" s="586"/>
      <c r="AH63" s="505"/>
      <c r="AI63" s="585"/>
    </row>
    <row r="64" ht="30" customHeight="1">
      <c r="A64" s="504"/>
      <c r="B64" s="586"/>
      <c r="C64" s="586"/>
      <c r="D64" s="587"/>
      <c r="E64" s="587"/>
      <c r="F64" s="817"/>
      <c r="G64" s="818"/>
      <c r="H64" s="818"/>
      <c r="I64" s="818"/>
      <c r="J64" s="818"/>
      <c r="K64" s="818"/>
      <c r="L64" s="818"/>
      <c r="M64" s="102"/>
      <c r="N64" s="817"/>
      <c r="O64" s="817"/>
      <c r="P64" s="817"/>
      <c r="Q64" s="817"/>
      <c r="R64" s="817"/>
      <c r="S64" s="819"/>
      <c r="T64" s="819"/>
      <c r="U64" s="819"/>
      <c r="V64" s="819"/>
      <c r="W64" s="588"/>
      <c r="X64" s="586"/>
      <c r="Y64" s="586"/>
      <c r="Z64" s="586"/>
      <c r="AA64" s="586"/>
      <c r="AB64" s="586"/>
      <c r="AC64" s="586"/>
      <c r="AD64" s="586"/>
      <c r="AE64" s="586"/>
      <c r="AF64" s="586"/>
      <c r="AG64" s="586"/>
      <c r="AH64" s="505"/>
      <c r="AI64" s="585"/>
    </row>
    <row r="65" ht="30" customHeight="1">
      <c r="A65" t="s" s="820">
        <v>171</v>
      </c>
      <c r="B65" s="505"/>
      <c r="C65" s="505"/>
      <c r="D65" s="505"/>
      <c r="E65" s="505"/>
      <c r="F65" s="505"/>
      <c r="G65" s="616"/>
      <c r="H65" s="616"/>
      <c r="I65" s="616"/>
      <c r="J65" s="616"/>
      <c r="K65" s="616"/>
      <c r="L65" s="616"/>
      <c r="M65" s="616"/>
      <c r="N65" s="505"/>
      <c r="O65" s="505"/>
      <c r="P65" s="505"/>
      <c r="Q65" s="505"/>
      <c r="R65" s="505"/>
      <c r="S65" s="505"/>
      <c r="T65" s="505"/>
      <c r="U65" s="505"/>
      <c r="V65" s="505"/>
      <c r="W65" s="821"/>
      <c r="X65" s="505"/>
      <c r="Y65" s="505"/>
      <c r="Z65" s="505"/>
      <c r="AA65" s="505"/>
      <c r="AB65" s="505"/>
      <c r="AC65" s="505"/>
      <c r="AD65" s="505"/>
      <c r="AE65" s="505"/>
      <c r="AF65" s="505"/>
      <c r="AG65" s="505"/>
      <c r="AH65" t="s" s="735">
        <v>171</v>
      </c>
      <c r="AI65" s="585"/>
    </row>
    <row r="66" ht="14.4" customHeight="1">
      <c r="A66" s="822"/>
      <c r="B66" s="25"/>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823"/>
    </row>
    <row r="67" ht="14.4" customHeight="1">
      <c r="A67" s="822"/>
      <c r="B67" s="25"/>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823"/>
    </row>
    <row r="68" ht="14.4" customHeight="1">
      <c r="A68" s="822"/>
      <c r="B68" s="25"/>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823"/>
    </row>
    <row r="69" ht="14.4" customHeight="1">
      <c r="A69" s="822"/>
      <c r="B69" s="25"/>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823"/>
    </row>
    <row r="70" ht="14.4" customHeight="1">
      <c r="A70" s="822"/>
      <c r="B70" s="25"/>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823"/>
    </row>
    <row r="71" ht="14.4" customHeight="1">
      <c r="A71" s="822"/>
      <c r="B71" s="25"/>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823"/>
    </row>
    <row r="72" ht="14.4" customHeight="1">
      <c r="A72" s="822"/>
      <c r="B72" s="25"/>
      <c r="C72" s="25"/>
      <c r="D72" s="25"/>
      <c r="E72" s="25"/>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823"/>
    </row>
    <row r="73" ht="14.4" customHeight="1">
      <c r="A73" s="822"/>
      <c r="B73" s="25"/>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823"/>
    </row>
    <row r="74" ht="14.4" customHeight="1">
      <c r="A74" s="822"/>
      <c r="B74" s="25"/>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823"/>
    </row>
    <row r="75" ht="14.4" customHeight="1">
      <c r="A75" s="822"/>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823"/>
    </row>
    <row r="76" ht="14.4" customHeight="1">
      <c r="A76" s="822"/>
      <c r="B76" s="25"/>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823"/>
    </row>
    <row r="77" ht="14.4" customHeight="1">
      <c r="A77" s="822"/>
      <c r="B77" s="25"/>
      <c r="C77" s="25"/>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823"/>
    </row>
    <row r="78" ht="14.4" customHeight="1">
      <c r="A78" s="822"/>
      <c r="B78" s="25"/>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823"/>
    </row>
    <row r="79" ht="14.4" customHeight="1">
      <c r="A79" s="822"/>
      <c r="B79" s="25"/>
      <c r="C79" s="25"/>
      <c r="D79" s="25"/>
      <c r="E79" s="25"/>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823"/>
    </row>
    <row r="80" ht="14.4" customHeight="1">
      <c r="A80" s="822"/>
      <c r="B80" s="25"/>
      <c r="C80" s="25"/>
      <c r="D80" s="25"/>
      <c r="E80" s="25"/>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823"/>
    </row>
    <row r="81" ht="14.4" customHeight="1">
      <c r="A81" s="822"/>
      <c r="B81" s="25"/>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823"/>
    </row>
    <row r="82" ht="14.4" customHeight="1">
      <c r="A82" s="822"/>
      <c r="B82" s="25"/>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823"/>
    </row>
    <row r="83" ht="14.4" customHeight="1">
      <c r="A83" s="822"/>
      <c r="B83" s="25"/>
      <c r="C83" s="25"/>
      <c r="D83" s="25"/>
      <c r="E83" s="25"/>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c r="AH83" s="25"/>
      <c r="AI83" s="823"/>
    </row>
    <row r="84" ht="14.4" customHeight="1">
      <c r="A84" s="822"/>
      <c r="B84" s="25"/>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823"/>
    </row>
    <row r="85" ht="14.4" customHeight="1">
      <c r="A85" s="822"/>
      <c r="B85" s="25"/>
      <c r="C85" s="25"/>
      <c r="D85" s="25"/>
      <c r="E85" s="25"/>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823"/>
    </row>
    <row r="86" ht="14.4" customHeight="1">
      <c r="A86" s="822"/>
      <c r="B86" s="25"/>
      <c r="C86" s="25"/>
      <c r="D86" s="25"/>
      <c r="E86" s="25"/>
      <c r="F86" s="2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823"/>
    </row>
    <row r="87" ht="14.4" customHeight="1">
      <c r="A87" s="822"/>
      <c r="B87" s="25"/>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823"/>
    </row>
    <row r="88" ht="14.4" customHeight="1">
      <c r="A88" s="822"/>
      <c r="B88" s="25"/>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823"/>
    </row>
    <row r="89" ht="14.4" customHeight="1">
      <c r="A89" s="822"/>
      <c r="B89" s="25"/>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823"/>
    </row>
    <row r="90" ht="14.4" customHeight="1">
      <c r="A90" s="822"/>
      <c r="B90" s="25"/>
      <c r="C90" s="25"/>
      <c r="D90" s="25"/>
      <c r="E90" s="25"/>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823"/>
    </row>
    <row r="91" ht="14.4" customHeight="1">
      <c r="A91" s="822"/>
      <c r="B91" s="25"/>
      <c r="C91" s="25"/>
      <c r="D91" s="25"/>
      <c r="E91" s="25"/>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823"/>
    </row>
    <row r="92" ht="14.4" customHeight="1">
      <c r="A92" s="822"/>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823"/>
    </row>
    <row r="93" ht="14.4" customHeight="1">
      <c r="A93" s="822"/>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823"/>
    </row>
    <row r="94" ht="14.4" customHeight="1">
      <c r="A94" s="822"/>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823"/>
    </row>
    <row r="95" ht="14.4" customHeight="1">
      <c r="A95" s="822"/>
      <c r="B95" s="25"/>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823"/>
    </row>
    <row r="96" ht="14.4" customHeight="1">
      <c r="A96" s="822"/>
      <c r="B96" s="25"/>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823"/>
    </row>
    <row r="97" ht="14.4" customHeight="1">
      <c r="A97" s="822"/>
      <c r="B97" s="25"/>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823"/>
    </row>
    <row r="98" ht="14.4" customHeight="1">
      <c r="A98" s="822"/>
      <c r="B98" s="25"/>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823"/>
    </row>
    <row r="99" ht="14.4" customHeight="1">
      <c r="A99" s="822"/>
      <c r="B99" s="25"/>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823"/>
    </row>
    <row r="100" ht="14.4" customHeight="1">
      <c r="A100" s="824"/>
      <c r="B100" s="825"/>
      <c r="C100" s="825"/>
      <c r="D100" s="825"/>
      <c r="E100" s="825"/>
      <c r="F100" s="825"/>
      <c r="G100" s="825"/>
      <c r="H100" s="825"/>
      <c r="I100" s="825"/>
      <c r="J100" s="825"/>
      <c r="K100" s="825"/>
      <c r="L100" s="825"/>
      <c r="M100" s="825"/>
      <c r="N100" s="825"/>
      <c r="O100" s="825"/>
      <c r="P100" s="825"/>
      <c r="Q100" s="825"/>
      <c r="R100" s="825"/>
      <c r="S100" s="825"/>
      <c r="T100" s="825"/>
      <c r="U100" s="825"/>
      <c r="V100" s="825"/>
      <c r="W100" s="825"/>
      <c r="X100" s="825"/>
      <c r="Y100" s="825"/>
      <c r="Z100" s="825"/>
      <c r="AA100" s="825"/>
      <c r="AB100" s="825"/>
      <c r="AC100" s="825"/>
      <c r="AD100" s="825"/>
      <c r="AE100" s="825"/>
      <c r="AF100" s="825"/>
      <c r="AG100" s="825"/>
      <c r="AH100" s="825"/>
      <c r="AI100" s="826"/>
    </row>
  </sheetData>
  <mergeCells count="76">
    <mergeCell ref="G44:N44"/>
    <mergeCell ref="G58:N58"/>
    <mergeCell ref="O63:R63"/>
    <mergeCell ref="S63:V63"/>
    <mergeCell ref="O59:R59"/>
    <mergeCell ref="S59:V59"/>
    <mergeCell ref="O60:R60"/>
    <mergeCell ref="S60:V60"/>
    <mergeCell ref="O61:R61"/>
    <mergeCell ref="S61:V61"/>
    <mergeCell ref="O56:R56"/>
    <mergeCell ref="S56:V56"/>
    <mergeCell ref="O57:R58"/>
    <mergeCell ref="S57:V58"/>
    <mergeCell ref="O62:R62"/>
    <mergeCell ref="S62:V62"/>
    <mergeCell ref="O53:R53"/>
    <mergeCell ref="S53:V53"/>
    <mergeCell ref="O54:R54"/>
    <mergeCell ref="S54:V54"/>
    <mergeCell ref="O55:R55"/>
    <mergeCell ref="S55:V55"/>
    <mergeCell ref="O49:R50"/>
    <mergeCell ref="S49:V50"/>
    <mergeCell ref="O51:R51"/>
    <mergeCell ref="S51:V51"/>
    <mergeCell ref="O52:R52"/>
    <mergeCell ref="S52:V52"/>
    <mergeCell ref="O46:R46"/>
    <mergeCell ref="S46:V46"/>
    <mergeCell ref="O47:R47"/>
    <mergeCell ref="S47:V47"/>
    <mergeCell ref="O48:R48"/>
    <mergeCell ref="S48:V48"/>
    <mergeCell ref="O42:R42"/>
    <mergeCell ref="S42:V42"/>
    <mergeCell ref="O43:R44"/>
    <mergeCell ref="S43:V44"/>
    <mergeCell ref="O45:R45"/>
    <mergeCell ref="S45:V45"/>
    <mergeCell ref="O39:R39"/>
    <mergeCell ref="S39:V39"/>
    <mergeCell ref="O40:R40"/>
    <mergeCell ref="S40:V40"/>
    <mergeCell ref="O41:R41"/>
    <mergeCell ref="S41:V41"/>
    <mergeCell ref="O36:R36"/>
    <mergeCell ref="S36:V36"/>
    <mergeCell ref="O37:R37"/>
    <mergeCell ref="S37:V37"/>
    <mergeCell ref="O38:R38"/>
    <mergeCell ref="S38:V38"/>
    <mergeCell ref="O32:R32"/>
    <mergeCell ref="S32:V32"/>
    <mergeCell ref="O33:R33"/>
    <mergeCell ref="S33:V33"/>
    <mergeCell ref="O34:R35"/>
    <mergeCell ref="S34:V35"/>
    <mergeCell ref="O29:R29"/>
    <mergeCell ref="S29:V29"/>
    <mergeCell ref="O30:R30"/>
    <mergeCell ref="S30:V30"/>
    <mergeCell ref="O31:R31"/>
    <mergeCell ref="S31:V31"/>
    <mergeCell ref="AD7:AD10"/>
    <mergeCell ref="O22:R22"/>
    <mergeCell ref="O21:R21"/>
    <mergeCell ref="O28:R28"/>
    <mergeCell ref="S28:V28"/>
    <mergeCell ref="O27:R27"/>
    <mergeCell ref="S27:V27"/>
    <mergeCell ref="O24:R24"/>
    <mergeCell ref="S24:V24"/>
    <mergeCell ref="O25:R26"/>
    <mergeCell ref="S25:V26"/>
    <mergeCell ref="O20:R20"/>
  </mergeCells>
  <conditionalFormatting sqref="O8:U12">
    <cfRule type="cellIs" dxfId="3" priority="1" operator="equal" stopIfTrue="1">
      <formula>3</formula>
    </cfRule>
    <cfRule type="cellIs" dxfId="4" priority="2" operator="equal" stopIfTrue="1">
      <formula>2</formula>
    </cfRule>
    <cfRule type="cellIs" dxfId="5" priority="3" operator="equal" stopIfTrue="1">
      <formula>1</formula>
    </cfRule>
  </conditionalFormatting>
  <dataValidations count="1">
    <dataValidation type="list" allowBlank="1" showInputMessage="1" showErrorMessage="1" sqref="W8:W12 W15">
      <formula1>"Exigences non respectées,Exigences partiellement respectées,Exigences respectées,Non évalué,N/A"</formula1>
    </dataValidation>
  </dataValidations>
  <pageMargins left="0.7" right="0.7" top="0.75" bottom="0.75" header="0.3" footer="0.3"/>
  <pageSetup firstPageNumber="1" fitToHeight="1" fitToWidth="1" scale="100" useFirstPageNumber="0" orientation="portrait" pageOrder="downThenOver"/>
  <headerFooter>
    <oddFooter>&amp;C&amp;"Helvetica Neue,Regular"&amp;12&amp;K000000&amp;P</oddFooter>
  </headerFooter>
  <drawing r:id="rId1"/>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